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TerriFlux\MFAData\Cowork\SOCLE\lot-2-refflux-v2\oleoproteagineux\"/>
    </mc:Choice>
  </mc:AlternateContent>
  <xr:revisionPtr revIDLastSave="0" documentId="13_ncr:1_{354D7889-F43B-4B9C-8E25-4372421B593D}" xr6:coauthVersionLast="47" xr6:coauthVersionMax="47" xr10:uidLastSave="{00000000-0000-0000-0000-000000000000}"/>
  <bookViews>
    <workbookView xWindow="-108" yWindow="-108" windowWidth="23256" windowHeight="12576" tabRatio="871" firstSheet="7" activeTab="16" xr2:uid="{E8B10E1F-D64C-47D3-8DAA-FC1296CADBAB}"/>
  </bookViews>
  <sheets>
    <sheet name="Informations générales" sheetId="107" r:id="rId1"/>
    <sheet name="SOMMAIRE" sheetId="108" r:id="rId2"/>
    <sheet name="Lecture du fichier" sheetId="109" r:id="rId3"/>
    <sheet name="Etiquettes" sheetId="8" r:id="rId4"/>
    <sheet name="Produits" sheetId="40" r:id="rId5"/>
    <sheet name="Secteurs" sheetId="41" r:id="rId6"/>
    <sheet name="Données" sheetId="42" r:id="rId7"/>
    <sheet name=" Données" sheetId="54" r:id="rId8"/>
    <sheet name="Données " sheetId="49" r:id="rId9"/>
    <sheet name="Bilans Colza - FAM" sheetId="44" r:id="rId10"/>
    <sheet name="Données  " sheetId="50" r:id="rId11"/>
    <sheet name="BIlans Tournesol - FAM" sheetId="45" r:id="rId12"/>
    <sheet name="Données   " sheetId="51" r:id="rId13"/>
    <sheet name="Bilans Soja - FAM" sheetId="46" r:id="rId14"/>
    <sheet name="Données    " sheetId="52" r:id="rId15"/>
    <sheet name="Bilans Pois - FAM" sheetId="47" r:id="rId16"/>
    <sheet name="Données     " sheetId="53" r:id="rId17"/>
    <sheet name="Bilans Féverole - FAM" sheetId="48" r:id="rId18"/>
    <sheet name="Contraintes" sheetId="61" r:id="rId19"/>
    <sheet name="  Données" sheetId="88" state="hidden" r:id="rId20"/>
    <sheet name="Issues de silo - ONRB" sheetId="55" r:id="rId21"/>
    <sheet name="Contraintes " sheetId="57" r:id="rId22"/>
    <sheet name="   Données" sheetId="89" state="hidden" r:id="rId23"/>
    <sheet name="Pertes ferme - TERRES UNIVIA" sheetId="56" r:id="rId24"/>
    <sheet name="Contraintes  " sheetId="60" r:id="rId25"/>
    <sheet name="    Données" sheetId="90" state="hidden" r:id="rId26"/>
    <sheet name="Prétraitement semences fermière" sheetId="58" r:id="rId27"/>
    <sheet name="Semences fermières - AGRESTE" sheetId="59" r:id="rId28"/>
    <sheet name="Données      " sheetId="66" r:id="rId29"/>
    <sheet name="Prétraitement échanges" sheetId="65" r:id="rId30"/>
    <sheet name="Comext mensuel - EUROSTAT" sheetId="64" r:id="rId31"/>
    <sheet name="Comext annuel - EUROSTAT" sheetId="39" r:id="rId32"/>
    <sheet name="Données       " sheetId="69" r:id="rId33"/>
    <sheet name="Contraintes   " sheetId="70" r:id="rId34"/>
    <sheet name="     Données" sheetId="91" state="hidden" r:id="rId35"/>
    <sheet name="Huiles et tourteaux - FEDIOL" sheetId="68" r:id="rId36"/>
    <sheet name="Contraintes    " sheetId="77" r:id="rId37"/>
    <sheet name="      Données" sheetId="92" state="hidden" r:id="rId38"/>
    <sheet name="Usages tourteaux - ONRB" sheetId="76" r:id="rId39"/>
    <sheet name="Données        " sheetId="72" r:id="rId40"/>
    <sheet name="Biocarburants - CARBURE" sheetId="71" r:id="rId41"/>
    <sheet name="Données         " sheetId="78" r:id="rId42"/>
    <sheet name="Conso huile GMS -NIELSEN" sheetId="73" r:id="rId43"/>
    <sheet name="Données          " sheetId="75" r:id="rId44"/>
    <sheet name="Marché olive - AFIDOL, FAM" sheetId="74" r:id="rId45"/>
    <sheet name="Récoltes olive - AGRESTE" sheetId="26" r:id="rId46"/>
    <sheet name="Données           " sheetId="83" r:id="rId47"/>
    <sheet name="Contraintes     " sheetId="84" r:id="rId48"/>
    <sheet name="       Données" sheetId="93" state="hidden" r:id="rId49"/>
    <sheet name="Prétraitement récolte, collecte" sheetId="79" r:id="rId50"/>
    <sheet name="Récoltes - AGRESTE" sheetId="22" r:id="rId51"/>
    <sheet name="Collectes, stocks - FAM" sheetId="25" r:id="rId52"/>
    <sheet name="Collectes, stocks protéa - FAM" sheetId="24" r:id="rId53"/>
    <sheet name="FAB - FAM" sheetId="28" r:id="rId54"/>
    <sheet name="FAB protéagineux - FAM" sheetId="27" r:id="rId55"/>
    <sheet name="Données            " sheetId="82" r:id="rId56"/>
    <sheet name="Contraintes      " sheetId="85" r:id="rId57"/>
    <sheet name="        Données" sheetId="94" state="hidden" r:id="rId58"/>
    <sheet name="Prétraitement consommation" sheetId="81" r:id="rId59"/>
    <sheet name="Consommation - OléoProtéines" sheetId="38" r:id="rId60"/>
    <sheet name="Contraintes       " sheetId="87" r:id="rId61"/>
    <sheet name="         Données" sheetId="95" state="hidden" r:id="rId62"/>
    <sheet name="Fab. ingrédients - Diverses" sheetId="86" r:id="rId63"/>
    <sheet name="Contraintes        " sheetId="101" r:id="rId64"/>
    <sheet name="           Données" sheetId="102" state="hidden" r:id="rId65"/>
    <sheet name="Rend. trituration-TERRES UNIVIA" sheetId="98" r:id="rId66"/>
    <sheet name="Contraintes         " sheetId="103" r:id="rId67"/>
    <sheet name="            Données" sheetId="104" state="hidden" r:id="rId68"/>
    <sheet name="Usages huiles - TERRES UNIVIA" sheetId="100" r:id="rId69"/>
    <sheet name="Contraintes          " sheetId="105" r:id="rId70"/>
    <sheet name="             Données" sheetId="106" state="hidden" r:id="rId71"/>
    <sheet name="Usages tourteaux -TERRES UNIVIA" sheetId="99" r:id="rId72"/>
    <sheet name="Pertes - Diverses" sheetId="29" r:id="rId73"/>
    <sheet name="Fabrication - PRODCOM" sheetId="31" r:id="rId74"/>
    <sheet name="Transformation - TERRES UNIVIA" sheetId="33" r:id="rId75"/>
    <sheet name="Alimentation animale - TERRES U" sheetId="34" r:id="rId76"/>
    <sheet name="Collecte bio - TERRES UNIVIA" sheetId="37" r:id="rId77"/>
    <sheet name="Données              " sheetId="67" r:id="rId78"/>
    <sheet name="Données               " sheetId="96" state="hidden" r:id="rId79"/>
    <sheet name="          Données" sheetId="97" state="hidden" r:id="rId80"/>
  </sheets>
  <definedNames>
    <definedName name="_xlnm._FilterDatabase" localSheetId="7" hidden="1">' Données'!$A$1:$N$1</definedName>
    <definedName name="_xlnm._FilterDatabase" localSheetId="51" hidden="1">'Collectes, stocks - FAM'!$A$5:$D$1207</definedName>
    <definedName name="_xlnm._FilterDatabase" localSheetId="52" hidden="1">'Collectes, stocks protéa - FAM'!$A$5:$D$1010</definedName>
    <definedName name="_xlnm._FilterDatabase" localSheetId="6" hidden="1">Données!$A$1:$N$1</definedName>
    <definedName name="_xlnm._FilterDatabase" localSheetId="8" hidden="1">'Données '!$A$1:$S$25</definedName>
    <definedName name="_xlnm._FilterDatabase" localSheetId="10" hidden="1">'Données  '!$A$1:$N$1</definedName>
    <definedName name="_xlnm._FilterDatabase" localSheetId="12" hidden="1">'Données   '!$A$1:$N$1</definedName>
    <definedName name="_xlnm._FilterDatabase" localSheetId="14" hidden="1">'Données    '!$A$1:$N$1</definedName>
    <definedName name="_xlnm._FilterDatabase" localSheetId="16" hidden="1">'Données     '!$A$1:$N$1</definedName>
    <definedName name="_xlnm._FilterDatabase" localSheetId="28" hidden="1">'Données      '!$A$1:$N$1</definedName>
    <definedName name="_xlnm._FilterDatabase" localSheetId="32" hidden="1">'Données       '!$A$1:$N$1</definedName>
    <definedName name="_xlnm._FilterDatabase" localSheetId="39" hidden="1">'Données        '!$A$1:$N$1</definedName>
    <definedName name="_xlnm._FilterDatabase" localSheetId="41" hidden="1">'Données         '!$A$1:$N$1</definedName>
    <definedName name="_xlnm._FilterDatabase" localSheetId="43" hidden="1">'Données          '!$A$1:$N$1</definedName>
    <definedName name="_xlnm._FilterDatabase" localSheetId="46" hidden="1">'Données           '!$A$1:$N$1</definedName>
    <definedName name="_xlnm._FilterDatabase" localSheetId="55" hidden="1">'Données            '!$A$1:$N$1</definedName>
    <definedName name="_xlnm._FilterDatabase" localSheetId="77" hidden="1">'Données              '!$A$1:$N$1</definedName>
    <definedName name="_xlnm._FilterDatabase" localSheetId="78" hidden="1">'Données               '!$A$1:$N$1</definedName>
    <definedName name="_xlnm._FilterDatabase" localSheetId="53" hidden="1">'FAB - FAM'!$A$5:$E$1155</definedName>
    <definedName name="_xlnm._FilterDatabase" localSheetId="54" hidden="1">'FAB protéagineux - FAM'!$A$5:$E$942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61" l="1"/>
  <c r="O9" i="52"/>
  <c r="O4" i="49"/>
  <c r="O3" i="49"/>
  <c r="O2" i="49"/>
  <c r="B31" i="97" l="1"/>
  <c r="B32" i="97"/>
  <c r="E31" i="97"/>
  <c r="F31" i="97"/>
  <c r="G31" i="97"/>
  <c r="H31" i="97"/>
  <c r="I31" i="97"/>
  <c r="J31" i="97"/>
  <c r="K31" i="97"/>
  <c r="L31" i="97"/>
  <c r="M31" i="97"/>
  <c r="N31" i="97"/>
  <c r="O31" i="97"/>
  <c r="P31" i="97"/>
  <c r="Q31" i="97"/>
  <c r="E32" i="97"/>
  <c r="F32" i="97"/>
  <c r="G32" i="97"/>
  <c r="H32" i="97"/>
  <c r="I32" i="97"/>
  <c r="J32" i="97"/>
  <c r="K32" i="97"/>
  <c r="L32" i="97"/>
  <c r="M32" i="97"/>
  <c r="N32" i="97"/>
  <c r="O32" i="97"/>
  <c r="P32" i="97"/>
  <c r="Q32" i="97"/>
  <c r="A32" i="97"/>
  <c r="A31" i="97"/>
  <c r="Q9" i="42"/>
  <c r="Q30" i="97" s="1"/>
  <c r="B30" i="97"/>
  <c r="E30" i="97"/>
  <c r="F30" i="97"/>
  <c r="G30" i="97"/>
  <c r="H30" i="97"/>
  <c r="I30" i="97"/>
  <c r="J30" i="97"/>
  <c r="K30" i="97"/>
  <c r="L30" i="97"/>
  <c r="M30" i="97"/>
  <c r="N30" i="97"/>
  <c r="O30" i="97"/>
  <c r="P30" i="97"/>
  <c r="A30" i="97"/>
  <c r="Q60" i="42"/>
  <c r="O60" i="42"/>
  <c r="G60" i="42"/>
  <c r="H60" i="42"/>
  <c r="F60" i="42"/>
  <c r="E60" i="42"/>
  <c r="B60" i="42"/>
  <c r="A60" i="42"/>
  <c r="Q59" i="42"/>
  <c r="Q58" i="42"/>
  <c r="Q57" i="42"/>
  <c r="O59" i="42"/>
  <c r="O58" i="42"/>
  <c r="O57" i="42"/>
  <c r="E57" i="42"/>
  <c r="G57" i="42"/>
  <c r="H57" i="42"/>
  <c r="E58" i="42"/>
  <c r="G58" i="42"/>
  <c r="H58" i="42"/>
  <c r="E59" i="42"/>
  <c r="G59" i="42"/>
  <c r="H59" i="42"/>
  <c r="B59" i="42"/>
  <c r="A58" i="42"/>
  <c r="A59" i="42"/>
  <c r="B58" i="42"/>
  <c r="B57" i="42"/>
  <c r="A57" i="42"/>
  <c r="G29" i="97"/>
  <c r="B29" i="97"/>
  <c r="J29" i="97"/>
  <c r="K29" i="97"/>
  <c r="L29" i="97"/>
  <c r="M29" i="97"/>
  <c r="N29" i="97"/>
  <c r="O29" i="97"/>
  <c r="P29" i="97"/>
  <c r="Q29" i="97"/>
  <c r="E29" i="97"/>
  <c r="F29" i="97"/>
  <c r="H29" i="97"/>
  <c r="I29" i="97"/>
  <c r="A29" i="97"/>
  <c r="G28" i="97"/>
  <c r="H28" i="97"/>
  <c r="I28" i="97"/>
  <c r="J28" i="97"/>
  <c r="K28" i="97"/>
  <c r="L28" i="97"/>
  <c r="M28" i="97"/>
  <c r="N28" i="97"/>
  <c r="O28" i="97"/>
  <c r="P28" i="97"/>
  <c r="Q28" i="97"/>
  <c r="B28" i="97"/>
  <c r="E28" i="97"/>
  <c r="F28" i="97"/>
  <c r="A28" i="97"/>
  <c r="R4" i="67"/>
  <c r="P4" i="67"/>
  <c r="O4" i="67"/>
  <c r="H4" i="67"/>
  <c r="E4" i="67"/>
  <c r="B4" i="67"/>
  <c r="A4" i="67"/>
  <c r="R6" i="67"/>
  <c r="P6" i="67"/>
  <c r="O6" i="67"/>
  <c r="H6" i="67"/>
  <c r="G6" i="67"/>
  <c r="E6" i="67"/>
  <c r="B6" i="67"/>
  <c r="A6" i="67"/>
  <c r="A23" i="42"/>
  <c r="A22" i="42"/>
  <c r="C13" i="8"/>
  <c r="B49" i="108"/>
  <c r="B48" i="108"/>
  <c r="B47" i="108"/>
  <c r="B46" i="108"/>
  <c r="B45" i="108"/>
  <c r="B44" i="108"/>
  <c r="B43" i="108"/>
  <c r="B42" i="108"/>
  <c r="B41" i="108"/>
  <c r="B40" i="108"/>
  <c r="B11" i="108"/>
  <c r="B10" i="108"/>
  <c r="R35" i="67"/>
  <c r="R33" i="67"/>
  <c r="R31" i="67"/>
  <c r="R29" i="67"/>
  <c r="R28" i="67"/>
  <c r="R26" i="67"/>
  <c r="R24" i="67"/>
  <c r="R19" i="67"/>
  <c r="R16" i="67"/>
  <c r="R14" i="67"/>
  <c r="R11" i="67"/>
  <c r="R8" i="67"/>
  <c r="R2" i="67"/>
  <c r="Q33" i="82"/>
  <c r="Q32" i="82"/>
  <c r="Q31" i="82"/>
  <c r="Q30" i="82"/>
  <c r="Q29" i="82"/>
  <c r="Q28" i="82"/>
  <c r="Q27" i="82"/>
  <c r="Q26" i="82"/>
  <c r="Q25" i="82"/>
  <c r="Q24" i="82"/>
  <c r="Q23" i="82"/>
  <c r="Q22" i="82"/>
  <c r="Q4" i="97"/>
  <c r="Q56" i="83"/>
  <c r="Q55" i="83"/>
  <c r="Q54" i="83"/>
  <c r="Q53" i="83"/>
  <c r="Q52" i="83"/>
  <c r="Q51" i="83"/>
  <c r="Q28" i="96" s="1"/>
  <c r="Q50" i="83"/>
  <c r="Q49" i="83"/>
  <c r="Q48" i="83"/>
  <c r="Q47" i="83"/>
  <c r="Q46" i="83"/>
  <c r="Q45" i="83"/>
  <c r="Q44" i="83"/>
  <c r="Q27" i="96" s="1"/>
  <c r="Q43" i="83"/>
  <c r="Q17" i="96" s="1"/>
  <c r="Q42" i="83"/>
  <c r="Q41" i="83"/>
  <c r="Q40" i="83"/>
  <c r="Q39" i="83"/>
  <c r="Q38" i="83"/>
  <c r="Q37" i="83"/>
  <c r="Q36" i="83"/>
  <c r="Q35" i="83"/>
  <c r="Q34" i="83"/>
  <c r="Q33" i="83"/>
  <c r="Q32" i="83"/>
  <c r="Q31" i="83"/>
  <c r="Q30" i="83"/>
  <c r="Q29" i="83"/>
  <c r="Q28" i="83"/>
  <c r="Q27" i="83"/>
  <c r="Q26" i="83"/>
  <c r="Q25" i="83"/>
  <c r="Q24" i="83"/>
  <c r="Q23" i="83"/>
  <c r="Q22" i="83"/>
  <c r="Q21" i="83"/>
  <c r="Q20" i="83"/>
  <c r="Q19" i="83"/>
  <c r="Q18" i="83"/>
  <c r="Q17" i="83"/>
  <c r="Q16" i="83"/>
  <c r="Q15" i="83"/>
  <c r="Q14" i="83"/>
  <c r="Q13" i="83"/>
  <c r="Q12" i="83"/>
  <c r="Q11" i="83"/>
  <c r="Q10" i="83"/>
  <c r="Q9" i="83"/>
  <c r="Q8" i="83"/>
  <c r="Q7" i="83"/>
  <c r="Q6" i="83"/>
  <c r="Q5" i="83"/>
  <c r="Q4" i="83"/>
  <c r="Q12" i="96" s="1"/>
  <c r="Q3" i="83"/>
  <c r="Q2" i="83"/>
  <c r="Q25" i="75"/>
  <c r="Q24" i="75"/>
  <c r="Q23" i="75"/>
  <c r="Q22" i="75"/>
  <c r="Q21" i="75"/>
  <c r="Q20" i="75"/>
  <c r="Q19" i="75"/>
  <c r="Q18" i="75"/>
  <c r="Q17" i="75"/>
  <c r="Q16" i="75"/>
  <c r="Q15" i="75"/>
  <c r="Q14" i="75"/>
  <c r="Q13" i="75"/>
  <c r="Q12" i="75"/>
  <c r="Q11" i="75"/>
  <c r="Q10" i="75"/>
  <c r="Q9" i="75"/>
  <c r="Q8" i="75"/>
  <c r="Q7" i="75"/>
  <c r="Q6" i="75"/>
  <c r="Q5" i="75"/>
  <c r="Q4" i="75"/>
  <c r="Q3" i="75"/>
  <c r="Q2" i="75"/>
  <c r="Q7" i="78"/>
  <c r="Q6" i="78"/>
  <c r="Q5" i="78"/>
  <c r="Q4" i="78"/>
  <c r="Q3" i="78"/>
  <c r="Q2" i="78"/>
  <c r="Q3" i="69"/>
  <c r="Q4" i="69"/>
  <c r="Q5" i="69"/>
  <c r="Q6" i="69"/>
  <c r="Q7" i="69"/>
  <c r="Q8" i="69"/>
  <c r="Q9" i="69"/>
  <c r="Q10" i="69"/>
  <c r="Q11" i="69"/>
  <c r="Q12" i="69"/>
  <c r="Q13" i="69"/>
  <c r="Q14" i="69"/>
  <c r="Q15" i="69"/>
  <c r="Q16" i="69"/>
  <c r="Q17" i="69"/>
  <c r="Q18" i="69"/>
  <c r="Q19" i="69"/>
  <c r="Q20" i="69"/>
  <c r="Q21" i="69"/>
  <c r="Q22" i="69"/>
  <c r="Q23" i="69"/>
  <c r="Q24" i="69"/>
  <c r="Q25" i="69"/>
  <c r="Q26" i="69"/>
  <c r="Q2" i="69"/>
  <c r="Q3" i="66"/>
  <c r="Q4" i="66"/>
  <c r="Q5" i="66"/>
  <c r="Q6" i="66"/>
  <c r="Q7" i="66"/>
  <c r="Q8" i="66"/>
  <c r="Q9" i="66"/>
  <c r="Q10" i="66"/>
  <c r="Q11" i="66"/>
  <c r="Q12" i="66"/>
  <c r="Q13" i="66"/>
  <c r="Q14" i="66"/>
  <c r="Q15" i="66"/>
  <c r="Q16" i="66"/>
  <c r="Q17" i="66"/>
  <c r="Q18" i="66"/>
  <c r="Q19" i="66"/>
  <c r="Q20" i="66"/>
  <c r="Q21" i="66"/>
  <c r="Q22" i="66"/>
  <c r="Q23" i="66"/>
  <c r="Q24" i="66"/>
  <c r="Q25" i="66"/>
  <c r="Q26" i="66"/>
  <c r="Q27" i="66"/>
  <c r="Q28" i="66"/>
  <c r="Q29" i="66"/>
  <c r="Q30" i="66"/>
  <c r="Q31" i="66"/>
  <c r="Q32" i="66"/>
  <c r="Q33" i="66"/>
  <c r="Q34" i="66"/>
  <c r="Q35" i="66"/>
  <c r="Q36" i="66"/>
  <c r="Q37" i="66"/>
  <c r="Q38" i="66"/>
  <c r="Q39" i="66"/>
  <c r="Q40" i="66"/>
  <c r="Q41" i="66"/>
  <c r="Q42" i="66"/>
  <c r="Q43" i="66"/>
  <c r="Q44" i="66"/>
  <c r="Q45" i="66"/>
  <c r="Q46" i="66"/>
  <c r="Q47" i="66"/>
  <c r="Q48" i="66"/>
  <c r="Q49" i="66"/>
  <c r="Q50" i="66"/>
  <c r="Q51" i="66"/>
  <c r="Q52" i="66"/>
  <c r="Q53" i="66"/>
  <c r="Q54" i="66"/>
  <c r="Q55" i="66"/>
  <c r="Q56" i="66"/>
  <c r="Q57" i="66"/>
  <c r="Q58" i="66"/>
  <c r="Q59" i="66"/>
  <c r="Q60" i="66"/>
  <c r="Q61" i="66"/>
  <c r="Q62" i="66"/>
  <c r="Q63" i="66"/>
  <c r="Q64" i="66"/>
  <c r="Q65" i="66"/>
  <c r="Q66" i="66"/>
  <c r="Q67" i="66"/>
  <c r="Q68" i="66"/>
  <c r="Q69" i="66"/>
  <c r="Q70" i="66"/>
  <c r="Q71" i="66"/>
  <c r="Q72" i="66"/>
  <c r="Q73" i="66"/>
  <c r="Q74" i="66"/>
  <c r="Q75" i="66"/>
  <c r="Q76" i="66"/>
  <c r="Q77" i="66"/>
  <c r="Q78" i="66"/>
  <c r="Q79" i="66"/>
  <c r="Q80" i="66"/>
  <c r="Q81" i="66"/>
  <c r="Q82" i="66"/>
  <c r="Q83" i="66"/>
  <c r="Q84" i="66"/>
  <c r="Q85" i="66"/>
  <c r="Q86" i="66"/>
  <c r="Q87" i="66"/>
  <c r="Q88" i="66"/>
  <c r="Q89" i="66"/>
  <c r="Q90" i="66"/>
  <c r="Q91" i="66"/>
  <c r="Q92" i="66"/>
  <c r="Q93" i="66"/>
  <c r="Q94" i="66"/>
  <c r="Q95" i="66"/>
  <c r="Q96" i="66"/>
  <c r="Q97" i="66"/>
  <c r="Q98" i="66"/>
  <c r="Q99" i="66"/>
  <c r="Q100" i="66"/>
  <c r="Q101" i="66"/>
  <c r="Q102" i="66"/>
  <c r="Q103" i="66"/>
  <c r="Q104" i="66"/>
  <c r="Q105" i="66"/>
  <c r="Q106" i="66"/>
  <c r="Q107" i="66"/>
  <c r="Q108" i="66"/>
  <c r="Q109" i="66"/>
  <c r="Q110" i="66"/>
  <c r="Q111" i="66"/>
  <c r="Q112" i="66"/>
  <c r="Q113" i="66"/>
  <c r="Q114" i="66"/>
  <c r="Q115" i="66"/>
  <c r="Q116" i="66"/>
  <c r="Q117" i="66"/>
  <c r="Q118" i="66"/>
  <c r="Q119" i="66"/>
  <c r="Q120" i="66"/>
  <c r="Q121" i="66"/>
  <c r="Q122" i="66"/>
  <c r="Q123" i="66"/>
  <c r="Q124" i="66"/>
  <c r="Q125" i="66"/>
  <c r="Q126" i="66"/>
  <c r="Q127" i="66"/>
  <c r="Q128" i="66"/>
  <c r="Q129" i="66"/>
  <c r="Q2" i="66"/>
  <c r="Q14" i="97"/>
  <c r="Q17" i="97"/>
  <c r="Q18" i="97"/>
  <c r="Q24" i="97"/>
  <c r="Q26" i="53"/>
  <c r="Q25" i="53"/>
  <c r="Q24" i="53"/>
  <c r="Q23" i="53"/>
  <c r="Q22" i="53"/>
  <c r="Q21" i="53"/>
  <c r="Q20" i="53"/>
  <c r="Q19" i="53"/>
  <c r="Q18" i="53"/>
  <c r="Q17" i="53"/>
  <c r="Q16" i="53"/>
  <c r="Q15" i="53"/>
  <c r="Q14" i="53"/>
  <c r="Q13" i="53"/>
  <c r="Q12" i="53"/>
  <c r="Q11" i="53"/>
  <c r="Q10" i="53"/>
  <c r="Q9" i="53"/>
  <c r="Q8" i="53"/>
  <c r="Q7" i="53"/>
  <c r="Q6" i="53"/>
  <c r="Q11" i="96" s="1"/>
  <c r="Q5" i="53"/>
  <c r="Q4" i="53"/>
  <c r="Q3" i="53"/>
  <c r="Q2" i="53"/>
  <c r="Q25" i="52"/>
  <c r="Q24" i="52"/>
  <c r="Q23" i="52"/>
  <c r="Q22" i="52"/>
  <c r="Q21" i="52"/>
  <c r="Q20" i="52"/>
  <c r="Q19" i="52"/>
  <c r="Q18" i="52"/>
  <c r="Q17" i="52"/>
  <c r="Q16" i="52"/>
  <c r="Q15" i="52"/>
  <c r="Q14" i="52"/>
  <c r="Q13" i="52"/>
  <c r="Q12" i="52"/>
  <c r="Q11" i="52"/>
  <c r="Q10" i="52"/>
  <c r="Q9" i="52"/>
  <c r="Q8" i="52"/>
  <c r="Q7" i="52"/>
  <c r="Q6" i="52"/>
  <c r="Q5" i="52"/>
  <c r="Q8" i="96" s="1"/>
  <c r="Q4" i="52"/>
  <c r="Q3" i="52"/>
  <c r="Q2" i="52"/>
  <c r="Q28" i="51"/>
  <c r="Q27" i="51"/>
  <c r="Q26" i="51"/>
  <c r="Q25" i="51"/>
  <c r="Q24" i="51"/>
  <c r="Q23" i="51"/>
  <c r="Q22" i="51"/>
  <c r="Q21" i="51"/>
  <c r="Q20" i="51"/>
  <c r="Q19" i="51"/>
  <c r="Q18" i="51"/>
  <c r="Q17" i="51"/>
  <c r="Q16" i="51"/>
  <c r="Q15" i="51"/>
  <c r="Q14" i="51"/>
  <c r="Q13" i="51"/>
  <c r="Q12" i="51"/>
  <c r="Q11" i="51"/>
  <c r="Q10" i="51"/>
  <c r="Q9" i="51"/>
  <c r="Q8" i="51"/>
  <c r="Q7" i="51"/>
  <c r="Q6" i="51"/>
  <c r="Q5" i="51"/>
  <c r="Q6" i="96" s="1"/>
  <c r="Q4" i="51"/>
  <c r="Q3" i="51"/>
  <c r="Q2" i="51"/>
  <c r="Q28" i="50"/>
  <c r="Q27" i="50"/>
  <c r="Q26" i="50"/>
  <c r="Q25" i="50"/>
  <c r="Q24" i="50"/>
  <c r="Q23" i="50"/>
  <c r="Q22" i="50"/>
  <c r="Q21" i="50"/>
  <c r="Q20" i="50"/>
  <c r="Q19" i="50"/>
  <c r="Q18" i="50"/>
  <c r="Q17" i="50"/>
  <c r="Q16" i="50"/>
  <c r="Q15" i="50"/>
  <c r="Q14" i="50"/>
  <c r="Q13" i="50"/>
  <c r="Q12" i="50"/>
  <c r="Q11" i="50"/>
  <c r="Q10" i="50"/>
  <c r="Q9" i="50"/>
  <c r="Q8" i="50"/>
  <c r="Q7" i="50"/>
  <c r="Q6" i="50"/>
  <c r="Q5" i="50"/>
  <c r="Q4" i="50"/>
  <c r="Q3" i="50"/>
  <c r="Q2" i="50"/>
  <c r="Q3" i="49"/>
  <c r="Q4" i="49"/>
  <c r="Q5" i="49"/>
  <c r="Q6" i="49"/>
  <c r="Q7" i="49"/>
  <c r="Q8" i="49"/>
  <c r="Q9" i="49"/>
  <c r="Q20" i="96" s="1"/>
  <c r="Q10" i="49"/>
  <c r="Q11" i="49"/>
  <c r="Q12" i="49"/>
  <c r="Q13" i="49"/>
  <c r="Q14" i="49"/>
  <c r="Q15" i="49"/>
  <c r="Q16" i="49"/>
  <c r="Q17" i="49"/>
  <c r="Q18" i="49"/>
  <c r="Q19" i="49"/>
  <c r="Q20" i="49"/>
  <c r="Q21" i="49"/>
  <c r="Q22" i="49"/>
  <c r="Q23" i="49"/>
  <c r="Q24" i="49"/>
  <c r="Q25" i="49"/>
  <c r="Q2" i="49"/>
  <c r="Q55" i="42"/>
  <c r="Q53" i="42"/>
  <c r="Q52" i="42"/>
  <c r="Q51" i="42"/>
  <c r="Q50" i="42"/>
  <c r="Q49" i="42"/>
  <c r="Q48" i="42"/>
  <c r="Q47" i="42"/>
  <c r="Q46" i="42"/>
  <c r="Q45" i="42"/>
  <c r="Q44" i="42"/>
  <c r="Q43" i="42"/>
  <c r="Q38" i="42"/>
  <c r="Q37" i="42"/>
  <c r="Q31" i="42"/>
  <c r="Q30" i="42"/>
  <c r="Q29" i="42"/>
  <c r="Q18" i="42"/>
  <c r="Q10" i="42"/>
  <c r="Q6" i="42"/>
  <c r="Q3" i="42"/>
  <c r="Q2" i="42"/>
  <c r="E1" i="94" a="1"/>
  <c r="E1" i="94" s="1"/>
  <c r="P2" i="96"/>
  <c r="Q2" i="96"/>
  <c r="P3" i="96"/>
  <c r="Q3" i="96"/>
  <c r="P4" i="96"/>
  <c r="Q4" i="96"/>
  <c r="P5" i="96"/>
  <c r="Q5" i="96"/>
  <c r="P6" i="96"/>
  <c r="P7" i="96"/>
  <c r="Q7" i="96"/>
  <c r="P8" i="96"/>
  <c r="P9" i="96"/>
  <c r="Q9" i="96"/>
  <c r="P10" i="96"/>
  <c r="Q10" i="96"/>
  <c r="P11" i="96"/>
  <c r="P12" i="96"/>
  <c r="P13" i="96"/>
  <c r="Q13" i="96"/>
  <c r="P14" i="96"/>
  <c r="Q14" i="96"/>
  <c r="P15" i="96"/>
  <c r="Q15" i="96"/>
  <c r="P16" i="96"/>
  <c r="Q16" i="96"/>
  <c r="P17" i="96"/>
  <c r="P18" i="96"/>
  <c r="Q18" i="96"/>
  <c r="P19" i="96"/>
  <c r="Q19" i="96"/>
  <c r="P20" i="96"/>
  <c r="P21" i="96"/>
  <c r="Q21" i="96"/>
  <c r="P22" i="96"/>
  <c r="Q22" i="96"/>
  <c r="P23" i="96"/>
  <c r="Q23" i="96"/>
  <c r="P24" i="96"/>
  <c r="Q24" i="96"/>
  <c r="P25" i="96"/>
  <c r="Q25" i="96"/>
  <c r="P26" i="96"/>
  <c r="Q26" i="96"/>
  <c r="P27" i="96"/>
  <c r="P28" i="96"/>
  <c r="P2" i="97"/>
  <c r="Q2" i="97"/>
  <c r="P3" i="97"/>
  <c r="Q3" i="97"/>
  <c r="P4" i="97"/>
  <c r="P5" i="97"/>
  <c r="Q5" i="97"/>
  <c r="P6" i="97"/>
  <c r="Q6" i="97"/>
  <c r="P7" i="97"/>
  <c r="Q7" i="97"/>
  <c r="P8" i="97"/>
  <c r="Q8" i="97"/>
  <c r="P9" i="97"/>
  <c r="Q9" i="97"/>
  <c r="P10" i="97"/>
  <c r="Q10" i="97"/>
  <c r="P11" i="97"/>
  <c r="Q11" i="97"/>
  <c r="P12" i="97"/>
  <c r="Q12" i="97"/>
  <c r="P13" i="97"/>
  <c r="Q13" i="97"/>
  <c r="P14" i="97"/>
  <c r="P15" i="97"/>
  <c r="Q15" i="97"/>
  <c r="P16" i="97"/>
  <c r="Q16" i="97"/>
  <c r="P17" i="97"/>
  <c r="P18" i="97"/>
  <c r="P19" i="97"/>
  <c r="Q19" i="97"/>
  <c r="P20" i="97"/>
  <c r="Q20" i="97"/>
  <c r="P21" i="97"/>
  <c r="Q21" i="97"/>
  <c r="P22" i="97"/>
  <c r="Q22" i="97"/>
  <c r="P23" i="97"/>
  <c r="Q23" i="97"/>
  <c r="P24" i="97"/>
  <c r="P25" i="97"/>
  <c r="Q25" i="97"/>
  <c r="P26" i="97"/>
  <c r="Q26" i="97"/>
  <c r="P27" i="97"/>
  <c r="Q27" i="97"/>
  <c r="Q1" i="97"/>
  <c r="P1" i="97"/>
  <c r="Q1" i="96"/>
  <c r="P1" i="96"/>
  <c r="R1" i="67"/>
  <c r="Q1" i="67"/>
  <c r="S1" i="105"/>
  <c r="R1" i="105"/>
  <c r="S1" i="103"/>
  <c r="R1" i="103"/>
  <c r="S1" i="101"/>
  <c r="R1" i="101"/>
  <c r="S1" i="87"/>
  <c r="R1" i="87"/>
  <c r="S1" i="85"/>
  <c r="R1" i="85"/>
  <c r="Q1" i="82"/>
  <c r="P1" i="82"/>
  <c r="S1" i="84"/>
  <c r="R1" i="84"/>
  <c r="Q1" i="83"/>
  <c r="P1" i="83"/>
  <c r="Q1" i="75"/>
  <c r="P1" i="75"/>
  <c r="Q1" i="78"/>
  <c r="P1" i="78"/>
  <c r="Q1" i="72"/>
  <c r="P1" i="72"/>
  <c r="S1" i="77"/>
  <c r="R1" i="77"/>
  <c r="S1" i="70"/>
  <c r="R1" i="70"/>
  <c r="Q1" i="69"/>
  <c r="P1" i="69"/>
  <c r="Q1" i="66"/>
  <c r="P1" i="66"/>
  <c r="S1" i="60"/>
  <c r="R1" i="60"/>
  <c r="S1" i="57"/>
  <c r="R1" i="57"/>
  <c r="S1" i="61"/>
  <c r="R1" i="61"/>
  <c r="Q1" i="53"/>
  <c r="P1" i="53"/>
  <c r="Q1" i="52"/>
  <c r="P1" i="52"/>
  <c r="Q1" i="51"/>
  <c r="P1" i="51"/>
  <c r="Q1" i="50"/>
  <c r="P1" i="50"/>
  <c r="Q1" i="49"/>
  <c r="P1" i="49"/>
  <c r="Q1" i="54"/>
  <c r="P1" i="54"/>
  <c r="Q1" i="42"/>
  <c r="P1" i="42"/>
  <c r="B36" i="67"/>
  <c r="B35" i="67"/>
  <c r="B30" i="67"/>
  <c r="B29" i="67"/>
  <c r="B28" i="67"/>
  <c r="B27" i="67"/>
  <c r="B26" i="67"/>
  <c r="B23" i="67"/>
  <c r="B21" i="67"/>
  <c r="B17" i="67"/>
  <c r="B16" i="67"/>
  <c r="B14" i="67"/>
  <c r="B12" i="67"/>
  <c r="B9" i="67"/>
  <c r="B7" i="67"/>
  <c r="B3" i="67"/>
  <c r="C21" i="84"/>
  <c r="H32" i="82"/>
  <c r="D14" i="103"/>
  <c r="D12" i="103"/>
  <c r="D10" i="103"/>
  <c r="D8" i="103"/>
  <c r="D6" i="103"/>
  <c r="D4" i="103"/>
  <c r="D2" i="103"/>
  <c r="E9" i="100"/>
  <c r="E8" i="100"/>
  <c r="E7" i="100"/>
  <c r="E6" i="100"/>
  <c r="K27" i="100"/>
  <c r="K21" i="100"/>
  <c r="E15" i="100"/>
  <c r="E17" i="100"/>
  <c r="E16" i="100"/>
  <c r="D15" i="100"/>
  <c r="I21" i="100"/>
  <c r="I26" i="100"/>
  <c r="C33" i="82"/>
  <c r="N33" i="82" s="1"/>
  <c r="C32" i="82"/>
  <c r="N32" i="82" s="1"/>
  <c r="P19" i="67"/>
  <c r="O19" i="67"/>
  <c r="P16" i="67"/>
  <c r="O16" i="67"/>
  <c r="A21" i="67"/>
  <c r="A19" i="67"/>
  <c r="B19" i="67"/>
  <c r="A20" i="67"/>
  <c r="B20" i="67"/>
  <c r="A17" i="67"/>
  <c r="B18" i="67"/>
  <c r="A18" i="67"/>
  <c r="A16" i="67"/>
  <c r="G21" i="67"/>
  <c r="G18" i="67"/>
  <c r="G19" i="67"/>
  <c r="G16" i="67"/>
  <c r="H20" i="67"/>
  <c r="E16" i="67"/>
  <c r="E17" i="67"/>
  <c r="E18" i="67"/>
  <c r="E19" i="67"/>
  <c r="E20" i="67"/>
  <c r="E21" i="67"/>
  <c r="F20" i="67"/>
  <c r="F17" i="67"/>
  <c r="F21" i="67"/>
  <c r="F19" i="67"/>
  <c r="F18" i="67"/>
  <c r="F16" i="67"/>
  <c r="O32" i="82"/>
  <c r="O33" i="82"/>
  <c r="M32" i="82"/>
  <c r="M33" i="82"/>
  <c r="G32" i="82"/>
  <c r="G33" i="82"/>
  <c r="E32" i="82"/>
  <c r="E33" i="82"/>
  <c r="F33" i="82"/>
  <c r="F32" i="82"/>
  <c r="A33" i="82"/>
  <c r="B33" i="82"/>
  <c r="B32" i="82"/>
  <c r="A32" i="82"/>
  <c r="E30" i="82"/>
  <c r="G30" i="82"/>
  <c r="M30" i="82"/>
  <c r="N30" i="82"/>
  <c r="O30" i="82"/>
  <c r="E31" i="82"/>
  <c r="G31" i="82"/>
  <c r="M31" i="82"/>
  <c r="N31" i="82"/>
  <c r="O31" i="82"/>
  <c r="B31" i="82"/>
  <c r="B30" i="82"/>
  <c r="A31" i="82"/>
  <c r="A30" i="82"/>
  <c r="R28" i="54"/>
  <c r="B29" i="54"/>
  <c r="B28" i="54"/>
  <c r="A29" i="54"/>
  <c r="A28" i="54"/>
  <c r="B27" i="54"/>
  <c r="B26" i="54"/>
  <c r="R26" i="54"/>
  <c r="A27" i="54"/>
  <c r="A26" i="54"/>
  <c r="O38" i="42"/>
  <c r="O37" i="42"/>
  <c r="B37" i="42"/>
  <c r="B38" i="42"/>
  <c r="A38" i="42"/>
  <c r="C29" i="82"/>
  <c r="C28" i="82"/>
  <c r="C26" i="82"/>
  <c r="C27" i="82"/>
  <c r="C25" i="82"/>
  <c r="C24" i="82"/>
  <c r="C23" i="82"/>
  <c r="C22" i="82"/>
  <c r="N22" i="82" s="1"/>
  <c r="O23" i="82"/>
  <c r="O24" i="82"/>
  <c r="O25" i="82"/>
  <c r="O26" i="82"/>
  <c r="O27" i="82"/>
  <c r="O28" i="82"/>
  <c r="O29" i="82"/>
  <c r="O22" i="82"/>
  <c r="M22" i="82"/>
  <c r="M23" i="82"/>
  <c r="M24" i="82"/>
  <c r="M25" i="82"/>
  <c r="M26" i="82"/>
  <c r="M27" i="82"/>
  <c r="M28" i="82"/>
  <c r="M29" i="82"/>
  <c r="B29" i="82"/>
  <c r="B28" i="82"/>
  <c r="B25" i="82"/>
  <c r="B24" i="82"/>
  <c r="G29" i="82"/>
  <c r="G28" i="82"/>
  <c r="G27" i="82"/>
  <c r="G26" i="82"/>
  <c r="G25" i="82"/>
  <c r="G24" i="82"/>
  <c r="G23" i="82"/>
  <c r="G22" i="82"/>
  <c r="F29" i="82"/>
  <c r="F28" i="82"/>
  <c r="F27" i="82"/>
  <c r="F26" i="82"/>
  <c r="F25" i="82"/>
  <c r="F24" i="82"/>
  <c r="F23" i="82"/>
  <c r="F22" i="82"/>
  <c r="E22" i="82"/>
  <c r="E23" i="82"/>
  <c r="E24" i="82"/>
  <c r="E25" i="82"/>
  <c r="E26" i="82"/>
  <c r="E27" i="82"/>
  <c r="E28" i="82"/>
  <c r="E29" i="82"/>
  <c r="A29" i="82"/>
  <c r="A28" i="82"/>
  <c r="B27" i="82"/>
  <c r="A27" i="82"/>
  <c r="B26" i="82"/>
  <c r="A26" i="82"/>
  <c r="B23" i="82"/>
  <c r="A25" i="82"/>
  <c r="A23" i="82"/>
  <c r="A24" i="82"/>
  <c r="B22" i="82"/>
  <c r="A22" i="82"/>
  <c r="G56" i="42"/>
  <c r="E56" i="42"/>
  <c r="B56" i="42"/>
  <c r="A56" i="42"/>
  <c r="D29" i="40"/>
  <c r="D20" i="40"/>
  <c r="D21" i="40"/>
  <c r="C7" i="66"/>
  <c r="O55" i="42"/>
  <c r="G55" i="42"/>
  <c r="E55" i="42"/>
  <c r="B55" i="42"/>
  <c r="A55" i="42"/>
  <c r="B27" i="97"/>
  <c r="I27" i="97"/>
  <c r="J27" i="97"/>
  <c r="K27" i="97"/>
  <c r="C35" i="61"/>
  <c r="H13" i="8" a="1"/>
  <c r="I7" i="8" a="1"/>
  <c r="AJ10" i="8" a="1"/>
  <c r="BD9" i="8" a="1"/>
  <c r="CF8" i="8" a="1"/>
  <c r="CC8" i="8" a="1"/>
  <c r="BM12" i="8" a="1"/>
  <c r="R12" i="8" a="1"/>
  <c r="BM9" i="8" a="1"/>
  <c r="BN8" i="8" a="1"/>
  <c r="CH7" i="8" a="1"/>
  <c r="AI7" i="8" a="1"/>
  <c r="BN10" i="8" a="1"/>
  <c r="W10" i="8" a="1"/>
  <c r="AT12" i="8" a="1"/>
  <c r="BB12" i="8" a="1"/>
  <c r="BR12" i="8" a="1"/>
  <c r="L10" i="8" a="1"/>
  <c r="AF9" i="8" a="1"/>
  <c r="BH8" i="8" a="1"/>
  <c r="BL7" i="8" a="1"/>
  <c r="AF12" i="8" a="1"/>
  <c r="BI12" i="8" a="1"/>
  <c r="AV10" i="8" a="1"/>
  <c r="BP9" i="8" a="1"/>
  <c r="Q9" i="8" a="1"/>
  <c r="AX9" i="8" a="1"/>
  <c r="BP12" i="8" a="1"/>
  <c r="O10" i="8" a="1"/>
  <c r="AY8" i="8" a="1"/>
  <c r="AJ7" i="8" a="1"/>
  <c r="N7" i="8" a="1"/>
  <c r="BX9" i="8" a="1"/>
  <c r="BX12" i="8" a="1"/>
  <c r="CH8" i="8" a="1"/>
  <c r="L8" i="8" a="1"/>
  <c r="CF9" i="8" a="1"/>
  <c r="BW9" i="8" a="1"/>
  <c r="BR10" i="8" a="1"/>
  <c r="BI10" i="8" a="1"/>
  <c r="BJ9" i="8" a="1"/>
  <c r="AO7" i="8" a="1"/>
  <c r="BP10" i="8" a="1"/>
  <c r="I10" i="8" a="1"/>
  <c r="AK9" i="8" a="1"/>
  <c r="AY10" i="8" a="1"/>
  <c r="AG12" i="8" a="1"/>
  <c r="AI12" i="8" a="1"/>
  <c r="AT9" i="8" a="1"/>
  <c r="S9" i="8" a="1"/>
  <c r="AM8" i="8" a="1"/>
  <c r="BO7" i="8" a="1"/>
  <c r="T7" i="8" a="1"/>
  <c r="BF9" i="8" a="1"/>
  <c r="BZ12" i="8" a="1"/>
  <c r="BS12" i="8" a="1"/>
  <c r="Q7" i="8" a="1"/>
  <c r="AR10" i="8" a="1"/>
  <c r="BL9" i="8" a="1"/>
  <c r="M9" i="8" a="1"/>
  <c r="AH9" i="8" a="1"/>
  <c r="BL12" i="8" a="1"/>
  <c r="U7" i="8" a="1"/>
  <c r="CB10" i="8" a="1"/>
  <c r="U10" i="8" a="1"/>
  <c r="AW9" i="8" a="1"/>
  <c r="I8" i="8" a="1"/>
  <c r="M12" i="8" a="1"/>
  <c r="AZ12" i="8" a="1"/>
  <c r="BK9" i="8" a="1"/>
  <c r="CE8" i="8" a="1"/>
  <c r="AJ8" i="8" a="1"/>
  <c r="BG10" i="8" a="1"/>
  <c r="H12" i="8" a="1"/>
  <c r="AQ12" i="8" a="1"/>
  <c r="AZ9" i="8" a="1"/>
  <c r="BI7" i="8" a="1"/>
  <c r="AG10" i="8" a="1"/>
  <c r="AC10" i="8" a="1"/>
  <c r="BE9" i="8" a="1"/>
  <c r="AS8" i="8" a="1"/>
  <c r="U12" i="8" a="1"/>
  <c r="BE12" i="8" a="1"/>
  <c r="AI10" i="8" a="1"/>
  <c r="AM9" i="8" a="1"/>
  <c r="P9" i="8" a="1"/>
  <c r="AR8" i="8" a="1"/>
  <c r="P12" i="8" a="1"/>
  <c r="BG12" i="8" a="1"/>
  <c r="BO10" i="8" a="1"/>
  <c r="AM10" i="8" a="1"/>
  <c r="M8" i="8" a="1"/>
  <c r="AW12" i="8" a="1"/>
  <c r="AN7" i="8" a="1"/>
  <c r="R10" i="8" a="1"/>
  <c r="BU7" i="8" a="1"/>
  <c r="R7" i="8" a="1"/>
  <c r="AS10" i="8" a="1"/>
  <c r="BQ9" i="8" a="1"/>
  <c r="AV7" i="8" a="1"/>
  <c r="J12" i="8" a="1"/>
  <c r="V12" i="8" a="1"/>
  <c r="BU8" i="8" a="1"/>
  <c r="AY9" i="8" a="1"/>
  <c r="BS8" i="8" a="1"/>
  <c r="X8" i="8" a="1"/>
  <c r="J9" i="8" a="1"/>
  <c r="BH7" i="8" a="1"/>
  <c r="AE12" i="8" a="1"/>
  <c r="AK7" i="8" a="1"/>
  <c r="AW7" i="8" a="1"/>
  <c r="BX10" i="8" a="1"/>
  <c r="Q10" i="8" a="1"/>
  <c r="AS9" i="8" a="1"/>
  <c r="CE10" i="8" a="1"/>
  <c r="I12" i="8" a="1"/>
  <c r="BA7" i="8" a="1"/>
  <c r="BE10" i="8" a="1"/>
  <c r="CC9" i="8" a="1"/>
  <c r="AC8" i="8" a="1"/>
  <c r="AS12" i="8" a="1"/>
  <c r="G9" i="8" a="1"/>
  <c r="T10" i="8" a="1"/>
  <c r="AN9" i="8" a="1"/>
  <c r="BP8" i="8" a="1"/>
  <c r="Q8" i="8" a="1"/>
  <c r="AN12" i="8" a="1"/>
  <c r="BW12" i="8" a="1"/>
  <c r="BG7" i="8" a="1"/>
  <c r="R8" i="8" a="1"/>
  <c r="AL7" i="8" a="1"/>
  <c r="BM10" i="8" a="1"/>
  <c r="N10" i="8" a="1"/>
  <c r="BA12" i="8" a="1"/>
  <c r="S12" i="8" a="1"/>
  <c r="T12" i="8" a="1"/>
  <c r="BS9" i="8" a="1"/>
  <c r="AV9" i="8" a="1"/>
  <c r="BX8" i="8" a="1"/>
  <c r="AW8" i="8" a="1"/>
  <c r="AV12" i="8" a="1"/>
  <c r="L7" i="8" a="1"/>
  <c r="BQ8" i="8" a="1"/>
  <c r="BT9" i="8" a="1"/>
  <c r="BN9" i="8" a="1"/>
  <c r="CB8" i="8" a="1"/>
  <c r="BR7" i="8" a="1"/>
  <c r="AT10" i="8" a="1"/>
  <c r="W12" i="8" a="1"/>
  <c r="CB9" i="8" a="1"/>
  <c r="S10" i="8" a="1"/>
  <c r="CF7" i="8" a="1"/>
  <c r="BN12" i="8" a="1"/>
  <c r="BK7" i="8" a="1"/>
  <c r="G7" i="8" a="1"/>
  <c r="H7" i="8" a="1"/>
  <c r="AT7" i="8" a="1"/>
  <c r="AH12" i="8" a="1"/>
  <c r="BL10" i="8" a="1"/>
  <c r="CE12" i="8" a="1"/>
  <c r="AX7" i="8" a="1"/>
  <c r="BY10" i="8" a="1"/>
  <c r="Z10" i="8" a="1"/>
  <c r="U8" i="8" a="1"/>
  <c r="AP12" i="8" a="1"/>
  <c r="AM12" i="8" a="1"/>
  <c r="AL12" i="8" a="1"/>
  <c r="CE9" i="8" a="1"/>
  <c r="AB9" i="8" a="1"/>
  <c r="BD8" i="8" a="1"/>
  <c r="CA10" i="8" a="1"/>
  <c r="AB12" i="8" a="1"/>
  <c r="BK12" i="8" a="1"/>
  <c r="AF10" i="8" a="1"/>
  <c r="CC7" i="8" a="1"/>
  <c r="Z7" i="8" a="1"/>
  <c r="BA10" i="8" a="1"/>
  <c r="BY9" i="8" a="1"/>
  <c r="BW10" i="8" a="1"/>
  <c r="AO12" i="8" a="1"/>
  <c r="J8" i="8" a="1"/>
  <c r="BJ7" i="8" a="1"/>
  <c r="K7" i="8" a="1"/>
  <c r="AL10" i="8" a="1"/>
  <c r="CH12" i="8" a="1"/>
  <c r="Y7" i="8" a="1"/>
  <c r="AZ10" i="8" a="1"/>
  <c r="U9" i="8" a="1"/>
  <c r="BT12" i="8" a="1"/>
  <c r="H9" i="8" a="1"/>
  <c r="AX8" i="8" a="1"/>
  <c r="S7" i="8" a="1"/>
  <c r="AL9" i="8" a="1"/>
  <c r="G10" i="8" a="1"/>
  <c r="AB10" i="8" a="1"/>
  <c r="AC9" i="8" a="1"/>
  <c r="Y12" i="8" a="1"/>
  <c r="AI8" i="8" a="1"/>
  <c r="BQ12" i="8" a="1"/>
  <c r="K8" i="8" a="1"/>
  <c r="AU8" i="8" a="1"/>
  <c r="AH7" i="8" a="1"/>
  <c r="AI9" i="8" a="1"/>
  <c r="BM7" i="8" a="1"/>
  <c r="BC12" i="8" a="1"/>
  <c r="BJ8" i="8" a="1"/>
  <c r="CD7" i="8" a="1"/>
  <c r="AE7" i="8" a="1"/>
  <c r="BJ10" i="8" a="1"/>
  <c r="CH9" i="8" a="1"/>
  <c r="BV12" i="8" a="1"/>
  <c r="G12" i="8" a="1"/>
  <c r="M7" i="8" a="1"/>
  <c r="AN10" i="8" a="1"/>
  <c r="BH9" i="8" a="1"/>
  <c r="I9" i="8" a="1"/>
  <c r="R9" i="8" a="1"/>
  <c r="BH12" i="8" a="1"/>
  <c r="BU12" i="8" a="1"/>
  <c r="BK8" i="8" a="1"/>
  <c r="AL8" i="8" a="1"/>
  <c r="BF7" i="8" a="1"/>
  <c r="BF10" i="8" a="1"/>
  <c r="AH10" i="8" a="1"/>
  <c r="BA8" i="8" a="1"/>
  <c r="CD12" i="8" a="1"/>
  <c r="AP8" i="8" a="1"/>
  <c r="O8" i="8" a="1"/>
  <c r="AQ7" i="8" a="1"/>
  <c r="BV10" i="8" a="1"/>
  <c r="BC10" i="8" a="1"/>
  <c r="K9" i="8" a="1"/>
  <c r="BE7" i="8" a="1"/>
  <c r="CF10" i="8" a="1"/>
  <c r="Y10" i="8" a="1"/>
  <c r="BA9" i="8" a="1"/>
  <c r="BV9" i="8" a="1"/>
  <c r="Q12" i="8" a="1"/>
  <c r="CB12" i="8" a="1"/>
  <c r="AZ7" i="8" a="1"/>
  <c r="CD8" i="8" a="1"/>
  <c r="W8" i="8" a="1"/>
  <c r="AY7" i="8" a="1"/>
  <c r="CD10" i="8" a="1"/>
  <c r="BD7" i="8" a="1"/>
  <c r="BJ12" i="8" a="1"/>
  <c r="BQ7" i="8" a="1"/>
  <c r="AG7" i="8" a="1"/>
  <c r="BH10" i="8" a="1"/>
  <c r="AK10" i="8" a="1"/>
  <c r="BI9" i="8" a="1"/>
  <c r="CF12" i="8" a="1"/>
  <c r="Z9" i="8" a="1"/>
  <c r="AO9" i="8" a="1"/>
  <c r="AM7" i="8" a="1"/>
  <c r="AF7" i="8" a="1"/>
  <c r="BK10" i="8" a="1"/>
  <c r="CE7" i="8" a="1"/>
  <c r="BQ10" i="8" a="1"/>
  <c r="O9" i="8" a="1"/>
  <c r="AU9" i="8" a="1"/>
  <c r="BO8" i="8" a="1"/>
  <c r="T8" i="8" a="1"/>
  <c r="AO8" i="8" a="1"/>
  <c r="X12" i="8" a="1"/>
  <c r="CC12" i="8" a="1"/>
  <c r="AE8" i="8" a="1"/>
  <c r="BY7" i="8" a="1"/>
  <c r="V7" i="8" a="1"/>
  <c r="AW10" i="8" a="1"/>
  <c r="BU9" i="8" a="1"/>
  <c r="Y8" i="8" a="1"/>
  <c r="AK12" i="8" a="1"/>
  <c r="AX12" i="8" a="1"/>
  <c r="BM8" i="8" a="1"/>
  <c r="W9" i="8" a="1"/>
  <c r="AQ8" i="8" a="1"/>
  <c r="BS7" i="8" a="1"/>
  <c r="AB7" i="8" a="1"/>
  <c r="AQ10" i="8" a="1"/>
  <c r="H8" i="8" a="1"/>
  <c r="BG9" i="8" a="1"/>
  <c r="CA8" i="8" a="1"/>
  <c r="AF8" i="8" a="1"/>
  <c r="K10" i="8" a="1"/>
  <c r="AE10" i="8" a="1"/>
  <c r="AO10" i="8" a="1"/>
  <c r="AT8" i="8" a="1"/>
  <c r="BN7" i="8" a="1"/>
  <c r="O7" i="8" a="1"/>
  <c r="AP10" i="8" a="1"/>
  <c r="V9" i="8" a="1"/>
  <c r="Z12" i="8" a="1"/>
  <c r="AY12" i="8" a="1"/>
  <c r="AC12" i="8" a="1"/>
  <c r="BO9" i="8" a="1"/>
  <c r="L9" i="8" a="1"/>
  <c r="AN8" i="8" a="1"/>
  <c r="BX7" i="8" a="1"/>
  <c r="L12" i="8" a="1"/>
  <c r="AU12" i="8" a="1"/>
  <c r="T9" i="8" a="1"/>
  <c r="V8" i="8" a="1"/>
  <c r="AP7" i="8" a="1"/>
  <c r="W7" i="8" a="1"/>
  <c r="AX10" i="8" a="1"/>
  <c r="BB9" i="8" a="1"/>
  <c r="BF8" i="8" a="1"/>
  <c r="AV8" i="8" a="1"/>
  <c r="AS7" i="8" a="1"/>
  <c r="BT10" i="8" a="1"/>
  <c r="V10" i="8" a="1"/>
  <c r="BV8" i="8" a="1"/>
  <c r="N8" i="8" a="1"/>
  <c r="BR9" i="8" a="1"/>
  <c r="O12" i="8" a="1"/>
  <c r="BP7" i="8" a="1"/>
  <c r="CA9" i="8" a="1"/>
  <c r="X9" i="8" a="1"/>
  <c r="AZ8" i="8" a="1"/>
  <c r="BZ9" i="8" a="1"/>
  <c r="BD12" i="8" a="1"/>
  <c r="G8" i="8" a="1"/>
  <c r="BU10" i="8" a="1"/>
  <c r="AH8" i="8" a="1"/>
  <c r="BB7" i="8" a="1"/>
  <c r="CC10" i="8" a="1"/>
  <c r="AK8" i="8" a="1"/>
  <c r="N12" i="8" a="1"/>
  <c r="BO12" i="8" a="1"/>
  <c r="BT7" i="8" a="1"/>
  <c r="BC9" i="8" a="1"/>
  <c r="BW8" i="8" a="1"/>
  <c r="AB8" i="8" a="1"/>
  <c r="AP9" i="8" a="1"/>
  <c r="N9" i="8" a="1"/>
  <c r="AQ9" i="8" a="1"/>
  <c r="P10" i="8" a="1"/>
  <c r="AJ9" i="8" a="1"/>
  <c r="BL8" i="8" a="1"/>
  <c r="CB7" i="8" a="1"/>
  <c r="AJ12" i="8" a="1"/>
  <c r="AG9" i="8" a="1"/>
  <c r="BZ8" i="8" a="1"/>
  <c r="S8" i="8" a="1"/>
  <c r="AU7" i="8" a="1"/>
  <c r="BZ10" i="8" a="1"/>
  <c r="BS10" i="8" a="1"/>
  <c r="BF12" i="8" a="1"/>
  <c r="Z8" i="8" a="1"/>
  <c r="BY12" i="8" a="1"/>
  <c r="X10" i="8" a="1"/>
  <c r="AR9" i="8" a="1"/>
  <c r="BT8" i="8" a="1"/>
  <c r="AG8" i="8" a="1"/>
  <c r="AR12" i="8" a="1"/>
  <c r="CA12" i="8" a="1"/>
  <c r="P8" i="8" a="1"/>
  <c r="BB8" i="8" a="1"/>
  <c r="BV7" i="8" a="1"/>
  <c r="BC7" i="8" a="1"/>
  <c r="CH10" i="8" a="1"/>
  <c r="BE8" i="8" a="1"/>
  <c r="BZ7" i="8" a="1"/>
  <c r="AE9" i="8" a="1"/>
  <c r="CA7" i="8" a="1"/>
  <c r="BY8" i="8" a="1"/>
  <c r="K12" i="8" a="1"/>
  <c r="AC7" i="8" a="1"/>
  <c r="BD10" i="8" a="1"/>
  <c r="Y9" i="8" a="1"/>
  <c r="CD9" i="8" a="1"/>
  <c r="H10" i="8" a="1"/>
  <c r="BB10" i="8" a="1"/>
  <c r="BG8" i="8" a="1"/>
  <c r="AR7" i="8" a="1"/>
  <c r="AU10" i="8" a="1"/>
  <c r="BI8" i="8" a="1"/>
  <c r="P7" i="8" a="1"/>
  <c r="M10" i="8" a="1"/>
  <c r="BR8" i="8" a="1"/>
  <c r="BW7" i="8" a="1"/>
  <c r="J10" i="8" a="1"/>
  <c r="BC8" i="8" a="1"/>
  <c r="J7" i="8" a="1"/>
  <c r="G12" i="8" l="1"/>
  <c r="AE10" i="8"/>
  <c r="N9" i="8"/>
  <c r="BH7" i="8"/>
  <c r="BT7" i="8"/>
  <c r="AU10" i="8"/>
  <c r="BJ9" i="8"/>
  <c r="BY8" i="8"/>
  <c r="M8" i="8"/>
  <c r="AQ10" i="8"/>
  <c r="BF9" i="8"/>
  <c r="Z9" i="8"/>
  <c r="BU8" i="8"/>
  <c r="BE8" i="8"/>
  <c r="BD7" i="8"/>
  <c r="BS10" i="8"/>
  <c r="BC10" i="8"/>
  <c r="AM10" i="8"/>
  <c r="W10" i="8"/>
  <c r="CH9" i="8"/>
  <c r="BR9" i="8"/>
  <c r="BB9" i="8"/>
  <c r="AL9" i="8"/>
  <c r="V9" i="8"/>
  <c r="BQ8" i="8"/>
  <c r="BA8" i="8"/>
  <c r="AK8" i="8"/>
  <c r="U8" i="8"/>
  <c r="CF7" i="8"/>
  <c r="BP7" i="8"/>
  <c r="BK10" i="8"/>
  <c r="AC8" i="8"/>
  <c r="BW10" i="8"/>
  <c r="Y8" i="8"/>
  <c r="AV7" i="8"/>
  <c r="O10" i="8"/>
  <c r="AS8" i="8"/>
  <c r="BV9" i="8"/>
  <c r="I8" i="8"/>
  <c r="CE10" i="8"/>
  <c r="BO10" i="8"/>
  <c r="AY10" i="8"/>
  <c r="AI10" i="8"/>
  <c r="S10" i="8"/>
  <c r="CD9" i="8"/>
  <c r="BN9" i="8"/>
  <c r="AX9" i="8"/>
  <c r="AH9" i="8"/>
  <c r="R9" i="8"/>
  <c r="CC8" i="8"/>
  <c r="BM8" i="8"/>
  <c r="AW8" i="8"/>
  <c r="AG8" i="8"/>
  <c r="Q8" i="8"/>
  <c r="CB7" i="8"/>
  <c r="BL7" i="8"/>
  <c r="CA10" i="8"/>
  <c r="BZ9" i="8"/>
  <c r="AT9" i="8"/>
  <c r="BI8" i="8"/>
  <c r="BX7" i="8"/>
  <c r="BG10" i="8"/>
  <c r="K10" i="8"/>
  <c r="AP9" i="8"/>
  <c r="J9" i="8"/>
  <c r="AO8" i="8"/>
  <c r="AZ7" i="8"/>
  <c r="AR7" i="8"/>
  <c r="AN7" i="8"/>
  <c r="AJ7" i="8"/>
  <c r="AF7" i="8"/>
  <c r="AB7" i="8"/>
  <c r="T7" i="8"/>
  <c r="P7" i="8"/>
  <c r="L7" i="8"/>
  <c r="CH10" i="8"/>
  <c r="CD10" i="8"/>
  <c r="BZ10" i="8"/>
  <c r="BV10" i="8"/>
  <c r="BR10" i="8"/>
  <c r="BN10" i="8"/>
  <c r="BJ10" i="8"/>
  <c r="BB10" i="8"/>
  <c r="AX10" i="8"/>
  <c r="AT10" i="8"/>
  <c r="AP10" i="8"/>
  <c r="AL10" i="8"/>
  <c r="AH10" i="8"/>
  <c r="Z10" i="8"/>
  <c r="V10" i="8"/>
  <c r="R10" i="8"/>
  <c r="N10" i="8"/>
  <c r="J10" i="8"/>
  <c r="CC9" i="8"/>
  <c r="BY9" i="8"/>
  <c r="BU9" i="8"/>
  <c r="BQ9" i="8"/>
  <c r="BM9" i="8"/>
  <c r="BI9" i="8"/>
  <c r="BE9" i="8"/>
  <c r="BA9" i="8"/>
  <c r="AW9" i="8"/>
  <c r="AS9" i="8"/>
  <c r="AO9" i="8"/>
  <c r="AK9" i="8"/>
  <c r="AG9" i="8"/>
  <c r="AC9" i="8"/>
  <c r="Y9" i="8"/>
  <c r="U9" i="8"/>
  <c r="Q9" i="8"/>
  <c r="M9" i="8"/>
  <c r="I9" i="8"/>
  <c r="CF8" i="8"/>
  <c r="CB8" i="8"/>
  <c r="BX8" i="8"/>
  <c r="BT8" i="8"/>
  <c r="BP8" i="8"/>
  <c r="BL8" i="8"/>
  <c r="BH8" i="8"/>
  <c r="BD8" i="8"/>
  <c r="AZ8" i="8"/>
  <c r="AV8" i="8"/>
  <c r="AR8" i="8"/>
  <c r="AN8" i="8"/>
  <c r="AJ8" i="8"/>
  <c r="AF8" i="8"/>
  <c r="AB8" i="8"/>
  <c r="X8" i="8"/>
  <c r="T8" i="8"/>
  <c r="P8" i="8"/>
  <c r="L8" i="8"/>
  <c r="CE7" i="8"/>
  <c r="CA7" i="8"/>
  <c r="BW7" i="8"/>
  <c r="BS7" i="8"/>
  <c r="BO7" i="8"/>
  <c r="BK7" i="8"/>
  <c r="BG7" i="8"/>
  <c r="BC7" i="8"/>
  <c r="AY7" i="8"/>
  <c r="AU7" i="8"/>
  <c r="AQ7" i="8"/>
  <c r="AM7" i="8"/>
  <c r="AI7" i="8"/>
  <c r="AE7" i="8"/>
  <c r="W7" i="8"/>
  <c r="S7" i="8"/>
  <c r="O7" i="8"/>
  <c r="K7" i="8"/>
  <c r="BF10" i="8"/>
  <c r="CC10" i="8"/>
  <c r="BY10" i="8"/>
  <c r="BU10" i="8"/>
  <c r="BQ10" i="8"/>
  <c r="BM10" i="8"/>
  <c r="BI10" i="8"/>
  <c r="BE10" i="8"/>
  <c r="BA10" i="8"/>
  <c r="AW10" i="8"/>
  <c r="AS10" i="8"/>
  <c r="AO10" i="8"/>
  <c r="AK10" i="8"/>
  <c r="AC10" i="8"/>
  <c r="Y10" i="8"/>
  <c r="U10" i="8"/>
  <c r="Q10" i="8"/>
  <c r="M10" i="8"/>
  <c r="I10" i="8"/>
  <c r="CF9" i="8"/>
  <c r="CB9" i="8"/>
  <c r="BX9" i="8"/>
  <c r="BT9" i="8"/>
  <c r="BP9" i="8"/>
  <c r="BL9" i="8"/>
  <c r="BH9" i="8"/>
  <c r="BD9" i="8"/>
  <c r="AZ9" i="8"/>
  <c r="AV9" i="8"/>
  <c r="AR9" i="8"/>
  <c r="AN9" i="8"/>
  <c r="AJ9" i="8"/>
  <c r="AF9" i="8"/>
  <c r="AB9" i="8"/>
  <c r="X9" i="8"/>
  <c r="T9" i="8"/>
  <c r="P9" i="8"/>
  <c r="L9" i="8"/>
  <c r="CE8" i="8"/>
  <c r="CA8" i="8"/>
  <c r="BW8" i="8"/>
  <c r="BS8" i="8"/>
  <c r="BO8" i="8"/>
  <c r="BK8" i="8"/>
  <c r="BG8" i="8"/>
  <c r="BC8" i="8"/>
  <c r="AY8" i="8"/>
  <c r="AU8" i="8"/>
  <c r="AQ8" i="8"/>
  <c r="AM8" i="8"/>
  <c r="AI8" i="8"/>
  <c r="AE8" i="8"/>
  <c r="W8" i="8"/>
  <c r="S8" i="8"/>
  <c r="O8" i="8"/>
  <c r="K8" i="8"/>
  <c r="CH7" i="8"/>
  <c r="CD7" i="8"/>
  <c r="BZ7" i="8"/>
  <c r="BV7" i="8"/>
  <c r="BR7" i="8"/>
  <c r="BN7" i="8"/>
  <c r="BJ7" i="8"/>
  <c r="BF7" i="8"/>
  <c r="BB7" i="8"/>
  <c r="AX7" i="8"/>
  <c r="AT7" i="8"/>
  <c r="AP7" i="8"/>
  <c r="AL7" i="8"/>
  <c r="AH7" i="8"/>
  <c r="Z7" i="8"/>
  <c r="V7" i="8"/>
  <c r="R7" i="8"/>
  <c r="N7" i="8"/>
  <c r="J7" i="8"/>
  <c r="AG10" i="8"/>
  <c r="CF10" i="8"/>
  <c r="CB10" i="8"/>
  <c r="BX10" i="8"/>
  <c r="BT10" i="8"/>
  <c r="BP10" i="8"/>
  <c r="BL10" i="8"/>
  <c r="BH10" i="8"/>
  <c r="BD10" i="8"/>
  <c r="AZ10" i="8"/>
  <c r="AV10" i="8"/>
  <c r="AR10" i="8"/>
  <c r="AN10" i="8"/>
  <c r="AJ10" i="8"/>
  <c r="AF10" i="8"/>
  <c r="AB10" i="8"/>
  <c r="X10" i="8"/>
  <c r="T10" i="8"/>
  <c r="P10" i="8"/>
  <c r="L10" i="8"/>
  <c r="CE9" i="8"/>
  <c r="CA9" i="8"/>
  <c r="BW9" i="8"/>
  <c r="BS9" i="8"/>
  <c r="BO9" i="8"/>
  <c r="BK9" i="8"/>
  <c r="BG9" i="8"/>
  <c r="BC9" i="8"/>
  <c r="AY9" i="8"/>
  <c r="AU9" i="8"/>
  <c r="AQ9" i="8"/>
  <c r="AM9" i="8"/>
  <c r="AI9" i="8"/>
  <c r="AE9" i="8"/>
  <c r="W9" i="8"/>
  <c r="S9" i="8"/>
  <c r="O9" i="8"/>
  <c r="K9" i="8"/>
  <c r="CH8" i="8"/>
  <c r="CD8" i="8"/>
  <c r="BZ8" i="8"/>
  <c r="BV8" i="8"/>
  <c r="BR8" i="8"/>
  <c r="BN8" i="8"/>
  <c r="BJ8" i="8"/>
  <c r="BF8" i="8"/>
  <c r="BB8" i="8"/>
  <c r="AX8" i="8"/>
  <c r="AT8" i="8"/>
  <c r="AP8" i="8"/>
  <c r="AL8" i="8"/>
  <c r="AH8" i="8"/>
  <c r="Z8" i="8"/>
  <c r="V8" i="8"/>
  <c r="R8" i="8"/>
  <c r="N8" i="8"/>
  <c r="J8" i="8"/>
  <c r="CC7" i="8"/>
  <c r="BY7" i="8"/>
  <c r="BU7" i="8"/>
  <c r="BQ7" i="8"/>
  <c r="BM7" i="8"/>
  <c r="BI7" i="8"/>
  <c r="BE7" i="8"/>
  <c r="BA7" i="8"/>
  <c r="AW7" i="8"/>
  <c r="AS7" i="8"/>
  <c r="AO7" i="8"/>
  <c r="AK7" i="8"/>
  <c r="AG7" i="8"/>
  <c r="AC7" i="8"/>
  <c r="Y7" i="8"/>
  <c r="U7" i="8"/>
  <c r="Q7" i="8"/>
  <c r="M7" i="8"/>
  <c r="I7" i="8"/>
  <c r="BU12" i="8"/>
  <c r="CC12" i="8"/>
  <c r="BY12" i="8"/>
  <c r="CE12" i="8"/>
  <c r="CA12" i="8"/>
  <c r="BW12" i="8"/>
  <c r="BS12" i="8"/>
  <c r="BO12" i="8"/>
  <c r="BK12" i="8"/>
  <c r="BG12" i="8"/>
  <c r="BC12" i="8"/>
  <c r="AY12" i="8"/>
  <c r="AU12" i="8"/>
  <c r="AQ12" i="8"/>
  <c r="AM12" i="8"/>
  <c r="AI12" i="8"/>
  <c r="AE12" i="8"/>
  <c r="W12" i="8"/>
  <c r="S12" i="8"/>
  <c r="O12" i="8"/>
  <c r="K12" i="8"/>
  <c r="CH12" i="8"/>
  <c r="CD12" i="8"/>
  <c r="BZ12" i="8"/>
  <c r="BV12" i="8"/>
  <c r="BR12" i="8"/>
  <c r="BN12" i="8"/>
  <c r="BJ12" i="8"/>
  <c r="BF12" i="8"/>
  <c r="BB12" i="8"/>
  <c r="AX12" i="8"/>
  <c r="AT12" i="8"/>
  <c r="AP12" i="8"/>
  <c r="AL12" i="8"/>
  <c r="AH12" i="8"/>
  <c r="Z12" i="8"/>
  <c r="V12" i="8"/>
  <c r="R12" i="8"/>
  <c r="N12" i="8"/>
  <c r="J12" i="8"/>
  <c r="BI12" i="8"/>
  <c r="BE12" i="8"/>
  <c r="BA12" i="8"/>
  <c r="AW12" i="8"/>
  <c r="AS12" i="8"/>
  <c r="AO12" i="8"/>
  <c r="AK12" i="8"/>
  <c r="AG12" i="8"/>
  <c r="AC12" i="8"/>
  <c r="Y12" i="8"/>
  <c r="U12" i="8"/>
  <c r="Q12" i="8"/>
  <c r="M12" i="8"/>
  <c r="I12" i="8"/>
  <c r="BQ12" i="8"/>
  <c r="BM12" i="8"/>
  <c r="CF12" i="8"/>
  <c r="CB12" i="8"/>
  <c r="BX12" i="8"/>
  <c r="BT12" i="8"/>
  <c r="BP12" i="8"/>
  <c r="BL12" i="8"/>
  <c r="BH12" i="8"/>
  <c r="BD12" i="8"/>
  <c r="AZ12" i="8"/>
  <c r="AV12" i="8"/>
  <c r="AR12" i="8"/>
  <c r="AN12" i="8"/>
  <c r="AJ12" i="8"/>
  <c r="AF12" i="8"/>
  <c r="AB12" i="8"/>
  <c r="X12" i="8"/>
  <c r="T12" i="8"/>
  <c r="P12" i="8"/>
  <c r="L12" i="8"/>
  <c r="H12" i="8"/>
  <c r="H10" i="8"/>
  <c r="H9" i="8"/>
  <c r="H8" i="8"/>
  <c r="H7" i="8"/>
  <c r="G10" i="8"/>
  <c r="G9" i="8"/>
  <c r="G8" i="8"/>
  <c r="G7" i="8"/>
  <c r="H13" i="8"/>
  <c r="N23" i="82"/>
  <c r="N25" i="82"/>
  <c r="N27" i="82"/>
  <c r="N24" i="82"/>
  <c r="N26" i="82"/>
  <c r="N28" i="82"/>
  <c r="N29" i="82"/>
  <c r="H29" i="82"/>
  <c r="H22" i="82"/>
  <c r="H30" i="82"/>
  <c r="H23" i="82"/>
  <c r="H19" i="67"/>
  <c r="H26" i="82"/>
  <c r="H28" i="82"/>
  <c r="H55" i="42"/>
  <c r="H24" i="82"/>
  <c r="H31" i="82"/>
  <c r="H18" i="67"/>
  <c r="H27" i="82"/>
  <c r="H21" i="67"/>
  <c r="H56" i="42"/>
  <c r="H25" i="82"/>
  <c r="H33" i="82"/>
  <c r="H17" i="67"/>
  <c r="H16" i="67"/>
  <c r="B26" i="97"/>
  <c r="I26" i="97"/>
  <c r="J26" i="97"/>
  <c r="K26" i="97"/>
  <c r="B25" i="97"/>
  <c r="I25" i="97"/>
  <c r="J25" i="97"/>
  <c r="K25" i="97"/>
  <c r="O15" i="97"/>
  <c r="O1" i="97"/>
  <c r="O9" i="96"/>
  <c r="O1" i="96"/>
  <c r="P35" i="67"/>
  <c r="P33" i="67"/>
  <c r="P31" i="67"/>
  <c r="P29" i="67"/>
  <c r="P28" i="67"/>
  <c r="P26" i="67"/>
  <c r="P24" i="67"/>
  <c r="P14" i="67"/>
  <c r="P11" i="67"/>
  <c r="P8" i="67"/>
  <c r="P2" i="67"/>
  <c r="P1" i="67"/>
  <c r="O53" i="42"/>
  <c r="O52" i="42"/>
  <c r="O51" i="42"/>
  <c r="O50" i="42"/>
  <c r="O49" i="42"/>
  <c r="O48" i="42"/>
  <c r="O47" i="42"/>
  <c r="O46" i="42"/>
  <c r="O45" i="42"/>
  <c r="O44" i="42"/>
  <c r="O43" i="42"/>
  <c r="O31" i="42"/>
  <c r="O30" i="42"/>
  <c r="O29" i="42"/>
  <c r="O18" i="42"/>
  <c r="Q5" i="61"/>
  <c r="Q7" i="61"/>
  <c r="Q9" i="61"/>
  <c r="O13" i="97" s="1"/>
  <c r="Q11" i="61"/>
  <c r="O14" i="97" s="1"/>
  <c r="Q13" i="61"/>
  <c r="Q15" i="61"/>
  <c r="O16" i="97" s="1"/>
  <c r="Q17" i="61"/>
  <c r="O17" i="97" s="1"/>
  <c r="Q19" i="61"/>
  <c r="O18" i="97" s="1"/>
  <c r="Q21" i="61"/>
  <c r="Q23" i="61"/>
  <c r="O19" i="97" s="1"/>
  <c r="Q25" i="61"/>
  <c r="O20" i="97" s="1"/>
  <c r="Q27" i="61"/>
  <c r="O21" i="97" s="1"/>
  <c r="Q29" i="61"/>
  <c r="O22" i="97" s="1"/>
  <c r="Q31" i="61"/>
  <c r="O23" i="97" s="1"/>
  <c r="Q33" i="61"/>
  <c r="O24" i="97" s="1"/>
  <c r="Q35" i="61"/>
  <c r="O10" i="42"/>
  <c r="O9" i="42"/>
  <c r="O6" i="42"/>
  <c r="O3" i="42"/>
  <c r="O2" i="42"/>
  <c r="Q17" i="105"/>
  <c r="Q15" i="105"/>
  <c r="Q13" i="105"/>
  <c r="Q11" i="105"/>
  <c r="Q9" i="105"/>
  <c r="Q7" i="105"/>
  <c r="Q5" i="105"/>
  <c r="Q3" i="105"/>
  <c r="Q1" i="105"/>
  <c r="Q5" i="103"/>
  <c r="Q7" i="103"/>
  <c r="Q9" i="103"/>
  <c r="O25" i="97" s="1"/>
  <c r="Q11" i="103"/>
  <c r="Q13" i="103"/>
  <c r="O26" i="97" s="1"/>
  <c r="Q15" i="103"/>
  <c r="Q3" i="103"/>
  <c r="Q1" i="103"/>
  <c r="Q23" i="101"/>
  <c r="O27" i="97" s="1"/>
  <c r="Q25" i="101"/>
  <c r="Q21" i="101"/>
  <c r="Q5" i="101"/>
  <c r="Q7" i="101"/>
  <c r="Q9" i="101"/>
  <c r="Q11" i="101"/>
  <c r="Q13" i="101"/>
  <c r="Q15" i="101"/>
  <c r="Q17" i="101"/>
  <c r="Q19" i="101"/>
  <c r="Q3" i="101"/>
  <c r="Q1" i="101"/>
  <c r="Q7" i="87"/>
  <c r="Q3" i="87"/>
  <c r="Q9" i="87"/>
  <c r="Q5" i="87"/>
  <c r="Q1" i="87"/>
  <c r="Q5" i="85"/>
  <c r="Q7" i="85"/>
  <c r="Q9" i="85"/>
  <c r="Q11" i="85"/>
  <c r="Q13" i="85"/>
  <c r="Q15" i="85"/>
  <c r="Q17" i="85"/>
  <c r="Q19" i="85"/>
  <c r="Q21" i="85"/>
  <c r="Q23" i="85"/>
  <c r="Q25" i="85"/>
  <c r="Q3" i="85"/>
  <c r="Q1" i="85"/>
  <c r="O3" i="82"/>
  <c r="O4" i="82"/>
  <c r="O5" i="82"/>
  <c r="O6" i="82"/>
  <c r="O7" i="82"/>
  <c r="O8" i="82"/>
  <c r="O9" i="82"/>
  <c r="O10" i="82"/>
  <c r="O11" i="82"/>
  <c r="O12" i="82"/>
  <c r="O13" i="82"/>
  <c r="O14" i="82"/>
  <c r="O15" i="82"/>
  <c r="O16" i="82"/>
  <c r="O17" i="82"/>
  <c r="O18" i="82"/>
  <c r="O19" i="82"/>
  <c r="O20" i="82"/>
  <c r="O21" i="82"/>
  <c r="O2" i="82"/>
  <c r="O1" i="82"/>
  <c r="P17" i="84"/>
  <c r="P15" i="84"/>
  <c r="P13" i="84"/>
  <c r="P11" i="84"/>
  <c r="P9" i="84"/>
  <c r="P7" i="84"/>
  <c r="P5" i="84"/>
  <c r="P3" i="84"/>
  <c r="Q5" i="84"/>
  <c r="O2" i="97" s="1"/>
  <c r="Q7" i="84"/>
  <c r="O3" i="97" s="1"/>
  <c r="Q9" i="84"/>
  <c r="O6" i="97" s="1"/>
  <c r="Q11" i="84"/>
  <c r="Q13" i="84"/>
  <c r="O4" i="97" s="1"/>
  <c r="Q15" i="84"/>
  <c r="O5" i="97" s="1"/>
  <c r="Q17" i="84"/>
  <c r="O7" i="97" s="1"/>
  <c r="Q19" i="84"/>
  <c r="Q21" i="84"/>
  <c r="Q3" i="84"/>
  <c r="Q1" i="84"/>
  <c r="O56" i="83"/>
  <c r="O55" i="83"/>
  <c r="O51" i="83"/>
  <c r="O28" i="96" s="1"/>
  <c r="O50" i="83"/>
  <c r="O19" i="96" s="1"/>
  <c r="O49" i="83"/>
  <c r="O18" i="96" s="1"/>
  <c r="O48" i="83"/>
  <c r="O45" i="83"/>
  <c r="O44" i="83"/>
  <c r="O27" i="96" s="1"/>
  <c r="O43" i="83"/>
  <c r="O17" i="96" s="1"/>
  <c r="O42" i="83"/>
  <c r="O16" i="96" s="1"/>
  <c r="O41" i="83"/>
  <c r="O40" i="83"/>
  <c r="O37" i="83"/>
  <c r="O36" i="83"/>
  <c r="O35" i="83"/>
  <c r="O34" i="83"/>
  <c r="O33" i="83"/>
  <c r="O32" i="83"/>
  <c r="O31" i="83"/>
  <c r="O30" i="83"/>
  <c r="O29" i="83"/>
  <c r="O28" i="83"/>
  <c r="O27" i="83"/>
  <c r="O26" i="83"/>
  <c r="O25" i="83"/>
  <c r="O24" i="83"/>
  <c r="O26" i="96" s="1"/>
  <c r="O23" i="83"/>
  <c r="O15" i="96" s="1"/>
  <c r="O22" i="83"/>
  <c r="O14" i="96" s="1"/>
  <c r="O21" i="83"/>
  <c r="O20" i="83"/>
  <c r="O19" i="83"/>
  <c r="O18" i="83"/>
  <c r="O17" i="83"/>
  <c r="O16" i="83"/>
  <c r="O15" i="83"/>
  <c r="O14" i="83"/>
  <c r="O13" i="83"/>
  <c r="O12" i="83"/>
  <c r="O11" i="83"/>
  <c r="O10" i="83"/>
  <c r="O9" i="83"/>
  <c r="O8" i="83"/>
  <c r="O7" i="83"/>
  <c r="O6" i="83"/>
  <c r="O25" i="96" s="1"/>
  <c r="O4" i="83"/>
  <c r="O12" i="96" s="1"/>
  <c r="O5" i="83"/>
  <c r="O13" i="96" s="1"/>
  <c r="O3" i="83"/>
  <c r="O54" i="83"/>
  <c r="O53" i="83"/>
  <c r="O52" i="83"/>
  <c r="O47" i="83"/>
  <c r="O46" i="83"/>
  <c r="O39" i="83"/>
  <c r="O38" i="83"/>
  <c r="O2" i="83"/>
  <c r="O1" i="83"/>
  <c r="O20" i="75"/>
  <c r="O21" i="75"/>
  <c r="O22" i="75"/>
  <c r="O23" i="75"/>
  <c r="O24" i="75"/>
  <c r="O25" i="75"/>
  <c r="O17" i="75"/>
  <c r="O18" i="75"/>
  <c r="O19" i="75"/>
  <c r="O14" i="75"/>
  <c r="O15" i="75"/>
  <c r="O16" i="75"/>
  <c r="O12" i="75"/>
  <c r="O13" i="75"/>
  <c r="O6" i="75"/>
  <c r="O7" i="75"/>
  <c r="O8" i="75"/>
  <c r="O9" i="75"/>
  <c r="O10" i="75"/>
  <c r="O5" i="75"/>
  <c r="O3" i="75"/>
  <c r="O4" i="75"/>
  <c r="O2" i="75"/>
  <c r="O11" i="75"/>
  <c r="O1" i="75"/>
  <c r="O7" i="78"/>
  <c r="O6" i="78"/>
  <c r="O5" i="78"/>
  <c r="O4" i="78"/>
  <c r="O3" i="78"/>
  <c r="O2" i="78"/>
  <c r="O1" i="78"/>
  <c r="O4" i="72"/>
  <c r="O5" i="72"/>
  <c r="O6" i="72"/>
  <c r="O7" i="72"/>
  <c r="O8" i="72"/>
  <c r="O9" i="72"/>
  <c r="O2" i="72"/>
  <c r="O3" i="72"/>
  <c r="O1" i="72"/>
  <c r="Q7" i="77"/>
  <c r="Q9" i="77"/>
  <c r="O10" i="97" s="1"/>
  <c r="Q11" i="77"/>
  <c r="O11" i="97" s="1"/>
  <c r="Q13" i="77"/>
  <c r="O12" i="97" s="1"/>
  <c r="Q5" i="77"/>
  <c r="Q3" i="77"/>
  <c r="Q1" i="77"/>
  <c r="Q5" i="70"/>
  <c r="Q3" i="70"/>
  <c r="O2" i="69"/>
  <c r="O3" i="69"/>
  <c r="O4" i="69"/>
  <c r="O5" i="69"/>
  <c r="O6" i="69"/>
  <c r="Q1" i="70"/>
  <c r="O8" i="69"/>
  <c r="O9" i="69"/>
  <c r="O10" i="69"/>
  <c r="O11" i="69"/>
  <c r="O12" i="69"/>
  <c r="O13" i="69"/>
  <c r="O14" i="69"/>
  <c r="O15" i="69"/>
  <c r="O16" i="69"/>
  <c r="O17" i="69"/>
  <c r="O18" i="69"/>
  <c r="O19" i="69"/>
  <c r="O20" i="69"/>
  <c r="O21" i="69"/>
  <c r="O22" i="69"/>
  <c r="O23" i="69"/>
  <c r="O24" i="69"/>
  <c r="O25" i="69"/>
  <c r="O26" i="69"/>
  <c r="O7" i="69"/>
  <c r="O1" i="69"/>
  <c r="O57" i="66"/>
  <c r="O56" i="66"/>
  <c r="O4" i="66"/>
  <c r="O5" i="66"/>
  <c r="O6" i="66"/>
  <c r="O7" i="66"/>
  <c r="O8" i="66"/>
  <c r="O9" i="66"/>
  <c r="O10" i="66"/>
  <c r="O11" i="66"/>
  <c r="O12" i="66"/>
  <c r="O13" i="66"/>
  <c r="O14" i="66"/>
  <c r="O15" i="66"/>
  <c r="O16" i="66"/>
  <c r="O17" i="66"/>
  <c r="O18" i="66"/>
  <c r="O19" i="66"/>
  <c r="O20" i="66"/>
  <c r="O21" i="66"/>
  <c r="O22" i="66"/>
  <c r="O23" i="66"/>
  <c r="O24" i="66"/>
  <c r="O25" i="66"/>
  <c r="O26" i="66"/>
  <c r="O27" i="66"/>
  <c r="O28" i="66"/>
  <c r="O29" i="66"/>
  <c r="O30" i="66"/>
  <c r="O31" i="66"/>
  <c r="O32" i="66"/>
  <c r="O33" i="66"/>
  <c r="O34" i="66"/>
  <c r="O35" i="66"/>
  <c r="O36" i="66"/>
  <c r="O37" i="66"/>
  <c r="O38" i="66"/>
  <c r="O39" i="66"/>
  <c r="O40" i="66"/>
  <c r="O41" i="66"/>
  <c r="O42" i="66"/>
  <c r="O43" i="66"/>
  <c r="O44" i="66"/>
  <c r="O45" i="66"/>
  <c r="O46" i="66"/>
  <c r="O47" i="66"/>
  <c r="O48" i="66"/>
  <c r="O49" i="66"/>
  <c r="O50" i="66"/>
  <c r="O51" i="66"/>
  <c r="O52" i="66"/>
  <c r="O53" i="66"/>
  <c r="O54" i="66"/>
  <c r="O55" i="66"/>
  <c r="O58" i="66"/>
  <c r="O59" i="66"/>
  <c r="O60" i="66"/>
  <c r="O61" i="66"/>
  <c r="O62" i="66"/>
  <c r="O63" i="66"/>
  <c r="O64" i="66"/>
  <c r="O65" i="66"/>
  <c r="O66" i="66"/>
  <c r="O67" i="66"/>
  <c r="O68" i="66"/>
  <c r="O69" i="66"/>
  <c r="O70" i="66"/>
  <c r="O71" i="66"/>
  <c r="O72" i="66"/>
  <c r="O73" i="66"/>
  <c r="O74" i="66"/>
  <c r="O75" i="66"/>
  <c r="O76" i="66"/>
  <c r="O77" i="66"/>
  <c r="O78" i="66"/>
  <c r="O79" i="66"/>
  <c r="O80" i="66"/>
  <c r="O81" i="66"/>
  <c r="O82" i="66"/>
  <c r="O83" i="66"/>
  <c r="O84" i="66"/>
  <c r="O85" i="66"/>
  <c r="O86" i="66"/>
  <c r="O87" i="66"/>
  <c r="O88" i="66"/>
  <c r="O89" i="66"/>
  <c r="O90" i="66"/>
  <c r="O91" i="66"/>
  <c r="O92" i="66"/>
  <c r="O93" i="66"/>
  <c r="O94" i="66"/>
  <c r="O95" i="66"/>
  <c r="O96" i="66"/>
  <c r="O97" i="66"/>
  <c r="O98" i="66"/>
  <c r="O99" i="66"/>
  <c r="O100" i="66"/>
  <c r="O101" i="66"/>
  <c r="O102" i="66"/>
  <c r="O103" i="66"/>
  <c r="O104" i="66"/>
  <c r="O105" i="66"/>
  <c r="O106" i="66"/>
  <c r="O107" i="66"/>
  <c r="O108" i="66"/>
  <c r="O109" i="66"/>
  <c r="O110" i="66"/>
  <c r="O111" i="66"/>
  <c r="O112" i="66"/>
  <c r="O113" i="66"/>
  <c r="O114" i="66"/>
  <c r="O115" i="66"/>
  <c r="O116" i="66"/>
  <c r="O117" i="66"/>
  <c r="O118" i="66"/>
  <c r="O119" i="66"/>
  <c r="O120" i="66"/>
  <c r="O121" i="66"/>
  <c r="O122" i="66"/>
  <c r="O123" i="66"/>
  <c r="O124" i="66"/>
  <c r="O125" i="66"/>
  <c r="O126" i="66"/>
  <c r="O127" i="66"/>
  <c r="O128" i="66"/>
  <c r="O129" i="66"/>
  <c r="O2" i="66"/>
  <c r="O3" i="66"/>
  <c r="O1" i="66"/>
  <c r="Q39" i="60"/>
  <c r="O9" i="97" s="1"/>
  <c r="Q11" i="60"/>
  <c r="Q13" i="60"/>
  <c r="Q15" i="60"/>
  <c r="Q17" i="60"/>
  <c r="Q19" i="60"/>
  <c r="Q21" i="60"/>
  <c r="Q23" i="60"/>
  <c r="Q25" i="60"/>
  <c r="Q27" i="60"/>
  <c r="Q29" i="60"/>
  <c r="Q31" i="60"/>
  <c r="Q33" i="60"/>
  <c r="Q35" i="60"/>
  <c r="Q37" i="60"/>
  <c r="Q9" i="60"/>
  <c r="Q7" i="60"/>
  <c r="Q5" i="60"/>
  <c r="Q3" i="60"/>
  <c r="O8" i="97" s="1"/>
  <c r="Q1" i="60"/>
  <c r="Q9" i="57"/>
  <c r="Q7" i="57"/>
  <c r="Q5" i="57"/>
  <c r="Q3" i="57"/>
  <c r="Q1" i="57"/>
  <c r="Q1" i="61"/>
  <c r="O26" i="53"/>
  <c r="O25" i="53"/>
  <c r="O24" i="53"/>
  <c r="O23" i="53"/>
  <c r="O22" i="53"/>
  <c r="O21" i="53"/>
  <c r="O20" i="53"/>
  <c r="O19" i="53"/>
  <c r="O18" i="53"/>
  <c r="O17" i="53"/>
  <c r="O16" i="53"/>
  <c r="O15" i="53"/>
  <c r="O14" i="53"/>
  <c r="O13" i="53"/>
  <c r="O12" i="53"/>
  <c r="O11" i="53"/>
  <c r="O10" i="53"/>
  <c r="O9" i="53"/>
  <c r="O24" i="96" s="1"/>
  <c r="O8" i="53"/>
  <c r="O7" i="53"/>
  <c r="O6" i="53"/>
  <c r="O11" i="96" s="1"/>
  <c r="O5" i="53"/>
  <c r="O10" i="96" s="1"/>
  <c r="O4" i="53"/>
  <c r="O3" i="53"/>
  <c r="O2" i="53"/>
  <c r="O1" i="53"/>
  <c r="O23" i="52"/>
  <c r="O15" i="52"/>
  <c r="O7" i="52"/>
  <c r="O25" i="52"/>
  <c r="O24" i="52"/>
  <c r="O22" i="52"/>
  <c r="O21" i="52"/>
  <c r="O20" i="52"/>
  <c r="O19" i="52"/>
  <c r="O18" i="52"/>
  <c r="O17" i="52"/>
  <c r="O16" i="52"/>
  <c r="O14" i="52"/>
  <c r="O13" i="52"/>
  <c r="O12" i="52"/>
  <c r="O11" i="52"/>
  <c r="O10" i="52"/>
  <c r="O23" i="96"/>
  <c r="O8" i="52"/>
  <c r="O6" i="52"/>
  <c r="O5" i="52"/>
  <c r="O8" i="96" s="1"/>
  <c r="O4" i="52"/>
  <c r="O3" i="52"/>
  <c r="O2" i="52"/>
  <c r="O1" i="52"/>
  <c r="O28" i="51"/>
  <c r="O27" i="51"/>
  <c r="O26" i="51"/>
  <c r="O25" i="51"/>
  <c r="O24" i="51"/>
  <c r="O23" i="51"/>
  <c r="O22" i="51"/>
  <c r="O21" i="51"/>
  <c r="O20" i="51"/>
  <c r="O19" i="51"/>
  <c r="O18" i="51"/>
  <c r="O17" i="51"/>
  <c r="O16" i="51"/>
  <c r="O15" i="51"/>
  <c r="O14" i="51"/>
  <c r="O13" i="51"/>
  <c r="O12" i="51"/>
  <c r="O11" i="51"/>
  <c r="O10" i="51"/>
  <c r="O22" i="96" s="1"/>
  <c r="O9" i="51"/>
  <c r="O8" i="51"/>
  <c r="O7" i="51"/>
  <c r="O6" i="51"/>
  <c r="O7" i="96" s="1"/>
  <c r="O5" i="51"/>
  <c r="O6" i="96" s="1"/>
  <c r="O4" i="51"/>
  <c r="O3" i="51"/>
  <c r="O2" i="51"/>
  <c r="O1" i="51"/>
  <c r="O10" i="50"/>
  <c r="O21" i="96" s="1"/>
  <c r="O19" i="50"/>
  <c r="O28" i="50"/>
  <c r="O27" i="50"/>
  <c r="O26" i="50"/>
  <c r="O25" i="50"/>
  <c r="O24" i="50"/>
  <c r="O23" i="50"/>
  <c r="O22" i="50"/>
  <c r="O21" i="50"/>
  <c r="O20" i="50"/>
  <c r="O18" i="50"/>
  <c r="O17" i="50"/>
  <c r="O16" i="50"/>
  <c r="O15" i="50"/>
  <c r="O14" i="50"/>
  <c r="O13" i="50"/>
  <c r="O12" i="50"/>
  <c r="O11" i="50"/>
  <c r="O9" i="50"/>
  <c r="O8" i="50"/>
  <c r="O7" i="50"/>
  <c r="O6" i="50"/>
  <c r="O5" i="96" s="1"/>
  <c r="O5" i="50"/>
  <c r="O4" i="96" s="1"/>
  <c r="O4" i="50"/>
  <c r="O3" i="50"/>
  <c r="O2" i="50"/>
  <c r="O1" i="50"/>
  <c r="O25" i="49"/>
  <c r="O24" i="49"/>
  <c r="O17" i="49"/>
  <c r="O16" i="49"/>
  <c r="O9" i="49"/>
  <c r="O20" i="96" s="1"/>
  <c r="O8" i="49"/>
  <c r="O23" i="49"/>
  <c r="O22" i="49"/>
  <c r="O21" i="49"/>
  <c r="O20" i="49"/>
  <c r="O15" i="49"/>
  <c r="O14" i="49"/>
  <c r="O13" i="49"/>
  <c r="O12" i="49"/>
  <c r="O7" i="49"/>
  <c r="O11" i="49"/>
  <c r="O19" i="49"/>
  <c r="O6" i="49" l="1"/>
  <c r="O3" i="96" s="1"/>
  <c r="O5" i="49"/>
  <c r="O2" i="96" s="1"/>
  <c r="O18" i="49"/>
  <c r="O10" i="49"/>
  <c r="O1" i="49"/>
  <c r="O1" i="54"/>
  <c r="O1" i="42"/>
  <c r="H54" i="42" l="1"/>
  <c r="G54" i="42"/>
  <c r="E54" i="42"/>
  <c r="A54" i="42"/>
  <c r="B54" i="42"/>
  <c r="F26" i="53"/>
  <c r="A26" i="53"/>
  <c r="B26" i="53"/>
  <c r="E26" i="53"/>
  <c r="N26" i="53" s="1"/>
  <c r="G26" i="53"/>
  <c r="H26" i="53"/>
  <c r="M26" i="53"/>
  <c r="B21" i="84"/>
  <c r="C19" i="84"/>
  <c r="B19" i="84"/>
  <c r="E42" i="79"/>
  <c r="E46" i="79"/>
  <c r="D20" i="84"/>
  <c r="P21" i="84" s="1"/>
  <c r="D18" i="84"/>
  <c r="P19" i="84" s="1"/>
  <c r="C20" i="84"/>
  <c r="B20" i="84"/>
  <c r="C18" i="84"/>
  <c r="B18" i="84"/>
  <c r="H21" i="84"/>
  <c r="H20" i="84"/>
  <c r="H19" i="84"/>
  <c r="H18" i="84"/>
  <c r="O21" i="84"/>
  <c r="J21" i="84"/>
  <c r="G21" i="84"/>
  <c r="J20" i="84"/>
  <c r="G20" i="84"/>
  <c r="O19" i="84"/>
  <c r="J19" i="84"/>
  <c r="G19" i="84"/>
  <c r="J18" i="84"/>
  <c r="G18" i="84"/>
  <c r="F35" i="67"/>
  <c r="H36" i="67"/>
  <c r="G36" i="67"/>
  <c r="E36" i="67"/>
  <c r="O35" i="67"/>
  <c r="H35" i="67"/>
  <c r="G35" i="67"/>
  <c r="E35" i="67"/>
  <c r="A36" i="67"/>
  <c r="A35" i="67"/>
  <c r="A34" i="67"/>
  <c r="B34" i="67"/>
  <c r="E34" i="67"/>
  <c r="G34" i="67"/>
  <c r="H34" i="67"/>
  <c r="O33" i="67"/>
  <c r="H33" i="67"/>
  <c r="G33" i="67"/>
  <c r="F33" i="67"/>
  <c r="E33" i="67"/>
  <c r="B33" i="67"/>
  <c r="A33" i="67"/>
  <c r="F56" i="83"/>
  <c r="C56" i="83"/>
  <c r="N56" i="83" s="1"/>
  <c r="A56" i="83"/>
  <c r="B56" i="83"/>
  <c r="E56" i="83"/>
  <c r="G56" i="83"/>
  <c r="H56" i="83"/>
  <c r="M56" i="83"/>
  <c r="M55" i="83"/>
  <c r="B55" i="83"/>
  <c r="A55" i="83"/>
  <c r="C55" i="83"/>
  <c r="N55" i="83" s="1"/>
  <c r="H55" i="83"/>
  <c r="E55" i="83"/>
  <c r="G55" i="83"/>
  <c r="F55" i="83"/>
  <c r="E15" i="58"/>
  <c r="F15" i="58"/>
  <c r="D15" i="58"/>
  <c r="E14" i="58"/>
  <c r="F14" i="58"/>
  <c r="D14" i="58"/>
  <c r="X7" i="8" a="1"/>
  <c r="X7" i="8" l="1"/>
  <c r="C10" i="52"/>
  <c r="C18" i="52"/>
  <c r="C2" i="52"/>
  <c r="G7" i="67"/>
  <c r="H7" i="67"/>
  <c r="E7" i="67"/>
  <c r="A7" i="67"/>
  <c r="C55" i="66"/>
  <c r="C54" i="66"/>
  <c r="C53" i="66"/>
  <c r="C52" i="66"/>
  <c r="C51" i="66"/>
  <c r="C50" i="66"/>
  <c r="C49" i="66"/>
  <c r="C48" i="66"/>
  <c r="C47" i="66"/>
  <c r="C46" i="66"/>
  <c r="C45" i="66"/>
  <c r="C44" i="66"/>
  <c r="C43" i="66" l="1"/>
  <c r="C42" i="66"/>
  <c r="C41" i="66"/>
  <c r="C40" i="66"/>
  <c r="C39" i="66"/>
  <c r="C38" i="66"/>
  <c r="C37" i="66"/>
  <c r="C36" i="66"/>
  <c r="C35" i="66"/>
  <c r="C34" i="66"/>
  <c r="C33" i="66"/>
  <c r="C32" i="66"/>
  <c r="C19" i="66"/>
  <c r="C18" i="66"/>
  <c r="C17" i="66"/>
  <c r="C16" i="66"/>
  <c r="C15" i="66"/>
  <c r="C14" i="66"/>
  <c r="C6" i="66"/>
  <c r="C5" i="66"/>
  <c r="C4" i="66"/>
  <c r="C3" i="66"/>
  <c r="C2" i="66"/>
  <c r="X13" i="38" l="1"/>
  <c r="X14" i="38"/>
  <c r="X21" i="38"/>
  <c r="X20" i="38"/>
  <c r="X19" i="38"/>
  <c r="X18" i="38"/>
  <c r="X17" i="38"/>
  <c r="X16" i="38"/>
  <c r="X15" i="38"/>
  <c r="T24" i="38"/>
  <c r="X9" i="38"/>
  <c r="X5" i="38"/>
  <c r="X12" i="38"/>
  <c r="Y5" i="38"/>
  <c r="Y9" i="38"/>
  <c r="C7" i="78"/>
  <c r="C6" i="78"/>
  <c r="C5" i="78"/>
  <c r="C4" i="78"/>
  <c r="C3" i="78"/>
  <c r="C2" i="78"/>
  <c r="H46" i="73"/>
  <c r="P46" i="73"/>
  <c r="D45" i="73"/>
  <c r="L45" i="73"/>
  <c r="T45" i="73"/>
  <c r="C41" i="73"/>
  <c r="C46" i="73" s="1"/>
  <c r="C40" i="73"/>
  <c r="G45" i="73" s="1"/>
  <c r="H32" i="67"/>
  <c r="G31" i="67"/>
  <c r="F32" i="67"/>
  <c r="E32" i="67"/>
  <c r="A32" i="67"/>
  <c r="B32" i="67"/>
  <c r="O31" i="67"/>
  <c r="H31" i="67"/>
  <c r="F31" i="67"/>
  <c r="E31" i="67"/>
  <c r="A31" i="67"/>
  <c r="B31" i="67"/>
  <c r="O29" i="67"/>
  <c r="G30" i="67"/>
  <c r="H30" i="67"/>
  <c r="F30" i="67"/>
  <c r="E30" i="67"/>
  <c r="A30" i="67"/>
  <c r="O28" i="67"/>
  <c r="E29" i="67"/>
  <c r="F29" i="67"/>
  <c r="H29" i="67"/>
  <c r="A29" i="67"/>
  <c r="E28" i="67"/>
  <c r="F28" i="67"/>
  <c r="H28" i="67"/>
  <c r="G28" i="67"/>
  <c r="A28" i="67"/>
  <c r="O14" i="67"/>
  <c r="H14" i="67"/>
  <c r="H15" i="67"/>
  <c r="G14" i="67"/>
  <c r="G15" i="67"/>
  <c r="F15" i="67"/>
  <c r="F14" i="67"/>
  <c r="E14" i="67"/>
  <c r="E15" i="67"/>
  <c r="B15" i="67"/>
  <c r="A15" i="67"/>
  <c r="A14" i="67"/>
  <c r="H23" i="67"/>
  <c r="G23" i="67"/>
  <c r="E23" i="67"/>
  <c r="A23" i="67"/>
  <c r="I12" i="103"/>
  <c r="I13" i="103"/>
  <c r="G26" i="97" s="1"/>
  <c r="I14" i="103"/>
  <c r="I15" i="103"/>
  <c r="C15" i="103"/>
  <c r="I10" i="103"/>
  <c r="I11" i="103"/>
  <c r="I3" i="103"/>
  <c r="I4" i="103"/>
  <c r="I5" i="103"/>
  <c r="I6" i="103"/>
  <c r="I7" i="103"/>
  <c r="I8" i="103"/>
  <c r="I9" i="103"/>
  <c r="G25" i="97" s="1"/>
  <c r="I2" i="103"/>
  <c r="B45" i="73" l="1"/>
  <c r="N45" i="73"/>
  <c r="F45" i="73"/>
  <c r="R46" i="73"/>
  <c r="J46" i="73"/>
  <c r="U45" i="73"/>
  <c r="M45" i="73"/>
  <c r="E45" i="73"/>
  <c r="Q46" i="73"/>
  <c r="I46" i="73"/>
  <c r="S45" i="73"/>
  <c r="K45" i="73"/>
  <c r="C45" i="73"/>
  <c r="O46" i="73"/>
  <c r="G46" i="73"/>
  <c r="R45" i="73"/>
  <c r="J45" i="73"/>
  <c r="B46" i="73"/>
  <c r="N46" i="73"/>
  <c r="F46" i="73"/>
  <c r="Q45" i="73"/>
  <c r="I45" i="73"/>
  <c r="U46" i="73"/>
  <c r="M46" i="73"/>
  <c r="E46" i="73"/>
  <c r="P45" i="73"/>
  <c r="H45" i="73"/>
  <c r="T46" i="73"/>
  <c r="L46" i="73"/>
  <c r="D46" i="73"/>
  <c r="O45" i="73"/>
  <c r="S46" i="73"/>
  <c r="K46" i="73"/>
  <c r="A24" i="42"/>
  <c r="B24" i="42"/>
  <c r="A25" i="42"/>
  <c r="B25" i="42"/>
  <c r="A26" i="42"/>
  <c r="B26" i="42"/>
  <c r="A27" i="42"/>
  <c r="B27" i="42"/>
  <c r="A28" i="42"/>
  <c r="B28" i="42"/>
  <c r="D16" i="105"/>
  <c r="D14" i="105"/>
  <c r="P15" i="105" s="1"/>
  <c r="D12" i="105"/>
  <c r="P13" i="105" s="1"/>
  <c r="D10" i="105"/>
  <c r="D8" i="105"/>
  <c r="P9" i="105" s="1"/>
  <c r="D6" i="105"/>
  <c r="D4" i="105"/>
  <c r="D2" i="105"/>
  <c r="P17" i="105"/>
  <c r="O17" i="105"/>
  <c r="J16" i="105"/>
  <c r="J17" i="105"/>
  <c r="I16" i="105"/>
  <c r="I17" i="105"/>
  <c r="H15" i="105"/>
  <c r="H16" i="105"/>
  <c r="H17" i="105"/>
  <c r="H14" i="105"/>
  <c r="G16" i="105"/>
  <c r="G17" i="105"/>
  <c r="H11" i="105"/>
  <c r="H12" i="105"/>
  <c r="H13" i="105"/>
  <c r="H10" i="105"/>
  <c r="H3" i="105"/>
  <c r="H4" i="105"/>
  <c r="H5" i="105"/>
  <c r="H2" i="105"/>
  <c r="B17" i="105"/>
  <c r="B16" i="105"/>
  <c r="C17" i="105"/>
  <c r="C16" i="105"/>
  <c r="C15" i="105"/>
  <c r="C14" i="105"/>
  <c r="C13" i="105"/>
  <c r="C12" i="105"/>
  <c r="C11" i="105"/>
  <c r="C10" i="105"/>
  <c r="C9" i="105"/>
  <c r="C8" i="105"/>
  <c r="C7" i="105"/>
  <c r="C6" i="105"/>
  <c r="C5" i="105"/>
  <c r="C3" i="105"/>
  <c r="B3" i="105"/>
  <c r="B4" i="105"/>
  <c r="B5" i="105"/>
  <c r="B6" i="105"/>
  <c r="B7" i="105"/>
  <c r="B8" i="105"/>
  <c r="B9" i="105"/>
  <c r="B10" i="105"/>
  <c r="B11" i="105"/>
  <c r="B12" i="105"/>
  <c r="B13" i="105"/>
  <c r="B14" i="105"/>
  <c r="B15" i="105"/>
  <c r="B2" i="105"/>
  <c r="O15" i="105"/>
  <c r="J15" i="105"/>
  <c r="I15" i="105"/>
  <c r="G15" i="105"/>
  <c r="J14" i="105"/>
  <c r="I14" i="105"/>
  <c r="G14" i="105"/>
  <c r="O13" i="105"/>
  <c r="J13" i="105"/>
  <c r="I13" i="105"/>
  <c r="G13" i="105"/>
  <c r="J12" i="105"/>
  <c r="I12" i="105"/>
  <c r="G12" i="105"/>
  <c r="O11" i="105"/>
  <c r="J11" i="105"/>
  <c r="I11" i="105"/>
  <c r="G11" i="105"/>
  <c r="J10" i="105"/>
  <c r="I10" i="105"/>
  <c r="G10" i="105"/>
  <c r="P11" i="105"/>
  <c r="O9" i="105"/>
  <c r="J9" i="105"/>
  <c r="I9" i="105"/>
  <c r="H9" i="105"/>
  <c r="G9" i="105"/>
  <c r="J8" i="105"/>
  <c r="I8" i="105"/>
  <c r="H8" i="105"/>
  <c r="G8" i="105"/>
  <c r="O7" i="105"/>
  <c r="J7" i="105"/>
  <c r="I7" i="105"/>
  <c r="H7" i="105"/>
  <c r="G7" i="105"/>
  <c r="J6" i="105"/>
  <c r="I6" i="105"/>
  <c r="H6" i="105"/>
  <c r="G6" i="105"/>
  <c r="P7" i="105"/>
  <c r="P5" i="105"/>
  <c r="O5" i="105"/>
  <c r="J5" i="105"/>
  <c r="I5" i="105"/>
  <c r="G5" i="105"/>
  <c r="J4" i="105"/>
  <c r="I4" i="105"/>
  <c r="G4" i="105"/>
  <c r="C4" i="105"/>
  <c r="O3" i="105"/>
  <c r="J3" i="105"/>
  <c r="I3" i="105"/>
  <c r="G3" i="105"/>
  <c r="J2" i="105"/>
  <c r="I2" i="105"/>
  <c r="G2" i="105"/>
  <c r="P3" i="105"/>
  <c r="C2" i="105"/>
  <c r="P1" i="105"/>
  <c r="O1" i="105"/>
  <c r="N1" i="105"/>
  <c r="L1" i="105"/>
  <c r="K1" i="105"/>
  <c r="J1" i="105"/>
  <c r="I1" i="105"/>
  <c r="H1" i="105"/>
  <c r="G1" i="105"/>
  <c r="E26" i="99"/>
  <c r="E25" i="99"/>
  <c r="F28" i="99"/>
  <c r="E28" i="99"/>
  <c r="F27" i="99"/>
  <c r="E27" i="99"/>
  <c r="F26" i="99"/>
  <c r="F25" i="99"/>
  <c r="F24" i="99"/>
  <c r="E24" i="99"/>
  <c r="F7" i="99"/>
  <c r="E7" i="99"/>
  <c r="F9" i="99"/>
  <c r="F10" i="99"/>
  <c r="F11" i="99"/>
  <c r="F8" i="99"/>
  <c r="E9" i="99"/>
  <c r="E10" i="99"/>
  <c r="E11" i="99"/>
  <c r="E8" i="99"/>
  <c r="O5" i="103"/>
  <c r="O7" i="103"/>
  <c r="O9" i="103"/>
  <c r="M25" i="97" s="1"/>
  <c r="O11" i="103"/>
  <c r="O13" i="103"/>
  <c r="M26" i="97" s="1"/>
  <c r="O15" i="103"/>
  <c r="O3" i="103"/>
  <c r="C2" i="103"/>
  <c r="C3" i="103"/>
  <c r="C4" i="103"/>
  <c r="C5" i="103"/>
  <c r="C6" i="103"/>
  <c r="C7" i="103"/>
  <c r="C8" i="103"/>
  <c r="C9" i="103"/>
  <c r="C10" i="103"/>
  <c r="C11" i="103"/>
  <c r="C12" i="103"/>
  <c r="C13" i="103"/>
  <c r="C14" i="103"/>
  <c r="P15" i="103"/>
  <c r="P13" i="103"/>
  <c r="P11" i="103"/>
  <c r="P5" i="103"/>
  <c r="P3" i="103"/>
  <c r="H11" i="103"/>
  <c r="H12" i="103"/>
  <c r="H13" i="103"/>
  <c r="F26" i="97" s="1"/>
  <c r="H14" i="103"/>
  <c r="H15" i="103"/>
  <c r="B12" i="103"/>
  <c r="B13" i="103"/>
  <c r="A26" i="97" s="1"/>
  <c r="B14" i="103"/>
  <c r="B15" i="103"/>
  <c r="H2" i="103"/>
  <c r="H3" i="103"/>
  <c r="H4" i="103"/>
  <c r="H5" i="103"/>
  <c r="H6" i="103"/>
  <c r="H7" i="103"/>
  <c r="H10" i="103"/>
  <c r="B4" i="103"/>
  <c r="B5" i="103"/>
  <c r="B6" i="103"/>
  <c r="B7" i="103"/>
  <c r="B8" i="103"/>
  <c r="B9" i="103"/>
  <c r="A25" i="97" s="1"/>
  <c r="B10" i="103"/>
  <c r="B11" i="103"/>
  <c r="B3" i="103"/>
  <c r="B2" i="103"/>
  <c r="D16" i="100"/>
  <c r="D17" i="100"/>
  <c r="D7" i="100"/>
  <c r="D8" i="100"/>
  <c r="D9" i="100"/>
  <c r="D6" i="100"/>
  <c r="J15" i="103"/>
  <c r="G15" i="103"/>
  <c r="J14" i="103"/>
  <c r="G14" i="103"/>
  <c r="J13" i="103"/>
  <c r="H26" i="97" s="1"/>
  <c r="G13" i="103"/>
  <c r="E26" i="97" s="1"/>
  <c r="J12" i="103"/>
  <c r="G12" i="103"/>
  <c r="J11" i="103"/>
  <c r="G11" i="103"/>
  <c r="J10" i="103"/>
  <c r="G10" i="103"/>
  <c r="P9" i="103"/>
  <c r="J9" i="103"/>
  <c r="H25" i="97" s="1"/>
  <c r="H9" i="103"/>
  <c r="F25" i="97" s="1"/>
  <c r="G9" i="103"/>
  <c r="E25" i="97" s="1"/>
  <c r="J8" i="103"/>
  <c r="H8" i="103"/>
  <c r="G8" i="103"/>
  <c r="P7" i="103"/>
  <c r="J7" i="103"/>
  <c r="G7" i="103"/>
  <c r="J6" i="103"/>
  <c r="G6" i="103"/>
  <c r="J5" i="103"/>
  <c r="G5" i="103"/>
  <c r="J4" i="103"/>
  <c r="G4" i="103"/>
  <c r="J3" i="103"/>
  <c r="E1" i="104" s="1" a="1"/>
  <c r="E1" i="104" s="1"/>
  <c r="G3" i="103"/>
  <c r="J2" i="103"/>
  <c r="G2" i="103"/>
  <c r="P1" i="103"/>
  <c r="O1" i="103"/>
  <c r="N1" i="103"/>
  <c r="L1" i="103"/>
  <c r="K1" i="103"/>
  <c r="J1" i="103"/>
  <c r="I1" i="103"/>
  <c r="H1" i="103"/>
  <c r="G1" i="103"/>
  <c r="G105" i="66"/>
  <c r="G104" i="66"/>
  <c r="G103" i="66"/>
  <c r="G102" i="66"/>
  <c r="G101" i="66"/>
  <c r="G100" i="66"/>
  <c r="G99" i="66"/>
  <c r="G98" i="66"/>
  <c r="G97" i="66"/>
  <c r="G96" i="66"/>
  <c r="G95" i="66"/>
  <c r="G94" i="66"/>
  <c r="G93" i="66"/>
  <c r="G92" i="66"/>
  <c r="G91" i="66"/>
  <c r="G90" i="66"/>
  <c r="G89" i="66"/>
  <c r="G88" i="66"/>
  <c r="G87" i="66"/>
  <c r="G86" i="66"/>
  <c r="G85" i="66"/>
  <c r="G84" i="66"/>
  <c r="G83" i="66"/>
  <c r="G82" i="66"/>
  <c r="G81" i="66"/>
  <c r="G80" i="66"/>
  <c r="G79" i="66"/>
  <c r="G78" i="66"/>
  <c r="G77" i="66"/>
  <c r="G76" i="66"/>
  <c r="G75" i="66"/>
  <c r="G74" i="66"/>
  <c r="G73" i="66"/>
  <c r="G72" i="66"/>
  <c r="G71" i="66"/>
  <c r="G70" i="66"/>
  <c r="G69" i="66"/>
  <c r="G68" i="66"/>
  <c r="G67" i="66"/>
  <c r="G66" i="66"/>
  <c r="G65" i="66"/>
  <c r="G64" i="66"/>
  <c r="G63" i="66"/>
  <c r="G62" i="66"/>
  <c r="G61" i="66"/>
  <c r="G60" i="66"/>
  <c r="G59" i="66"/>
  <c r="G58" i="66"/>
  <c r="C105" i="66"/>
  <c r="C104" i="66"/>
  <c r="C103" i="66"/>
  <c r="C102" i="66"/>
  <c r="C101" i="66"/>
  <c r="C100" i="66"/>
  <c r="C95" i="66"/>
  <c r="C96" i="66"/>
  <c r="C97" i="66"/>
  <c r="C98" i="66"/>
  <c r="C99" i="66"/>
  <c r="C94" i="66"/>
  <c r="C93" i="66"/>
  <c r="C92" i="66"/>
  <c r="C91" i="66"/>
  <c r="C90" i="66"/>
  <c r="C89" i="66"/>
  <c r="C88" i="66"/>
  <c r="C83" i="66"/>
  <c r="C84" i="66"/>
  <c r="C85" i="66"/>
  <c r="C86" i="66"/>
  <c r="C87" i="66"/>
  <c r="C82" i="66"/>
  <c r="C77" i="66"/>
  <c r="C78" i="66"/>
  <c r="C79" i="66"/>
  <c r="C80" i="66"/>
  <c r="C81" i="66"/>
  <c r="C76" i="66"/>
  <c r="C71" i="66"/>
  <c r="C72" i="66"/>
  <c r="C73" i="66"/>
  <c r="C74" i="66"/>
  <c r="C75" i="66"/>
  <c r="C70" i="66"/>
  <c r="C65" i="66"/>
  <c r="C66" i="66"/>
  <c r="C67" i="66"/>
  <c r="C68" i="66"/>
  <c r="C69" i="66"/>
  <c r="C64" i="66"/>
  <c r="C59" i="66"/>
  <c r="C60" i="66"/>
  <c r="C61" i="66"/>
  <c r="C62" i="66"/>
  <c r="C63" i="66"/>
  <c r="C58" i="66"/>
  <c r="G117" i="66"/>
  <c r="G116" i="66"/>
  <c r="G115" i="66"/>
  <c r="G114" i="66"/>
  <c r="G113" i="66"/>
  <c r="G112" i="66"/>
  <c r="C113" i="66"/>
  <c r="C114" i="66"/>
  <c r="C115" i="66"/>
  <c r="C116" i="66"/>
  <c r="C117" i="66"/>
  <c r="C112" i="66"/>
  <c r="G129" i="66"/>
  <c r="G128" i="66"/>
  <c r="G127" i="66"/>
  <c r="G126" i="66"/>
  <c r="G125" i="66"/>
  <c r="G124" i="66"/>
  <c r="C125" i="66"/>
  <c r="C126" i="66"/>
  <c r="C127" i="66"/>
  <c r="C128" i="66"/>
  <c r="C129" i="66"/>
  <c r="C124" i="66"/>
  <c r="H23" i="101"/>
  <c r="F27" i="97" s="1"/>
  <c r="H22" i="101"/>
  <c r="C23" i="101"/>
  <c r="D22" i="101"/>
  <c r="D24" i="101"/>
  <c r="P25" i="101" s="1"/>
  <c r="H25" i="101"/>
  <c r="H24" i="101"/>
  <c r="O25" i="101"/>
  <c r="J25" i="101"/>
  <c r="I25" i="101"/>
  <c r="G25" i="101"/>
  <c r="C25" i="101"/>
  <c r="B25" i="101"/>
  <c r="J24" i="101"/>
  <c r="I24" i="101"/>
  <c r="G24" i="101"/>
  <c r="C24" i="101"/>
  <c r="B24" i="101"/>
  <c r="O23" i="101"/>
  <c r="M27" i="97" s="1"/>
  <c r="J23" i="101"/>
  <c r="H27" i="97" s="1"/>
  <c r="I23" i="101"/>
  <c r="G27" i="97" s="1"/>
  <c r="G23" i="101"/>
  <c r="E27" i="97" s="1"/>
  <c r="B23" i="101"/>
  <c r="A27" i="97" s="1"/>
  <c r="J22" i="101"/>
  <c r="I22" i="101"/>
  <c r="G22" i="101"/>
  <c r="P23" i="101"/>
  <c r="C22" i="101"/>
  <c r="B22" i="101"/>
  <c r="O21" i="101"/>
  <c r="C21" i="101"/>
  <c r="B21" i="101"/>
  <c r="C20" i="101"/>
  <c r="B20" i="101"/>
  <c r="H21" i="101"/>
  <c r="H20" i="101"/>
  <c r="D20" i="101"/>
  <c r="P21" i="101" s="1"/>
  <c r="J21" i="101"/>
  <c r="I21" i="101"/>
  <c r="G21" i="101"/>
  <c r="J20" i="101"/>
  <c r="I20" i="101"/>
  <c r="G20" i="101"/>
  <c r="O11" i="101"/>
  <c r="O13" i="101"/>
  <c r="O15" i="101"/>
  <c r="O17" i="101"/>
  <c r="O19" i="101"/>
  <c r="J10" i="101"/>
  <c r="J11" i="101"/>
  <c r="J12" i="101"/>
  <c r="J13" i="101"/>
  <c r="J14" i="101"/>
  <c r="J15" i="101"/>
  <c r="J16" i="101"/>
  <c r="J17" i="101"/>
  <c r="J18" i="101"/>
  <c r="J19" i="101"/>
  <c r="I10" i="101"/>
  <c r="I11" i="101"/>
  <c r="I12" i="101"/>
  <c r="I13" i="101"/>
  <c r="I14" i="101"/>
  <c r="I15" i="101"/>
  <c r="I16" i="101"/>
  <c r="I17" i="101"/>
  <c r="I18" i="101"/>
  <c r="I19" i="101"/>
  <c r="H15" i="101"/>
  <c r="H16" i="101"/>
  <c r="H17" i="101"/>
  <c r="H18" i="101"/>
  <c r="H19" i="101"/>
  <c r="H14" i="101"/>
  <c r="H9" i="101"/>
  <c r="H10" i="101"/>
  <c r="H11" i="101"/>
  <c r="H12" i="101"/>
  <c r="H13" i="101"/>
  <c r="H8" i="101"/>
  <c r="H3" i="101"/>
  <c r="H4" i="101"/>
  <c r="H5" i="101"/>
  <c r="H6" i="101"/>
  <c r="H7" i="101"/>
  <c r="H2" i="101"/>
  <c r="D18" i="101"/>
  <c r="P19" i="101" s="1"/>
  <c r="D16" i="101"/>
  <c r="P17" i="101" s="1"/>
  <c r="D14" i="101"/>
  <c r="P15" i="101" s="1"/>
  <c r="D12" i="101"/>
  <c r="P13" i="101" s="1"/>
  <c r="D10" i="101"/>
  <c r="P11" i="101" s="1"/>
  <c r="D8" i="101"/>
  <c r="P9" i="101" s="1"/>
  <c r="D6" i="101"/>
  <c r="P7" i="101" s="1"/>
  <c r="D4" i="101"/>
  <c r="P5" i="101" s="1"/>
  <c r="D2" i="101"/>
  <c r="P3" i="101" s="1"/>
  <c r="G10" i="101"/>
  <c r="G11" i="101"/>
  <c r="G12" i="101"/>
  <c r="G13" i="101"/>
  <c r="G14" i="101"/>
  <c r="G15" i="101"/>
  <c r="G16" i="101"/>
  <c r="G17" i="101"/>
  <c r="G18" i="101"/>
  <c r="G19" i="101"/>
  <c r="C19" i="101"/>
  <c r="B19" i="101"/>
  <c r="C18" i="101"/>
  <c r="B18" i="101"/>
  <c r="C17" i="101"/>
  <c r="B17" i="101"/>
  <c r="C16" i="101"/>
  <c r="B16" i="101"/>
  <c r="C15" i="101"/>
  <c r="B15" i="101"/>
  <c r="C14" i="101"/>
  <c r="B14" i="101"/>
  <c r="C13" i="101"/>
  <c r="B13" i="101"/>
  <c r="C12" i="101"/>
  <c r="B12" i="101"/>
  <c r="C11" i="101"/>
  <c r="B11" i="101"/>
  <c r="C10" i="101"/>
  <c r="B10" i="101"/>
  <c r="C9" i="101"/>
  <c r="B9" i="101"/>
  <c r="C8" i="101"/>
  <c r="B8" i="101"/>
  <c r="C7" i="101"/>
  <c r="D15" i="40"/>
  <c r="B7" i="101"/>
  <c r="C6" i="101"/>
  <c r="B6" i="101"/>
  <c r="C5" i="101"/>
  <c r="B5" i="101"/>
  <c r="C4" i="101"/>
  <c r="B4" i="101"/>
  <c r="C3" i="101"/>
  <c r="B3" i="101"/>
  <c r="C2" i="101"/>
  <c r="O9" i="101"/>
  <c r="J9" i="101"/>
  <c r="I9" i="101"/>
  <c r="G9" i="101"/>
  <c r="J8" i="101"/>
  <c r="I8" i="101"/>
  <c r="G8" i="101"/>
  <c r="O7" i="101"/>
  <c r="J7" i="101"/>
  <c r="I7" i="101"/>
  <c r="G7" i="101"/>
  <c r="J6" i="101"/>
  <c r="I6" i="101"/>
  <c r="G6" i="101"/>
  <c r="O5" i="101"/>
  <c r="J5" i="101"/>
  <c r="I5" i="101"/>
  <c r="G5" i="101"/>
  <c r="J4" i="101"/>
  <c r="I4" i="101"/>
  <c r="G4" i="101"/>
  <c r="O3" i="101"/>
  <c r="J3" i="101"/>
  <c r="E1" i="102" s="1" a="1"/>
  <c r="E1" i="102" s="1"/>
  <c r="I3" i="101"/>
  <c r="G3" i="101"/>
  <c r="J2" i="101"/>
  <c r="I2" i="101"/>
  <c r="G2" i="101"/>
  <c r="B2" i="101"/>
  <c r="P1" i="101"/>
  <c r="O1" i="101"/>
  <c r="N1" i="101"/>
  <c r="L1" i="101"/>
  <c r="K1" i="101"/>
  <c r="J1" i="101"/>
  <c r="I1" i="101"/>
  <c r="H1" i="101"/>
  <c r="G1" i="101"/>
  <c r="C8" i="98"/>
  <c r="C14" i="98"/>
  <c r="C20" i="98"/>
  <c r="C19" i="98"/>
  <c r="C13" i="98"/>
  <c r="C7" i="98"/>
  <c r="G8" i="97"/>
  <c r="G26" i="96"/>
  <c r="G25" i="96"/>
  <c r="G24" i="96"/>
  <c r="G23" i="96"/>
  <c r="G22" i="96"/>
  <c r="G21" i="96"/>
  <c r="G20" i="96"/>
  <c r="G15" i="96"/>
  <c r="G14" i="96"/>
  <c r="G13" i="96"/>
  <c r="G12" i="96"/>
  <c r="G11" i="96"/>
  <c r="G10" i="96"/>
  <c r="G9" i="96"/>
  <c r="G8" i="96"/>
  <c r="G7" i="96"/>
  <c r="G6" i="96"/>
  <c r="G5" i="96"/>
  <c r="G4" i="96"/>
  <c r="G3" i="96"/>
  <c r="G2" i="96"/>
  <c r="I9" i="87"/>
  <c r="I8" i="87"/>
  <c r="I7" i="87"/>
  <c r="I6" i="87"/>
  <c r="I5" i="87"/>
  <c r="I4" i="87"/>
  <c r="I3" i="87"/>
  <c r="I2" i="87"/>
  <c r="O5" i="85"/>
  <c r="O7" i="85"/>
  <c r="O9" i="85"/>
  <c r="O11" i="85"/>
  <c r="O13" i="85"/>
  <c r="O15" i="85"/>
  <c r="O17" i="85"/>
  <c r="O19" i="85"/>
  <c r="O21" i="85"/>
  <c r="O23" i="85"/>
  <c r="O25" i="85"/>
  <c r="O3" i="85"/>
  <c r="G17" i="82"/>
  <c r="G16" i="82"/>
  <c r="G15" i="82"/>
  <c r="G14" i="82"/>
  <c r="G13" i="82"/>
  <c r="G12" i="82"/>
  <c r="G11" i="82"/>
  <c r="G10" i="82"/>
  <c r="G9" i="82"/>
  <c r="G8" i="82"/>
  <c r="G7" i="82"/>
  <c r="G6" i="82"/>
  <c r="G5" i="82"/>
  <c r="G4" i="82"/>
  <c r="G3" i="82"/>
  <c r="G2" i="82"/>
  <c r="G7" i="78"/>
  <c r="G6" i="78"/>
  <c r="G5" i="78"/>
  <c r="G4" i="78"/>
  <c r="G3" i="78"/>
  <c r="G2" i="78"/>
  <c r="G25" i="75"/>
  <c r="G24" i="75"/>
  <c r="G23" i="75"/>
  <c r="G22" i="75"/>
  <c r="G21" i="75"/>
  <c r="G20" i="75"/>
  <c r="G16" i="75"/>
  <c r="G15" i="75"/>
  <c r="G14" i="75"/>
  <c r="G13" i="75"/>
  <c r="G12" i="75"/>
  <c r="G11" i="75"/>
  <c r="I4" i="70"/>
  <c r="I5" i="70"/>
  <c r="I3" i="70"/>
  <c r="I2" i="70"/>
  <c r="D2" i="70"/>
  <c r="G43" i="42"/>
  <c r="G44" i="42"/>
  <c r="G45" i="42"/>
  <c r="G46" i="42"/>
  <c r="G47" i="42"/>
  <c r="G48" i="42"/>
  <c r="G49" i="42"/>
  <c r="G50" i="42"/>
  <c r="G51" i="42"/>
  <c r="G52" i="42"/>
  <c r="G53" i="42"/>
  <c r="G13" i="42"/>
  <c r="G14" i="42"/>
  <c r="G15" i="42"/>
  <c r="G16" i="42"/>
  <c r="G10" i="42"/>
  <c r="G11" i="42"/>
  <c r="A3" i="67"/>
  <c r="E3" i="67"/>
  <c r="G3" i="67"/>
  <c r="H3" i="67"/>
  <c r="A9" i="67"/>
  <c r="E9" i="67"/>
  <c r="F9" i="67"/>
  <c r="H9" i="67"/>
  <c r="A12" i="67"/>
  <c r="E12" i="67"/>
  <c r="F12" i="67"/>
  <c r="H12" i="67"/>
  <c r="B24" i="97"/>
  <c r="B23" i="97"/>
  <c r="B18" i="97"/>
  <c r="B17" i="97"/>
  <c r="B21" i="97"/>
  <c r="B15" i="97"/>
  <c r="B22" i="97"/>
  <c r="B20" i="97"/>
  <c r="B16" i="97"/>
  <c r="B14" i="97"/>
  <c r="B19" i="97"/>
  <c r="B13" i="97"/>
  <c r="F13" i="97"/>
  <c r="I13" i="97"/>
  <c r="K13" i="97"/>
  <c r="F14" i="97"/>
  <c r="I14" i="97"/>
  <c r="K14" i="97"/>
  <c r="F15" i="97"/>
  <c r="I15" i="97"/>
  <c r="K15" i="97"/>
  <c r="F16" i="97"/>
  <c r="I16" i="97"/>
  <c r="K16" i="97"/>
  <c r="F17" i="97"/>
  <c r="I17" i="97"/>
  <c r="K17" i="97"/>
  <c r="F18" i="97"/>
  <c r="I18" i="97"/>
  <c r="K18" i="97"/>
  <c r="F19" i="97"/>
  <c r="I19" i="97"/>
  <c r="J19" i="97"/>
  <c r="K19" i="97"/>
  <c r="F20" i="97"/>
  <c r="I20" i="97"/>
  <c r="J20" i="97"/>
  <c r="K20" i="97"/>
  <c r="F21" i="97"/>
  <c r="I21" i="97"/>
  <c r="J21" i="97"/>
  <c r="K21" i="97"/>
  <c r="F22" i="97"/>
  <c r="I22" i="97"/>
  <c r="J22" i="97"/>
  <c r="K22" i="97"/>
  <c r="F23" i="97"/>
  <c r="I23" i="97"/>
  <c r="J23" i="97"/>
  <c r="K23" i="97"/>
  <c r="F24" i="97"/>
  <c r="I24" i="97"/>
  <c r="J24" i="97"/>
  <c r="K24" i="97"/>
  <c r="B11" i="97"/>
  <c r="B12" i="97"/>
  <c r="B10" i="97"/>
  <c r="F10" i="97"/>
  <c r="I10" i="97"/>
  <c r="K10" i="97"/>
  <c r="I11" i="97"/>
  <c r="K11" i="97"/>
  <c r="I12" i="97"/>
  <c r="J12" i="97"/>
  <c r="K12" i="97"/>
  <c r="B8" i="97"/>
  <c r="B9" i="97"/>
  <c r="I8" i="97"/>
  <c r="K8" i="97"/>
  <c r="F9" i="97"/>
  <c r="I9" i="97"/>
  <c r="J9" i="97"/>
  <c r="B7" i="97"/>
  <c r="B6" i="97"/>
  <c r="B21" i="96"/>
  <c r="B22" i="96"/>
  <c r="B23" i="96"/>
  <c r="B24" i="96"/>
  <c r="B25" i="96"/>
  <c r="B26" i="96"/>
  <c r="B27" i="96"/>
  <c r="B28" i="96"/>
  <c r="B20" i="96"/>
  <c r="F6" i="97"/>
  <c r="G6" i="97"/>
  <c r="I6" i="97"/>
  <c r="J6" i="97"/>
  <c r="I7" i="97"/>
  <c r="J7" i="97"/>
  <c r="I20" i="96"/>
  <c r="K20" i="96"/>
  <c r="I21" i="96"/>
  <c r="K21" i="96"/>
  <c r="I22" i="96"/>
  <c r="K22" i="96"/>
  <c r="I23" i="96"/>
  <c r="K23" i="96"/>
  <c r="I24" i="96"/>
  <c r="K24" i="96"/>
  <c r="I25" i="96"/>
  <c r="K25" i="96"/>
  <c r="I26" i="96"/>
  <c r="K26" i="96"/>
  <c r="I27" i="96"/>
  <c r="K27" i="96"/>
  <c r="I28" i="96"/>
  <c r="K28" i="96"/>
  <c r="B3" i="97"/>
  <c r="B5" i="97"/>
  <c r="A4" i="97"/>
  <c r="A2" i="97"/>
  <c r="B2" i="97"/>
  <c r="F2" i="97"/>
  <c r="G2" i="97"/>
  <c r="I2" i="97"/>
  <c r="J2" i="97"/>
  <c r="F3" i="97"/>
  <c r="G3" i="97"/>
  <c r="I3" i="97"/>
  <c r="J3" i="97"/>
  <c r="B4" i="97"/>
  <c r="I4" i="97"/>
  <c r="J4" i="97"/>
  <c r="I5" i="97"/>
  <c r="J5" i="97"/>
  <c r="A5" i="97"/>
  <c r="A3" i="97"/>
  <c r="N1" i="97"/>
  <c r="M1" i="97"/>
  <c r="L1" i="97"/>
  <c r="K1" i="97"/>
  <c r="J1" i="97"/>
  <c r="I1" i="97"/>
  <c r="H1" i="97"/>
  <c r="G1" i="97"/>
  <c r="F1" i="97"/>
  <c r="E1" i="97"/>
  <c r="B19" i="96"/>
  <c r="B17" i="96"/>
  <c r="B15" i="96"/>
  <c r="B13" i="96"/>
  <c r="B11" i="96"/>
  <c r="B9" i="96"/>
  <c r="B7" i="96"/>
  <c r="B5" i="96"/>
  <c r="A18" i="96"/>
  <c r="A16" i="96"/>
  <c r="A14" i="96"/>
  <c r="A12" i="96"/>
  <c r="A10" i="96"/>
  <c r="A8" i="96"/>
  <c r="A6" i="96"/>
  <c r="A4" i="96"/>
  <c r="B3" i="96"/>
  <c r="A2" i="96"/>
  <c r="I2" i="96"/>
  <c r="K2" i="96"/>
  <c r="I3" i="96"/>
  <c r="K3" i="96"/>
  <c r="I4" i="96"/>
  <c r="K4" i="96"/>
  <c r="I5" i="96"/>
  <c r="K5" i="96"/>
  <c r="I6" i="96"/>
  <c r="K6" i="96"/>
  <c r="I7" i="96"/>
  <c r="K7" i="96"/>
  <c r="I8" i="96"/>
  <c r="K8" i="96"/>
  <c r="I9" i="96"/>
  <c r="K9" i="96"/>
  <c r="I10" i="96"/>
  <c r="K10" i="96"/>
  <c r="I11" i="96"/>
  <c r="K11" i="96"/>
  <c r="B12" i="96"/>
  <c r="I12" i="96"/>
  <c r="K12" i="96"/>
  <c r="I13" i="96"/>
  <c r="K13" i="96"/>
  <c r="B14" i="96"/>
  <c r="I14" i="96"/>
  <c r="K14" i="96"/>
  <c r="I15" i="96"/>
  <c r="K15" i="96"/>
  <c r="B16" i="96"/>
  <c r="I16" i="96"/>
  <c r="K16" i="96"/>
  <c r="I17" i="96"/>
  <c r="K17" i="96"/>
  <c r="B18" i="96"/>
  <c r="I18" i="96"/>
  <c r="K18" i="96"/>
  <c r="I19" i="96"/>
  <c r="K19" i="96"/>
  <c r="A15" i="96"/>
  <c r="A17" i="96"/>
  <c r="A19" i="96"/>
  <c r="A13" i="96"/>
  <c r="N1" i="96"/>
  <c r="M1" i="96"/>
  <c r="L1" i="96"/>
  <c r="K1" i="96"/>
  <c r="J1" i="96"/>
  <c r="I1" i="96"/>
  <c r="H1" i="96"/>
  <c r="G1" i="96"/>
  <c r="F1" i="96"/>
  <c r="E1" i="96"/>
  <c r="CI12" i="8" a="1"/>
  <c r="CI8" i="8" a="1"/>
  <c r="CI9" i="8" a="1"/>
  <c r="CI7" i="8" a="1"/>
  <c r="CI10" i="8" a="1"/>
  <c r="CI8" i="8" l="1"/>
  <c r="CI7" i="8"/>
  <c r="CI12" i="8"/>
  <c r="CI10" i="8"/>
  <c r="CI9" i="8"/>
  <c r="E1" i="106" a="1"/>
  <c r="E1" i="106" s="1"/>
  <c r="A2" i="102" a="1"/>
  <c r="A2" i="102" s="1"/>
  <c r="A2" i="106" a="1"/>
  <c r="A2" i="106" s="1"/>
  <c r="L25" i="97"/>
  <c r="L26" i="97"/>
  <c r="A2" i="104" a="1"/>
  <c r="A2" i="104" s="1"/>
  <c r="L27" i="97"/>
  <c r="N1" i="67"/>
  <c r="N1" i="82"/>
  <c r="N1" i="83"/>
  <c r="N1" i="75"/>
  <c r="N1" i="78"/>
  <c r="N1" i="72"/>
  <c r="N1" i="69"/>
  <c r="C6" i="8"/>
  <c r="P3" i="70"/>
  <c r="P5" i="77"/>
  <c r="E47" i="42"/>
  <c r="E48" i="42"/>
  <c r="E49" i="42"/>
  <c r="E50" i="42"/>
  <c r="H50" i="42"/>
  <c r="H49" i="42"/>
  <c r="H48" i="42"/>
  <c r="H47" i="42"/>
  <c r="F47" i="42"/>
  <c r="F50" i="42"/>
  <c r="F49" i="42"/>
  <c r="F48" i="42"/>
  <c r="B47" i="42"/>
  <c r="B48" i="42"/>
  <c r="B49" i="42"/>
  <c r="B50" i="42"/>
  <c r="H14" i="42"/>
  <c r="F14" i="42"/>
  <c r="E14" i="42"/>
  <c r="A14" i="42"/>
  <c r="B14" i="42"/>
  <c r="H13" i="42"/>
  <c r="H15" i="42"/>
  <c r="H16" i="42"/>
  <c r="F16" i="42"/>
  <c r="F15" i="42"/>
  <c r="F13" i="42"/>
  <c r="E16" i="42"/>
  <c r="E15" i="42"/>
  <c r="E13" i="42"/>
  <c r="A13" i="42"/>
  <c r="A15" i="42"/>
  <c r="A16" i="42"/>
  <c r="H19" i="85"/>
  <c r="H20" i="85"/>
  <c r="H21" i="85"/>
  <c r="H22" i="85"/>
  <c r="H23" i="85"/>
  <c r="H24" i="85"/>
  <c r="H25" i="85"/>
  <c r="H18" i="85"/>
  <c r="H11" i="85"/>
  <c r="H12" i="85"/>
  <c r="H13" i="85"/>
  <c r="H14" i="85"/>
  <c r="H15" i="85"/>
  <c r="H16" i="85"/>
  <c r="H17" i="85"/>
  <c r="H10" i="85"/>
  <c r="G25" i="85"/>
  <c r="C25" i="85"/>
  <c r="B25" i="85"/>
  <c r="G24" i="85"/>
  <c r="C24" i="85"/>
  <c r="B24" i="85"/>
  <c r="G23" i="85"/>
  <c r="C23" i="85"/>
  <c r="B23" i="85"/>
  <c r="G22" i="85"/>
  <c r="C22" i="85"/>
  <c r="B22" i="85"/>
  <c r="G21" i="85"/>
  <c r="C21" i="85"/>
  <c r="B21" i="85"/>
  <c r="G20" i="85"/>
  <c r="C20" i="85"/>
  <c r="B20" i="85"/>
  <c r="G19" i="85"/>
  <c r="C19" i="85"/>
  <c r="B19" i="85"/>
  <c r="G18" i="85"/>
  <c r="C18" i="85"/>
  <c r="B18" i="85"/>
  <c r="G17" i="85"/>
  <c r="C17" i="85"/>
  <c r="B17" i="85"/>
  <c r="G16" i="85"/>
  <c r="C16" i="85"/>
  <c r="B16" i="85"/>
  <c r="G15" i="85"/>
  <c r="C15" i="85"/>
  <c r="B15" i="85"/>
  <c r="G14" i="85"/>
  <c r="C14" i="85"/>
  <c r="B14" i="85"/>
  <c r="G13" i="85"/>
  <c r="C13" i="85"/>
  <c r="B13" i="85"/>
  <c r="G12" i="85"/>
  <c r="C12" i="85"/>
  <c r="B12" i="85"/>
  <c r="G11" i="85"/>
  <c r="C11" i="85"/>
  <c r="B11" i="85"/>
  <c r="G10" i="85"/>
  <c r="C10" i="85"/>
  <c r="B10" i="85"/>
  <c r="H9" i="85"/>
  <c r="H3" i="85"/>
  <c r="H4" i="85"/>
  <c r="H5" i="85"/>
  <c r="H6" i="85"/>
  <c r="H7" i="85"/>
  <c r="H8" i="85"/>
  <c r="H2" i="85"/>
  <c r="G2" i="85"/>
  <c r="G3" i="85"/>
  <c r="G4" i="85"/>
  <c r="G5" i="85"/>
  <c r="G6" i="85"/>
  <c r="G7" i="85"/>
  <c r="G8" i="85"/>
  <c r="G9" i="85"/>
  <c r="C8" i="85"/>
  <c r="B8" i="85"/>
  <c r="C6" i="85"/>
  <c r="B6" i="85"/>
  <c r="C4" i="85"/>
  <c r="B4" i="85"/>
  <c r="C2" i="85"/>
  <c r="B2" i="85"/>
  <c r="C9" i="85"/>
  <c r="B9" i="85"/>
  <c r="C7" i="85"/>
  <c r="B7" i="85"/>
  <c r="C5" i="85"/>
  <c r="B5" i="85"/>
  <c r="C3" i="85"/>
  <c r="B3" i="85"/>
  <c r="M21" i="82"/>
  <c r="F21" i="82"/>
  <c r="E21" i="82"/>
  <c r="B21" i="82"/>
  <c r="A21" i="82"/>
  <c r="M20" i="82"/>
  <c r="F20" i="82"/>
  <c r="E20" i="82"/>
  <c r="B20" i="82"/>
  <c r="A20" i="82"/>
  <c r="M19" i="82"/>
  <c r="F19" i="82"/>
  <c r="E19" i="82"/>
  <c r="B19" i="82"/>
  <c r="A19" i="82"/>
  <c r="M18" i="82"/>
  <c r="F18" i="82"/>
  <c r="E18" i="82"/>
  <c r="B18" i="82"/>
  <c r="A18" i="82"/>
  <c r="A23" i="54"/>
  <c r="A24" i="54"/>
  <c r="A25" i="54"/>
  <c r="B25" i="54"/>
  <c r="B24" i="54"/>
  <c r="B23" i="54"/>
  <c r="B22" i="54"/>
  <c r="A22" i="54"/>
  <c r="H53" i="42"/>
  <c r="F53" i="42"/>
  <c r="E53" i="42"/>
  <c r="H52" i="42"/>
  <c r="F52" i="42"/>
  <c r="E52" i="42"/>
  <c r="H51" i="42"/>
  <c r="F51" i="42"/>
  <c r="E51" i="42"/>
  <c r="B53" i="42"/>
  <c r="B51" i="42"/>
  <c r="B52" i="42"/>
  <c r="A53" i="42"/>
  <c r="A52" i="42"/>
  <c r="A51" i="42"/>
  <c r="H44" i="42"/>
  <c r="H45" i="42"/>
  <c r="H46" i="42"/>
  <c r="E44" i="42"/>
  <c r="E45" i="42"/>
  <c r="E46" i="42"/>
  <c r="F44" i="42"/>
  <c r="F45" i="42"/>
  <c r="F46" i="42"/>
  <c r="B46" i="42"/>
  <c r="B45" i="42"/>
  <c r="B44" i="42"/>
  <c r="A46" i="42"/>
  <c r="A45" i="42"/>
  <c r="A44" i="42"/>
  <c r="D8" i="87"/>
  <c r="P9" i="87" s="1"/>
  <c r="D6" i="87"/>
  <c r="P7" i="87" s="1"/>
  <c r="D4" i="87"/>
  <c r="P5" i="87" s="1"/>
  <c r="D2" i="87"/>
  <c r="P3" i="87" s="1"/>
  <c r="C9" i="87"/>
  <c r="C7" i="87"/>
  <c r="B7" i="87"/>
  <c r="C6" i="87"/>
  <c r="B8" i="87"/>
  <c r="B6" i="87"/>
  <c r="C8" i="87"/>
  <c r="B9" i="87"/>
  <c r="C5" i="87"/>
  <c r="C3" i="87"/>
  <c r="C4" i="87"/>
  <c r="B5" i="87"/>
  <c r="B3" i="87"/>
  <c r="B4" i="87"/>
  <c r="B2" i="87"/>
  <c r="C2" i="87"/>
  <c r="G8" i="87"/>
  <c r="G9" i="87"/>
  <c r="H9" i="87"/>
  <c r="H8" i="87"/>
  <c r="H7" i="87"/>
  <c r="H6" i="87"/>
  <c r="H5" i="87"/>
  <c r="J8" i="87"/>
  <c r="J9" i="87"/>
  <c r="O5" i="87"/>
  <c r="O7" i="87"/>
  <c r="O9" i="87"/>
  <c r="O3" i="87"/>
  <c r="J7" i="87"/>
  <c r="G7" i="87"/>
  <c r="J6" i="87"/>
  <c r="G6" i="87"/>
  <c r="J5" i="87"/>
  <c r="G5" i="87"/>
  <c r="J4" i="87"/>
  <c r="H4" i="87"/>
  <c r="G4" i="87"/>
  <c r="J3" i="87"/>
  <c r="E1" i="95" s="1" a="1"/>
  <c r="E1" i="95" s="1"/>
  <c r="H3" i="87"/>
  <c r="G3" i="87"/>
  <c r="J2" i="87"/>
  <c r="H2" i="87"/>
  <c r="G2" i="87"/>
  <c r="P1" i="87"/>
  <c r="O1" i="87"/>
  <c r="N1" i="87"/>
  <c r="L1" i="87"/>
  <c r="K1" i="87"/>
  <c r="J1" i="87"/>
  <c r="I1" i="87"/>
  <c r="H1" i="87"/>
  <c r="G1" i="87"/>
  <c r="G25" i="86"/>
  <c r="I4" i="86"/>
  <c r="H4" i="86"/>
  <c r="D28" i="40"/>
  <c r="D27" i="40"/>
  <c r="H43" i="42"/>
  <c r="F43" i="42"/>
  <c r="E43" i="42"/>
  <c r="A43" i="42"/>
  <c r="B43" i="42"/>
  <c r="A42" i="42"/>
  <c r="B42" i="42"/>
  <c r="H42" i="42"/>
  <c r="E42" i="42"/>
  <c r="H41" i="42"/>
  <c r="E41" i="42"/>
  <c r="H40" i="42"/>
  <c r="E40" i="42"/>
  <c r="B40" i="42"/>
  <c r="A40" i="42"/>
  <c r="B41" i="42"/>
  <c r="A41" i="42"/>
  <c r="B24" i="53"/>
  <c r="B16" i="53"/>
  <c r="B8" i="53"/>
  <c r="D26" i="40"/>
  <c r="D25" i="40"/>
  <c r="P1" i="85"/>
  <c r="O1" i="85"/>
  <c r="N1" i="85"/>
  <c r="L1" i="85"/>
  <c r="K1" i="85"/>
  <c r="J1" i="85"/>
  <c r="I1" i="85"/>
  <c r="H1" i="85"/>
  <c r="G1" i="85"/>
  <c r="B24" i="52"/>
  <c r="B16" i="52"/>
  <c r="B8" i="52"/>
  <c r="B9" i="51"/>
  <c r="B18" i="51"/>
  <c r="B27" i="51"/>
  <c r="B27" i="50"/>
  <c r="B18" i="50"/>
  <c r="B9" i="50"/>
  <c r="B3" i="42"/>
  <c r="A3" i="42"/>
  <c r="M54" i="83"/>
  <c r="M53" i="83"/>
  <c r="M52" i="83"/>
  <c r="H52" i="83"/>
  <c r="H53" i="83"/>
  <c r="H54" i="83"/>
  <c r="E52" i="83"/>
  <c r="E53" i="83"/>
  <c r="E54" i="83"/>
  <c r="F53" i="83"/>
  <c r="F54" i="83"/>
  <c r="F52" i="83"/>
  <c r="G54" i="83"/>
  <c r="G53" i="83"/>
  <c r="G52" i="83"/>
  <c r="G46" i="83"/>
  <c r="G45" i="83"/>
  <c r="G39" i="83"/>
  <c r="G38" i="83"/>
  <c r="M46" i="83"/>
  <c r="H46" i="83"/>
  <c r="F46" i="83"/>
  <c r="E46" i="83"/>
  <c r="M45" i="83"/>
  <c r="H45" i="83"/>
  <c r="F45" i="83"/>
  <c r="E45" i="83"/>
  <c r="M39" i="83"/>
  <c r="H39" i="83"/>
  <c r="F39" i="83"/>
  <c r="E39" i="83"/>
  <c r="M38" i="83"/>
  <c r="H38" i="83"/>
  <c r="F38" i="83"/>
  <c r="E38" i="83"/>
  <c r="O15" i="84"/>
  <c r="M5" i="97" s="1"/>
  <c r="O17" i="84"/>
  <c r="M7" i="97" s="1"/>
  <c r="J14" i="84"/>
  <c r="J15" i="84"/>
  <c r="H5" i="97" s="1"/>
  <c r="J16" i="84"/>
  <c r="J17" i="84"/>
  <c r="H7" i="97" s="1"/>
  <c r="I11" i="84"/>
  <c r="I12" i="84"/>
  <c r="I13" i="84"/>
  <c r="G4" i="97" s="1"/>
  <c r="I14" i="84"/>
  <c r="I15" i="84"/>
  <c r="G5" i="97" s="1"/>
  <c r="I16" i="84"/>
  <c r="I17" i="84"/>
  <c r="G7" i="97" s="1"/>
  <c r="I10" i="84"/>
  <c r="H11" i="84"/>
  <c r="H12" i="84"/>
  <c r="H13" i="84"/>
  <c r="F4" i="97" s="1"/>
  <c r="H14" i="84"/>
  <c r="H15" i="84"/>
  <c r="F5" i="97" s="1"/>
  <c r="H16" i="84"/>
  <c r="H17" i="84"/>
  <c r="F7" i="97" s="1"/>
  <c r="H10" i="84"/>
  <c r="G14" i="84"/>
  <c r="G15" i="84"/>
  <c r="E5" i="97" s="1"/>
  <c r="G16" i="84"/>
  <c r="G17" i="84"/>
  <c r="E7" i="97" s="1"/>
  <c r="C17" i="84"/>
  <c r="B17" i="84"/>
  <c r="A7" i="97" s="1"/>
  <c r="C9" i="84"/>
  <c r="B9" i="84"/>
  <c r="A6" i="97" s="1"/>
  <c r="O13" i="84"/>
  <c r="M4" i="97" s="1"/>
  <c r="J13" i="84"/>
  <c r="H4" i="97" s="1"/>
  <c r="G13" i="84"/>
  <c r="E4" i="97" s="1"/>
  <c r="J12" i="84"/>
  <c r="G12" i="84"/>
  <c r="O11" i="84"/>
  <c r="J11" i="84"/>
  <c r="G11" i="84"/>
  <c r="J10" i="84"/>
  <c r="G10" i="84"/>
  <c r="O9" i="84"/>
  <c r="M6" i="97" s="1"/>
  <c r="J9" i="84"/>
  <c r="H6" i="97" s="1"/>
  <c r="G9" i="84"/>
  <c r="E6" i="97" s="1"/>
  <c r="J8" i="84"/>
  <c r="G8" i="84"/>
  <c r="O7" i="84"/>
  <c r="M3" i="97" s="1"/>
  <c r="J7" i="84"/>
  <c r="H3" i="97" s="1"/>
  <c r="G7" i="84"/>
  <c r="E3" i="97" s="1"/>
  <c r="J6" i="84"/>
  <c r="G6" i="84"/>
  <c r="O5" i="84"/>
  <c r="M2" i="97" s="1"/>
  <c r="J5" i="84"/>
  <c r="H2" i="97" s="1"/>
  <c r="G5" i="84"/>
  <c r="E2" i="97" s="1"/>
  <c r="J4" i="84"/>
  <c r="G4" i="84"/>
  <c r="O3" i="84"/>
  <c r="J3" i="84"/>
  <c r="E1" i="93" s="1" a="1"/>
  <c r="E1" i="93" s="1"/>
  <c r="G3" i="84"/>
  <c r="J2" i="84"/>
  <c r="G2" i="84"/>
  <c r="P1" i="84"/>
  <c r="O1" i="84"/>
  <c r="N1" i="84"/>
  <c r="L1" i="84"/>
  <c r="K1" i="84"/>
  <c r="J1" i="84"/>
  <c r="I1" i="84"/>
  <c r="H1" i="84"/>
  <c r="G1" i="84"/>
  <c r="B9" i="42"/>
  <c r="B8" i="42"/>
  <c r="H9" i="42"/>
  <c r="E9" i="42"/>
  <c r="A9" i="42"/>
  <c r="H8" i="42"/>
  <c r="E8" i="42"/>
  <c r="A8" i="42"/>
  <c r="H7" i="42"/>
  <c r="E7" i="42"/>
  <c r="B7" i="42"/>
  <c r="A7" i="42"/>
  <c r="H6" i="42"/>
  <c r="E6" i="42"/>
  <c r="H11" i="42"/>
  <c r="E11" i="42"/>
  <c r="B11" i="42"/>
  <c r="A11" i="42"/>
  <c r="H10" i="42"/>
  <c r="E10" i="42"/>
  <c r="B10" i="42"/>
  <c r="A18" i="54"/>
  <c r="A19" i="54"/>
  <c r="A20" i="54"/>
  <c r="A21" i="54"/>
  <c r="B19" i="54"/>
  <c r="B21" i="54"/>
  <c r="B20" i="54"/>
  <c r="B18" i="54"/>
  <c r="B17" i="54"/>
  <c r="A17" i="54"/>
  <c r="B12" i="42"/>
  <c r="H39" i="42"/>
  <c r="E39" i="42"/>
  <c r="F48" i="83"/>
  <c r="F49" i="83"/>
  <c r="F18" i="96" s="1"/>
  <c r="F50" i="83"/>
  <c r="F19" i="96" s="1"/>
  <c r="F51" i="83"/>
  <c r="F28" i="96" s="1"/>
  <c r="F47" i="83"/>
  <c r="B39" i="42"/>
  <c r="A39" i="42"/>
  <c r="F37" i="83"/>
  <c r="F40" i="83"/>
  <c r="F41" i="83"/>
  <c r="F42" i="83"/>
  <c r="F16" i="96" s="1"/>
  <c r="F43" i="83"/>
  <c r="F17" i="96" s="1"/>
  <c r="F44" i="83"/>
  <c r="F27" i="96" s="1"/>
  <c r="M51" i="83"/>
  <c r="M28" i="96" s="1"/>
  <c r="H51" i="83"/>
  <c r="H28" i="96" s="1"/>
  <c r="G51" i="83"/>
  <c r="G28" i="96" s="1"/>
  <c r="E51" i="83"/>
  <c r="B51" i="83"/>
  <c r="A51" i="83"/>
  <c r="A28" i="96" s="1"/>
  <c r="M50" i="83"/>
  <c r="M19" i="96" s="1"/>
  <c r="H50" i="83"/>
  <c r="H19" i="96" s="1"/>
  <c r="G50" i="83"/>
  <c r="G19" i="96" s="1"/>
  <c r="E50" i="83"/>
  <c r="M49" i="83"/>
  <c r="M18" i="96" s="1"/>
  <c r="H49" i="83"/>
  <c r="H18" i="96" s="1"/>
  <c r="G49" i="83"/>
  <c r="G18" i="96" s="1"/>
  <c r="E49" i="83"/>
  <c r="M48" i="83"/>
  <c r="H48" i="83"/>
  <c r="G48" i="83"/>
  <c r="E48" i="83"/>
  <c r="M47" i="83"/>
  <c r="H47" i="83"/>
  <c r="G47" i="83"/>
  <c r="E47" i="83"/>
  <c r="M44" i="83"/>
  <c r="M27" i="96" s="1"/>
  <c r="H44" i="83"/>
  <c r="H27" i="96" s="1"/>
  <c r="G44" i="83"/>
  <c r="G27" i="96" s="1"/>
  <c r="E44" i="83"/>
  <c r="B44" i="83"/>
  <c r="A44" i="83"/>
  <c r="A27" i="96" s="1"/>
  <c r="M43" i="83"/>
  <c r="M17" i="96" s="1"/>
  <c r="H43" i="83"/>
  <c r="H17" i="96" s="1"/>
  <c r="G43" i="83"/>
  <c r="G17" i="96" s="1"/>
  <c r="E43" i="83"/>
  <c r="M42" i="83"/>
  <c r="M16" i="96" s="1"/>
  <c r="H42" i="83"/>
  <c r="H16" i="96" s="1"/>
  <c r="G42" i="83"/>
  <c r="G16" i="96" s="1"/>
  <c r="E42" i="83"/>
  <c r="M41" i="83"/>
  <c r="H41" i="83"/>
  <c r="G41" i="83"/>
  <c r="E41" i="83"/>
  <c r="M40" i="83"/>
  <c r="H40" i="83"/>
  <c r="G40" i="83"/>
  <c r="E40" i="83"/>
  <c r="M25" i="83"/>
  <c r="M26" i="83"/>
  <c r="M27" i="83"/>
  <c r="M28" i="83"/>
  <c r="M29" i="83"/>
  <c r="M30" i="83"/>
  <c r="M31" i="83"/>
  <c r="M32" i="83"/>
  <c r="M33" i="83"/>
  <c r="M34" i="83"/>
  <c r="M35" i="83"/>
  <c r="M36" i="83"/>
  <c r="M37" i="83"/>
  <c r="H25" i="83"/>
  <c r="H26" i="83"/>
  <c r="H27" i="83"/>
  <c r="H28" i="83"/>
  <c r="H29" i="83"/>
  <c r="H30" i="83"/>
  <c r="H31" i="83"/>
  <c r="H32" i="83"/>
  <c r="H33" i="83"/>
  <c r="H34" i="83"/>
  <c r="H35" i="83"/>
  <c r="H36" i="83"/>
  <c r="H37" i="83"/>
  <c r="E25" i="83"/>
  <c r="F25" i="83"/>
  <c r="E26" i="83"/>
  <c r="F26" i="83"/>
  <c r="E27" i="83"/>
  <c r="F27" i="83"/>
  <c r="E28" i="83"/>
  <c r="F28" i="83"/>
  <c r="E29" i="83"/>
  <c r="F29" i="83"/>
  <c r="E30" i="83"/>
  <c r="F30" i="83"/>
  <c r="E31" i="83"/>
  <c r="F31" i="83"/>
  <c r="E32" i="83"/>
  <c r="F32" i="83"/>
  <c r="E33" i="83"/>
  <c r="F33" i="83"/>
  <c r="E34" i="83"/>
  <c r="F34" i="83"/>
  <c r="E35" i="83"/>
  <c r="F35" i="83"/>
  <c r="E36" i="83"/>
  <c r="F36" i="83"/>
  <c r="E37" i="83"/>
  <c r="G37" i="83"/>
  <c r="G36" i="83"/>
  <c r="G35" i="83"/>
  <c r="G34" i="83"/>
  <c r="G33" i="83"/>
  <c r="G32" i="83"/>
  <c r="G31" i="83"/>
  <c r="G30" i="83"/>
  <c r="G29" i="83"/>
  <c r="G28" i="83"/>
  <c r="G27" i="83"/>
  <c r="G26" i="83"/>
  <c r="G25" i="83"/>
  <c r="G24" i="83"/>
  <c r="G23" i="83"/>
  <c r="G22" i="83"/>
  <c r="G21" i="83"/>
  <c r="G20" i="83"/>
  <c r="B36" i="83"/>
  <c r="A36" i="83"/>
  <c r="B30" i="83"/>
  <c r="A30" i="83"/>
  <c r="B24" i="83"/>
  <c r="A24" i="83"/>
  <c r="A26" i="96" s="1"/>
  <c r="F16" i="83"/>
  <c r="F17" i="83"/>
  <c r="F18" i="83"/>
  <c r="F19" i="83"/>
  <c r="B18" i="83"/>
  <c r="A18" i="83"/>
  <c r="B12" i="83"/>
  <c r="A12" i="83"/>
  <c r="F20" i="83"/>
  <c r="F21" i="83"/>
  <c r="F22" i="83"/>
  <c r="F14" i="96" s="1"/>
  <c r="F23" i="83"/>
  <c r="F15" i="96" s="1"/>
  <c r="F24" i="83"/>
  <c r="F26" i="96" s="1"/>
  <c r="G19" i="83"/>
  <c r="G17" i="83"/>
  <c r="G16" i="83"/>
  <c r="G15" i="83"/>
  <c r="G14" i="83"/>
  <c r="G13" i="83"/>
  <c r="G12" i="83"/>
  <c r="G11" i="83"/>
  <c r="G10" i="83"/>
  <c r="G9" i="83"/>
  <c r="G8" i="83"/>
  <c r="B6" i="83"/>
  <c r="A6" i="83"/>
  <c r="A25" i="96" s="1"/>
  <c r="G3" i="83"/>
  <c r="G4" i="83"/>
  <c r="G5" i="83"/>
  <c r="G7" i="83"/>
  <c r="G6" i="83"/>
  <c r="F3" i="83"/>
  <c r="F4" i="83"/>
  <c r="F12" i="96" s="1"/>
  <c r="F5" i="83"/>
  <c r="F13" i="96" s="1"/>
  <c r="F7" i="83"/>
  <c r="F6" i="83"/>
  <c r="F25" i="96" s="1"/>
  <c r="F8" i="83"/>
  <c r="F9" i="83"/>
  <c r="F10" i="83"/>
  <c r="F11" i="83"/>
  <c r="F12" i="83"/>
  <c r="F13" i="83"/>
  <c r="F14" i="83"/>
  <c r="F15" i="83"/>
  <c r="F2" i="83"/>
  <c r="M24" i="83"/>
  <c r="M26" i="96" s="1"/>
  <c r="H24" i="83"/>
  <c r="H26" i="96" s="1"/>
  <c r="E24" i="83"/>
  <c r="E26" i="96" s="1"/>
  <c r="M23" i="83"/>
  <c r="M15" i="96" s="1"/>
  <c r="H23" i="83"/>
  <c r="H15" i="96" s="1"/>
  <c r="E23" i="83"/>
  <c r="E15" i="96" s="1"/>
  <c r="M22" i="83"/>
  <c r="M14" i="96" s="1"/>
  <c r="H22" i="83"/>
  <c r="H14" i="96" s="1"/>
  <c r="E22" i="83"/>
  <c r="E14" i="96" s="1"/>
  <c r="M21" i="83"/>
  <c r="H21" i="83"/>
  <c r="E21" i="83"/>
  <c r="M20" i="83"/>
  <c r="H20" i="83"/>
  <c r="E20" i="83"/>
  <c r="M19" i="83"/>
  <c r="H19" i="83"/>
  <c r="E19" i="83"/>
  <c r="M18" i="83"/>
  <c r="H18" i="83"/>
  <c r="G18" i="83"/>
  <c r="E18" i="83"/>
  <c r="M17" i="83"/>
  <c r="H17" i="83"/>
  <c r="E17" i="83"/>
  <c r="M16" i="83"/>
  <c r="H16" i="83"/>
  <c r="E16" i="83"/>
  <c r="M15" i="83"/>
  <c r="H15" i="83"/>
  <c r="E15" i="83"/>
  <c r="M14" i="83"/>
  <c r="H14" i="83"/>
  <c r="E14" i="83"/>
  <c r="M13" i="83"/>
  <c r="H13" i="83"/>
  <c r="E13" i="83"/>
  <c r="M12" i="83"/>
  <c r="H12" i="83"/>
  <c r="E12" i="83"/>
  <c r="M11" i="83"/>
  <c r="H11" i="83"/>
  <c r="E11" i="83"/>
  <c r="M10" i="83"/>
  <c r="H10" i="83"/>
  <c r="E10" i="83"/>
  <c r="M9" i="83"/>
  <c r="H9" i="83"/>
  <c r="E9" i="83"/>
  <c r="M8" i="83"/>
  <c r="H8" i="83"/>
  <c r="E8" i="83"/>
  <c r="M6" i="83"/>
  <c r="M25" i="96" s="1"/>
  <c r="H6" i="83"/>
  <c r="H25" i="96" s="1"/>
  <c r="E6" i="83"/>
  <c r="E25" i="96" s="1"/>
  <c r="M7" i="83"/>
  <c r="H7" i="83"/>
  <c r="E7" i="83"/>
  <c r="M5" i="83"/>
  <c r="M13" i="96" s="1"/>
  <c r="H5" i="83"/>
  <c r="H13" i="96" s="1"/>
  <c r="E5" i="83"/>
  <c r="M4" i="83"/>
  <c r="M12" i="96" s="1"/>
  <c r="H4" i="83"/>
  <c r="H12" i="96" s="1"/>
  <c r="E4" i="83"/>
  <c r="M3" i="83"/>
  <c r="H3" i="83"/>
  <c r="E3" i="83"/>
  <c r="M2" i="83"/>
  <c r="H2" i="83"/>
  <c r="G2" i="83"/>
  <c r="E2" i="83"/>
  <c r="M1" i="83"/>
  <c r="L1" i="83"/>
  <c r="K1" i="83"/>
  <c r="J1" i="83"/>
  <c r="I1" i="83"/>
  <c r="H1" i="83"/>
  <c r="G1" i="83"/>
  <c r="F1" i="83"/>
  <c r="E1" i="83"/>
  <c r="F15" i="82"/>
  <c r="F16" i="82"/>
  <c r="F17" i="82"/>
  <c r="F14" i="82"/>
  <c r="F11" i="82"/>
  <c r="F12" i="82"/>
  <c r="F13" i="82"/>
  <c r="F10" i="82"/>
  <c r="F7" i="82"/>
  <c r="F8" i="82"/>
  <c r="F9" i="82"/>
  <c r="F6" i="82"/>
  <c r="F3" i="82"/>
  <c r="F4" i="82"/>
  <c r="F5" i="82"/>
  <c r="F2" i="82"/>
  <c r="M17" i="82"/>
  <c r="E17" i="82"/>
  <c r="B17" i="82"/>
  <c r="A17" i="82"/>
  <c r="M16" i="82"/>
  <c r="E16" i="82"/>
  <c r="B16" i="82"/>
  <c r="A16" i="82"/>
  <c r="M15" i="82"/>
  <c r="E15" i="82"/>
  <c r="B15" i="82"/>
  <c r="A15" i="82"/>
  <c r="M14" i="82"/>
  <c r="E14" i="82"/>
  <c r="B14" i="82"/>
  <c r="A14" i="82"/>
  <c r="M13" i="82"/>
  <c r="E13" i="82"/>
  <c r="B13" i="82"/>
  <c r="A13" i="82"/>
  <c r="M12" i="82"/>
  <c r="E12" i="82"/>
  <c r="B12" i="82"/>
  <c r="A12" i="82"/>
  <c r="M11" i="82"/>
  <c r="E11" i="82"/>
  <c r="B11" i="82"/>
  <c r="A11" i="82"/>
  <c r="M10" i="82"/>
  <c r="E10" i="82"/>
  <c r="B10" i="82"/>
  <c r="A10" i="82"/>
  <c r="M9" i="82"/>
  <c r="E9" i="82"/>
  <c r="B9" i="82"/>
  <c r="A9" i="82"/>
  <c r="M8" i="82"/>
  <c r="E8" i="82"/>
  <c r="B8" i="82"/>
  <c r="A8" i="82"/>
  <c r="M7" i="82"/>
  <c r="E7" i="82"/>
  <c r="B7" i="82"/>
  <c r="A7" i="82"/>
  <c r="M6" i="82"/>
  <c r="E6" i="82"/>
  <c r="B6" i="82"/>
  <c r="A6" i="82"/>
  <c r="A3" i="82"/>
  <c r="A4" i="82"/>
  <c r="A5" i="82"/>
  <c r="A2" i="82"/>
  <c r="B2" i="82"/>
  <c r="B5" i="82"/>
  <c r="B4" i="82"/>
  <c r="B3" i="82"/>
  <c r="A37" i="42"/>
  <c r="M5" i="82"/>
  <c r="E5" i="82"/>
  <c r="M4" i="82"/>
  <c r="E4" i="82"/>
  <c r="M3" i="82"/>
  <c r="E3" i="82"/>
  <c r="M2" i="82"/>
  <c r="E2" i="82"/>
  <c r="M1" i="82"/>
  <c r="L1" i="82"/>
  <c r="K1" i="82"/>
  <c r="J1" i="82"/>
  <c r="I1" i="82"/>
  <c r="H1" i="82"/>
  <c r="G1" i="82"/>
  <c r="F1" i="82"/>
  <c r="E1" i="82"/>
  <c r="C4" i="81"/>
  <c r="E4" i="81"/>
  <c r="C5" i="81"/>
  <c r="D5" i="81" s="1"/>
  <c r="E5" i="81"/>
  <c r="F5" i="81"/>
  <c r="E6" i="81"/>
  <c r="C8" i="82" s="1"/>
  <c r="C7" i="81"/>
  <c r="C10" i="82" s="1"/>
  <c r="E7" i="81"/>
  <c r="C8" i="81"/>
  <c r="E8" i="81"/>
  <c r="C16" i="82" s="1"/>
  <c r="C9" i="81"/>
  <c r="E9" i="81"/>
  <c r="E3" i="81"/>
  <c r="C4" i="82" s="1"/>
  <c r="C3" i="81"/>
  <c r="D3" i="81" s="1"/>
  <c r="R56" i="38"/>
  <c r="S56" i="38" s="1"/>
  <c r="T56" i="38" s="1"/>
  <c r="T23" i="38"/>
  <c r="T31" i="38"/>
  <c r="T35" i="38"/>
  <c r="T39" i="38"/>
  <c r="T54" i="38"/>
  <c r="T55" i="38"/>
  <c r="T22" i="38"/>
  <c r="S26" i="38"/>
  <c r="S30" i="38"/>
  <c r="S38" i="38"/>
  <c r="S45" i="38"/>
  <c r="S46" i="38"/>
  <c r="S54" i="38"/>
  <c r="S55" i="38"/>
  <c r="R53" i="38"/>
  <c r="T53" i="38" s="1"/>
  <c r="R52" i="38"/>
  <c r="T52" i="38" s="1"/>
  <c r="R51" i="38"/>
  <c r="S51" i="38" s="1"/>
  <c r="R50" i="38"/>
  <c r="T50" i="38" s="1"/>
  <c r="R49" i="38"/>
  <c r="T49" i="38" s="1"/>
  <c r="R48" i="38"/>
  <c r="T48" i="38" s="1"/>
  <c r="R47" i="38"/>
  <c r="S47" i="38" s="1"/>
  <c r="R46" i="38"/>
  <c r="T46" i="38" s="1"/>
  <c r="R45" i="38"/>
  <c r="T45" i="38" s="1"/>
  <c r="R44" i="38"/>
  <c r="T44" i="38" s="1"/>
  <c r="R43" i="38"/>
  <c r="S43" i="38" s="1"/>
  <c r="R42" i="38"/>
  <c r="T42" i="38" s="1"/>
  <c r="R41" i="38"/>
  <c r="T41" i="38" s="1"/>
  <c r="R40" i="38"/>
  <c r="T40" i="38" s="1"/>
  <c r="R39" i="38"/>
  <c r="S39" i="38" s="1"/>
  <c r="R38" i="38"/>
  <c r="T38" i="38" s="1"/>
  <c r="R37" i="38"/>
  <c r="T37" i="38" s="1"/>
  <c r="R36" i="38"/>
  <c r="T36" i="38" s="1"/>
  <c r="R35" i="38"/>
  <c r="S35" i="38" s="1"/>
  <c r="R34" i="38"/>
  <c r="T34" i="38" s="1"/>
  <c r="R33" i="38"/>
  <c r="T33" i="38" s="1"/>
  <c r="R32" i="38"/>
  <c r="S32" i="38" s="1"/>
  <c r="R31" i="38"/>
  <c r="S31" i="38" s="1"/>
  <c r="R30" i="38"/>
  <c r="T30" i="38" s="1"/>
  <c r="R29" i="38"/>
  <c r="T29" i="38" s="1"/>
  <c r="R28" i="38"/>
  <c r="T28" i="38" s="1"/>
  <c r="R27" i="38"/>
  <c r="S27" i="38" s="1"/>
  <c r="R26" i="38"/>
  <c r="T26" i="38" s="1"/>
  <c r="R25" i="38"/>
  <c r="T25" i="38" s="1"/>
  <c r="R24" i="38"/>
  <c r="R23" i="38"/>
  <c r="S23" i="38" s="1"/>
  <c r="R22" i="38"/>
  <c r="S22" i="38" s="1"/>
  <c r="P58" i="38"/>
  <c r="P57" i="38"/>
  <c r="C6" i="81" s="1"/>
  <c r="O20" i="38"/>
  <c r="M21" i="38"/>
  <c r="O21" i="38" s="1"/>
  <c r="O19" i="38"/>
  <c r="O18" i="38"/>
  <c r="O15" i="38"/>
  <c r="O16" i="38"/>
  <c r="O17" i="38"/>
  <c r="O14" i="38"/>
  <c r="O10" i="38"/>
  <c r="O11" i="38"/>
  <c r="O12" i="38"/>
  <c r="O9" i="38"/>
  <c r="O6" i="38"/>
  <c r="O7" i="38"/>
  <c r="O8" i="38"/>
  <c r="O5" i="38"/>
  <c r="E37" i="79"/>
  <c r="C54" i="83" s="1"/>
  <c r="D37" i="79"/>
  <c r="C53" i="83" s="1"/>
  <c r="C37" i="79"/>
  <c r="C52" i="83" s="1"/>
  <c r="E33" i="79"/>
  <c r="C51" i="83" s="1"/>
  <c r="E32" i="79"/>
  <c r="C50" i="83" s="1"/>
  <c r="E31" i="79"/>
  <c r="C49" i="83" s="1"/>
  <c r="E30" i="79"/>
  <c r="C48" i="83" s="1"/>
  <c r="E29" i="79"/>
  <c r="C47" i="83" s="1"/>
  <c r="D29" i="79"/>
  <c r="C46" i="83" s="1"/>
  <c r="C29" i="79"/>
  <c r="C45" i="83" s="1"/>
  <c r="E25" i="79"/>
  <c r="C44" i="83" s="1"/>
  <c r="E24" i="79"/>
  <c r="C43" i="83" s="1"/>
  <c r="E23" i="79"/>
  <c r="C42" i="83" s="1"/>
  <c r="E22" i="79"/>
  <c r="C41" i="83" s="1"/>
  <c r="E21" i="79"/>
  <c r="C40" i="83" s="1"/>
  <c r="D21" i="79"/>
  <c r="C39" i="83" s="1"/>
  <c r="C21" i="79"/>
  <c r="C38" i="83" s="1"/>
  <c r="D18" i="79"/>
  <c r="C31" i="83" s="1"/>
  <c r="E18" i="79"/>
  <c r="C37" i="83" s="1"/>
  <c r="C18" i="79"/>
  <c r="C25" i="83" s="1"/>
  <c r="D16" i="79"/>
  <c r="C30" i="83" s="1"/>
  <c r="C16" i="79"/>
  <c r="C24" i="83" s="1"/>
  <c r="E16" i="79"/>
  <c r="C36" i="83" s="1"/>
  <c r="D15" i="79"/>
  <c r="C29" i="83" s="1"/>
  <c r="E15" i="79"/>
  <c r="C35" i="83" s="1"/>
  <c r="C15" i="79"/>
  <c r="C23" i="83" s="1"/>
  <c r="E14" i="79"/>
  <c r="C34" i="83" s="1"/>
  <c r="D14" i="79"/>
  <c r="C28" i="83" s="1"/>
  <c r="C14" i="79"/>
  <c r="C22" i="83" s="1"/>
  <c r="E13" i="79"/>
  <c r="C33" i="83" s="1"/>
  <c r="C13" i="79"/>
  <c r="C21" i="83" s="1"/>
  <c r="D13" i="79"/>
  <c r="C27" i="83" s="1"/>
  <c r="E12" i="79"/>
  <c r="C32" i="83" s="1"/>
  <c r="D12" i="79"/>
  <c r="C26" i="83" s="1"/>
  <c r="C12" i="79"/>
  <c r="C20" i="83" s="1"/>
  <c r="E9" i="79"/>
  <c r="C19" i="83" s="1"/>
  <c r="D9" i="79"/>
  <c r="C13" i="83" s="1"/>
  <c r="C9" i="79"/>
  <c r="C7" i="83" s="1"/>
  <c r="G26" i="69"/>
  <c r="G25" i="69"/>
  <c r="G24" i="69"/>
  <c r="D7" i="79"/>
  <c r="C12" i="83" s="1"/>
  <c r="E7" i="79"/>
  <c r="C18" i="83" s="1"/>
  <c r="C7" i="79"/>
  <c r="C6" i="83" s="1"/>
  <c r="D6" i="79"/>
  <c r="C11" i="83" s="1"/>
  <c r="E6" i="79"/>
  <c r="C17" i="83" s="1"/>
  <c r="C6" i="79"/>
  <c r="C5" i="83" s="1"/>
  <c r="C5" i="79"/>
  <c r="C4" i="83" s="1"/>
  <c r="E5" i="79"/>
  <c r="C16" i="83" s="1"/>
  <c r="D5" i="79"/>
  <c r="C10" i="83" s="1"/>
  <c r="E4" i="79"/>
  <c r="C15" i="83" s="1"/>
  <c r="D4" i="79"/>
  <c r="C9" i="83" s="1"/>
  <c r="C4" i="79"/>
  <c r="C3" i="83" s="1"/>
  <c r="E3" i="79"/>
  <c r="C14" i="83" s="1"/>
  <c r="D3" i="79"/>
  <c r="C8" i="83" s="1"/>
  <c r="C3" i="79"/>
  <c r="C2" i="83" s="1"/>
  <c r="B3" i="78"/>
  <c r="B4" i="78"/>
  <c r="B5" i="78"/>
  <c r="B6" i="78"/>
  <c r="B7" i="78"/>
  <c r="B2" i="78"/>
  <c r="F4" i="78"/>
  <c r="F5" i="78"/>
  <c r="F6" i="78"/>
  <c r="F7" i="78"/>
  <c r="F3" i="78"/>
  <c r="M7" i="78"/>
  <c r="H7" i="78"/>
  <c r="E7" i="78"/>
  <c r="A7" i="78"/>
  <c r="M6" i="78"/>
  <c r="H6" i="78"/>
  <c r="E6" i="78"/>
  <c r="A6" i="78"/>
  <c r="M5" i="78"/>
  <c r="H5" i="78"/>
  <c r="E5" i="78"/>
  <c r="A5" i="78"/>
  <c r="M4" i="78"/>
  <c r="H4" i="78"/>
  <c r="E4" i="78"/>
  <c r="A4" i="78"/>
  <c r="M3" i="78"/>
  <c r="H3" i="78"/>
  <c r="E3" i="78"/>
  <c r="A3" i="78"/>
  <c r="M2" i="78"/>
  <c r="H2" i="78"/>
  <c r="F2" i="78"/>
  <c r="E2" i="78"/>
  <c r="A2" i="78"/>
  <c r="M1" i="78"/>
  <c r="L1" i="78"/>
  <c r="K1" i="78"/>
  <c r="J1" i="78"/>
  <c r="I1" i="78"/>
  <c r="H1" i="78"/>
  <c r="G1" i="78"/>
  <c r="F1" i="78"/>
  <c r="E1" i="78"/>
  <c r="D12" i="77"/>
  <c r="P13" i="77" s="1"/>
  <c r="D10" i="77"/>
  <c r="P11" i="77" s="1"/>
  <c r="D8" i="77"/>
  <c r="P9" i="77" s="1"/>
  <c r="D6" i="77"/>
  <c r="P7" i="77" s="1"/>
  <c r="D4" i="77"/>
  <c r="D2" i="77"/>
  <c r="P3" i="77" s="1"/>
  <c r="B16" i="54"/>
  <c r="A16" i="54"/>
  <c r="C13" i="77"/>
  <c r="C11" i="77"/>
  <c r="C9" i="77"/>
  <c r="O13" i="77"/>
  <c r="M12" i="97" s="1"/>
  <c r="J13" i="77"/>
  <c r="H12" i="97" s="1"/>
  <c r="H13" i="77"/>
  <c r="F12" i="97" s="1"/>
  <c r="G13" i="77"/>
  <c r="E12" i="97" s="1"/>
  <c r="B13" i="77"/>
  <c r="A12" i="97" s="1"/>
  <c r="J12" i="77"/>
  <c r="H12" i="77"/>
  <c r="G12" i="77"/>
  <c r="C12" i="77"/>
  <c r="B12" i="77"/>
  <c r="O11" i="77"/>
  <c r="M11" i="97" s="1"/>
  <c r="J11" i="77"/>
  <c r="H11" i="97" s="1"/>
  <c r="H11" i="77"/>
  <c r="F11" i="97" s="1"/>
  <c r="G11" i="77"/>
  <c r="E11" i="97" s="1"/>
  <c r="B11" i="77"/>
  <c r="A11" i="97" s="1"/>
  <c r="J10" i="77"/>
  <c r="H10" i="77"/>
  <c r="G10" i="77"/>
  <c r="C10" i="77"/>
  <c r="B10" i="77"/>
  <c r="O9" i="77"/>
  <c r="M10" i="97" s="1"/>
  <c r="J9" i="77"/>
  <c r="H10" i="97" s="1"/>
  <c r="G9" i="77"/>
  <c r="E10" i="97" s="1"/>
  <c r="B9" i="77"/>
  <c r="A10" i="97" s="1"/>
  <c r="J8" i="77"/>
  <c r="G8" i="77"/>
  <c r="C8" i="77"/>
  <c r="B8" i="77"/>
  <c r="C4" i="77"/>
  <c r="C5" i="77"/>
  <c r="C6" i="77"/>
  <c r="C7" i="77"/>
  <c r="C3" i="77"/>
  <c r="C2" i="77"/>
  <c r="B3" i="77"/>
  <c r="B4" i="77"/>
  <c r="B5" i="77"/>
  <c r="B6" i="77"/>
  <c r="B7" i="77"/>
  <c r="B2" i="77"/>
  <c r="G6" i="77"/>
  <c r="G7" i="77"/>
  <c r="O7" i="77"/>
  <c r="J6" i="77"/>
  <c r="J7" i="77"/>
  <c r="H7" i="77"/>
  <c r="H6" i="77"/>
  <c r="H5" i="77"/>
  <c r="H4" i="77"/>
  <c r="O5" i="77"/>
  <c r="O3" i="77"/>
  <c r="J5" i="77"/>
  <c r="G5" i="77"/>
  <c r="J4" i="77"/>
  <c r="G4" i="77"/>
  <c r="J3" i="77"/>
  <c r="E1" i="92" s="1" a="1"/>
  <c r="E1" i="92" s="1"/>
  <c r="G3" i="77"/>
  <c r="J2" i="77"/>
  <c r="G2" i="77"/>
  <c r="P1" i="77"/>
  <c r="O1" i="77"/>
  <c r="N1" i="77"/>
  <c r="L1" i="77"/>
  <c r="K1" i="77"/>
  <c r="J1" i="77"/>
  <c r="I1" i="77"/>
  <c r="H1" i="77"/>
  <c r="G1" i="77"/>
  <c r="B22" i="42"/>
  <c r="A3" i="72"/>
  <c r="A4" i="72"/>
  <c r="A5" i="72"/>
  <c r="A6" i="72"/>
  <c r="A7" i="72"/>
  <c r="A8" i="72"/>
  <c r="A9" i="72"/>
  <c r="A2" i="72"/>
  <c r="F19" i="42"/>
  <c r="H19" i="42"/>
  <c r="E19" i="42"/>
  <c r="B19" i="42"/>
  <c r="A19" i="42"/>
  <c r="H24" i="67"/>
  <c r="H25" i="67"/>
  <c r="H26" i="67"/>
  <c r="H27" i="67"/>
  <c r="G26" i="67"/>
  <c r="G25" i="67"/>
  <c r="E24" i="67"/>
  <c r="E25" i="67"/>
  <c r="E26" i="67"/>
  <c r="E27" i="67"/>
  <c r="F25" i="67"/>
  <c r="F26" i="67"/>
  <c r="F27" i="67"/>
  <c r="F24" i="67"/>
  <c r="O26" i="67"/>
  <c r="O24" i="67"/>
  <c r="A25" i="67"/>
  <c r="B25" i="67"/>
  <c r="A27" i="67"/>
  <c r="A26" i="67"/>
  <c r="B24" i="67"/>
  <c r="A24" i="67"/>
  <c r="C119" i="66"/>
  <c r="C120" i="66"/>
  <c r="C121" i="66"/>
  <c r="C122" i="66"/>
  <c r="C123" i="66"/>
  <c r="C118" i="66"/>
  <c r="A123" i="66"/>
  <c r="B120" i="66"/>
  <c r="B122" i="66"/>
  <c r="A121" i="66"/>
  <c r="A119" i="66"/>
  <c r="B118" i="66"/>
  <c r="M123" i="66"/>
  <c r="H123" i="66"/>
  <c r="G123" i="66"/>
  <c r="F123" i="66"/>
  <c r="E123" i="66"/>
  <c r="B123" i="66"/>
  <c r="M122" i="66"/>
  <c r="H122" i="66"/>
  <c r="G122" i="66"/>
  <c r="F122" i="66"/>
  <c r="E122" i="66"/>
  <c r="A122" i="66"/>
  <c r="M121" i="66"/>
  <c r="H121" i="66"/>
  <c r="G121" i="66"/>
  <c r="F121" i="66"/>
  <c r="E121" i="66"/>
  <c r="B121" i="66"/>
  <c r="M120" i="66"/>
  <c r="H120" i="66"/>
  <c r="G120" i="66"/>
  <c r="F120" i="66"/>
  <c r="E120" i="66"/>
  <c r="N120" i="66" s="1"/>
  <c r="A120" i="66"/>
  <c r="M119" i="66"/>
  <c r="H119" i="66"/>
  <c r="G119" i="66"/>
  <c r="F119" i="66"/>
  <c r="E119" i="66"/>
  <c r="N119" i="66" s="1"/>
  <c r="B119" i="66"/>
  <c r="M118" i="66"/>
  <c r="H118" i="66"/>
  <c r="G118" i="66"/>
  <c r="F118" i="66"/>
  <c r="E118" i="66"/>
  <c r="A118" i="66"/>
  <c r="M129" i="66"/>
  <c r="H129" i="66"/>
  <c r="F129" i="66"/>
  <c r="E129" i="66"/>
  <c r="N129" i="66" s="1"/>
  <c r="B129" i="66"/>
  <c r="M128" i="66"/>
  <c r="H128" i="66"/>
  <c r="F128" i="66"/>
  <c r="E128" i="66"/>
  <c r="N128" i="66" s="1"/>
  <c r="A128" i="66"/>
  <c r="M127" i="66"/>
  <c r="H127" i="66"/>
  <c r="F127" i="66"/>
  <c r="E127" i="66"/>
  <c r="N127" i="66" s="1"/>
  <c r="B127" i="66"/>
  <c r="M126" i="66"/>
  <c r="H126" i="66"/>
  <c r="F126" i="66"/>
  <c r="E126" i="66"/>
  <c r="N126" i="66" s="1"/>
  <c r="A126" i="66"/>
  <c r="M125" i="66"/>
  <c r="H125" i="66"/>
  <c r="F125" i="66"/>
  <c r="E125" i="66"/>
  <c r="N125" i="66" s="1"/>
  <c r="B125" i="66"/>
  <c r="M124" i="66"/>
  <c r="H124" i="66"/>
  <c r="F124" i="66"/>
  <c r="E124" i="66"/>
  <c r="A124" i="66"/>
  <c r="G111" i="66"/>
  <c r="G110" i="66"/>
  <c r="G109" i="66"/>
  <c r="G108" i="66"/>
  <c r="G107" i="66"/>
  <c r="G106" i="66"/>
  <c r="C107" i="66"/>
  <c r="C108" i="66"/>
  <c r="C109" i="66"/>
  <c r="C110" i="66"/>
  <c r="C111" i="66"/>
  <c r="C106" i="66"/>
  <c r="M117" i="66"/>
  <c r="H117" i="66"/>
  <c r="F117" i="66"/>
  <c r="E117" i="66"/>
  <c r="N117" i="66" s="1"/>
  <c r="B117" i="66"/>
  <c r="M116" i="66"/>
  <c r="H116" i="66"/>
  <c r="F116" i="66"/>
  <c r="E116" i="66"/>
  <c r="N116" i="66" s="1"/>
  <c r="A116" i="66"/>
  <c r="M115" i="66"/>
  <c r="H115" i="66"/>
  <c r="F115" i="66"/>
  <c r="E115" i="66"/>
  <c r="N115" i="66" s="1"/>
  <c r="B115" i="66"/>
  <c r="M114" i="66"/>
  <c r="H114" i="66"/>
  <c r="F114" i="66"/>
  <c r="E114" i="66"/>
  <c r="N114" i="66" s="1"/>
  <c r="A114" i="66"/>
  <c r="M113" i="66"/>
  <c r="H113" i="66"/>
  <c r="F113" i="66"/>
  <c r="E113" i="66"/>
  <c r="N113" i="66" s="1"/>
  <c r="B113" i="66"/>
  <c r="M112" i="66"/>
  <c r="H112" i="66"/>
  <c r="F112" i="66"/>
  <c r="E112" i="66"/>
  <c r="A112" i="66"/>
  <c r="F107" i="66"/>
  <c r="F108" i="66"/>
  <c r="F109" i="66"/>
  <c r="F110" i="66"/>
  <c r="F111" i="66"/>
  <c r="F106" i="66"/>
  <c r="M111" i="66"/>
  <c r="H111" i="66"/>
  <c r="E111" i="66"/>
  <c r="N111" i="66" s="1"/>
  <c r="B111" i="66"/>
  <c r="M110" i="66"/>
  <c r="H110" i="66"/>
  <c r="E110" i="66"/>
  <c r="N110" i="66" s="1"/>
  <c r="A110" i="66"/>
  <c r="M109" i="66"/>
  <c r="H109" i="66"/>
  <c r="E109" i="66"/>
  <c r="N109" i="66" s="1"/>
  <c r="B109" i="66"/>
  <c r="M108" i="66"/>
  <c r="H108" i="66"/>
  <c r="E108" i="66"/>
  <c r="A108" i="66"/>
  <c r="M107" i="66"/>
  <c r="H107" i="66"/>
  <c r="E107" i="66"/>
  <c r="B107" i="66"/>
  <c r="M106" i="66"/>
  <c r="H106" i="66"/>
  <c r="E106" i="66"/>
  <c r="N106" i="66" s="1"/>
  <c r="A106" i="66"/>
  <c r="B15" i="54"/>
  <c r="B14" i="54"/>
  <c r="B13" i="54"/>
  <c r="B12" i="54"/>
  <c r="B11" i="54"/>
  <c r="B10" i="54"/>
  <c r="B9" i="54"/>
  <c r="B8" i="54"/>
  <c r="B7" i="54"/>
  <c r="B6" i="54"/>
  <c r="B5" i="54"/>
  <c r="B4" i="54"/>
  <c r="A5" i="54"/>
  <c r="A6" i="54"/>
  <c r="A7" i="54"/>
  <c r="A4" i="54"/>
  <c r="B30" i="42"/>
  <c r="A30" i="42"/>
  <c r="B29" i="42"/>
  <c r="A29" i="42"/>
  <c r="A36" i="42"/>
  <c r="B36" i="42"/>
  <c r="B35" i="42"/>
  <c r="B34" i="42"/>
  <c r="A34" i="42"/>
  <c r="A35" i="42"/>
  <c r="B33" i="42"/>
  <c r="A33" i="42"/>
  <c r="B32" i="42"/>
  <c r="A32" i="42"/>
  <c r="B31" i="42"/>
  <c r="A31" i="42"/>
  <c r="C25" i="75"/>
  <c r="C24" i="75"/>
  <c r="C23" i="75"/>
  <c r="C22" i="75"/>
  <c r="C21" i="75"/>
  <c r="C20" i="75"/>
  <c r="C19" i="75"/>
  <c r="C18" i="75"/>
  <c r="C17" i="75"/>
  <c r="C16" i="75"/>
  <c r="C15" i="75"/>
  <c r="C14" i="75"/>
  <c r="C13" i="75"/>
  <c r="C12" i="75"/>
  <c r="C11" i="75"/>
  <c r="C10" i="75"/>
  <c r="C9" i="75"/>
  <c r="C8" i="75"/>
  <c r="B25" i="75"/>
  <c r="B24" i="75"/>
  <c r="B23" i="75"/>
  <c r="B22" i="75"/>
  <c r="B21" i="75"/>
  <c r="B20" i="75"/>
  <c r="A23" i="75"/>
  <c r="A24" i="75"/>
  <c r="A25" i="75"/>
  <c r="A21" i="75"/>
  <c r="A22" i="75"/>
  <c r="A20" i="75"/>
  <c r="A18" i="75"/>
  <c r="B18" i="75"/>
  <c r="A19" i="75"/>
  <c r="B19" i="75"/>
  <c r="A17" i="75"/>
  <c r="B17" i="75"/>
  <c r="B15" i="75"/>
  <c r="B16" i="75"/>
  <c r="B14" i="75"/>
  <c r="B12" i="75"/>
  <c r="B13" i="75"/>
  <c r="B11" i="75"/>
  <c r="A16" i="75"/>
  <c r="A15" i="75"/>
  <c r="A14" i="75"/>
  <c r="A13" i="75"/>
  <c r="A12" i="75"/>
  <c r="A11" i="75"/>
  <c r="M10" i="75"/>
  <c r="M11" i="75"/>
  <c r="M12" i="75"/>
  <c r="M13" i="75"/>
  <c r="M14" i="75"/>
  <c r="M15" i="75"/>
  <c r="M16" i="75"/>
  <c r="M17" i="75"/>
  <c r="M18" i="75"/>
  <c r="M19" i="75"/>
  <c r="M20" i="75"/>
  <c r="M21" i="75"/>
  <c r="M22" i="75"/>
  <c r="M23" i="75"/>
  <c r="M24" i="75"/>
  <c r="M25" i="75"/>
  <c r="E10" i="75"/>
  <c r="N10" i="75" s="1"/>
  <c r="E11" i="75"/>
  <c r="N11" i="75" s="1"/>
  <c r="E12" i="75"/>
  <c r="N12" i="75" s="1"/>
  <c r="E13" i="75"/>
  <c r="E14" i="75"/>
  <c r="N14" i="75" s="1"/>
  <c r="E15" i="75"/>
  <c r="E16" i="75"/>
  <c r="E17" i="75"/>
  <c r="E18" i="75"/>
  <c r="N18" i="75" s="1"/>
  <c r="E19" i="75"/>
  <c r="N19" i="75" s="1"/>
  <c r="E20" i="75"/>
  <c r="N20" i="75" s="1"/>
  <c r="E21" i="75"/>
  <c r="E22" i="75"/>
  <c r="N22" i="75" s="1"/>
  <c r="E23" i="75"/>
  <c r="E24" i="75"/>
  <c r="E25" i="75"/>
  <c r="F10" i="75"/>
  <c r="F11" i="75"/>
  <c r="F12" i="75"/>
  <c r="F13" i="75"/>
  <c r="F14" i="75"/>
  <c r="F15" i="75"/>
  <c r="F16" i="75"/>
  <c r="F17" i="75"/>
  <c r="F18" i="75"/>
  <c r="F19" i="75"/>
  <c r="F20" i="75"/>
  <c r="F21" i="75"/>
  <c r="F22" i="75"/>
  <c r="F23" i="75"/>
  <c r="F24" i="75"/>
  <c r="F25" i="75"/>
  <c r="H10" i="75"/>
  <c r="H11" i="75"/>
  <c r="H12" i="75"/>
  <c r="H13" i="75"/>
  <c r="H14" i="75"/>
  <c r="H15" i="75"/>
  <c r="H16" i="75"/>
  <c r="H17" i="75"/>
  <c r="H18" i="75"/>
  <c r="H19" i="75"/>
  <c r="H20" i="75"/>
  <c r="H21" i="75"/>
  <c r="H22" i="75"/>
  <c r="H23" i="75"/>
  <c r="H24" i="75"/>
  <c r="H25" i="75"/>
  <c r="A9" i="75"/>
  <c r="B9" i="75"/>
  <c r="A10" i="75"/>
  <c r="B10" i="75"/>
  <c r="B8" i="75"/>
  <c r="A8" i="75"/>
  <c r="G8" i="75"/>
  <c r="G9" i="75"/>
  <c r="G10" i="75"/>
  <c r="G17" i="75"/>
  <c r="G18" i="75"/>
  <c r="G19" i="75"/>
  <c r="G7" i="75"/>
  <c r="G6" i="75"/>
  <c r="G5" i="75"/>
  <c r="C7" i="75"/>
  <c r="C6" i="75"/>
  <c r="C5" i="75"/>
  <c r="A6" i="75"/>
  <c r="B6" i="75"/>
  <c r="A7" i="75"/>
  <c r="B7" i="75"/>
  <c r="B5" i="75"/>
  <c r="A5" i="75"/>
  <c r="G4" i="75"/>
  <c r="G3" i="75"/>
  <c r="C4" i="75"/>
  <c r="C3" i="75"/>
  <c r="C2" i="75"/>
  <c r="A3" i="75"/>
  <c r="B3" i="75"/>
  <c r="A4" i="75"/>
  <c r="B4" i="75"/>
  <c r="G2" i="75"/>
  <c r="F3" i="75"/>
  <c r="F4" i="75"/>
  <c r="F5" i="75"/>
  <c r="F6" i="75"/>
  <c r="F7" i="75"/>
  <c r="F8" i="75"/>
  <c r="F9" i="75"/>
  <c r="F2" i="75"/>
  <c r="B2" i="75"/>
  <c r="A2" i="75"/>
  <c r="M9" i="75"/>
  <c r="H9" i="75"/>
  <c r="E9" i="75"/>
  <c r="M8" i="75"/>
  <c r="H8" i="75"/>
  <c r="E8" i="75"/>
  <c r="N8" i="75" s="1"/>
  <c r="M7" i="75"/>
  <c r="H7" i="75"/>
  <c r="E7" i="75"/>
  <c r="N7" i="75" s="1"/>
  <c r="M6" i="75"/>
  <c r="H6" i="75"/>
  <c r="E6" i="75"/>
  <c r="M5" i="75"/>
  <c r="H5" i="75"/>
  <c r="E5" i="75"/>
  <c r="M4" i="75"/>
  <c r="H4" i="75"/>
  <c r="E4" i="75"/>
  <c r="M3" i="75"/>
  <c r="H3" i="75"/>
  <c r="E3" i="75"/>
  <c r="N3" i="75" s="1"/>
  <c r="M2" i="75"/>
  <c r="H2" i="75"/>
  <c r="E2" i="75"/>
  <c r="M1" i="75"/>
  <c r="L1" i="75"/>
  <c r="K1" i="75"/>
  <c r="J1" i="75"/>
  <c r="I1" i="75"/>
  <c r="H1" i="75"/>
  <c r="G1" i="75"/>
  <c r="F1" i="75"/>
  <c r="E1" i="75"/>
  <c r="D3" i="40"/>
  <c r="D22" i="40"/>
  <c r="D18" i="40"/>
  <c r="D17" i="40"/>
  <c r="D16" i="40"/>
  <c r="D14" i="40"/>
  <c r="D13" i="40"/>
  <c r="D12" i="40"/>
  <c r="D11" i="40"/>
  <c r="D10" i="40"/>
  <c r="D9" i="40"/>
  <c r="D8" i="40"/>
  <c r="D7" i="40"/>
  <c r="D6" i="40"/>
  <c r="D5" i="40"/>
  <c r="D4" i="40"/>
  <c r="D2" i="40"/>
  <c r="D1" i="40"/>
  <c r="D19" i="40"/>
  <c r="D24" i="40"/>
  <c r="D23" i="40"/>
  <c r="D6" i="74"/>
  <c r="E6" i="74"/>
  <c r="C6" i="74"/>
  <c r="C3" i="74"/>
  <c r="D3" i="74"/>
  <c r="D2" i="74"/>
  <c r="E2" i="74"/>
  <c r="C2" i="74"/>
  <c r="N21" i="73"/>
  <c r="O21" i="73"/>
  <c r="P21" i="73"/>
  <c r="N22" i="73"/>
  <c r="O22" i="73"/>
  <c r="P22" i="73"/>
  <c r="N23" i="73"/>
  <c r="O23" i="73"/>
  <c r="P23" i="73"/>
  <c r="N24" i="73"/>
  <c r="O24" i="73"/>
  <c r="P24" i="73"/>
  <c r="N25" i="73"/>
  <c r="O25" i="73"/>
  <c r="P25" i="73"/>
  <c r="N26" i="73"/>
  <c r="O26" i="73"/>
  <c r="P26" i="73"/>
  <c r="N27" i="73"/>
  <c r="O27" i="73"/>
  <c r="P27" i="73"/>
  <c r="O20" i="73"/>
  <c r="P20" i="73"/>
  <c r="N20" i="73"/>
  <c r="O15" i="73"/>
  <c r="P15" i="73"/>
  <c r="N15" i="73"/>
  <c r="C8" i="72"/>
  <c r="C7" i="72"/>
  <c r="C5" i="72"/>
  <c r="C4" i="72"/>
  <c r="C2" i="72"/>
  <c r="B3" i="72"/>
  <c r="B4" i="72"/>
  <c r="B5" i="72"/>
  <c r="B6" i="72"/>
  <c r="B7" i="72"/>
  <c r="B8" i="72"/>
  <c r="B9" i="72"/>
  <c r="E3" i="72"/>
  <c r="E4" i="72"/>
  <c r="E5" i="72"/>
  <c r="E6" i="72"/>
  <c r="E7" i="72"/>
  <c r="E8" i="72"/>
  <c r="E9" i="72"/>
  <c r="H3" i="72"/>
  <c r="H4" i="72"/>
  <c r="H5" i="72"/>
  <c r="H6" i="72"/>
  <c r="H7" i="72"/>
  <c r="H8" i="72"/>
  <c r="H9" i="72"/>
  <c r="M4" i="72"/>
  <c r="M5" i="72"/>
  <c r="M6" i="72"/>
  <c r="M7" i="72"/>
  <c r="M8" i="72"/>
  <c r="M9" i="72"/>
  <c r="F8" i="72"/>
  <c r="F7" i="72"/>
  <c r="F5" i="72"/>
  <c r="F4" i="72"/>
  <c r="M3" i="72"/>
  <c r="F2" i="72"/>
  <c r="B2" i="72"/>
  <c r="M2" i="72"/>
  <c r="H2" i="72"/>
  <c r="E2" i="72"/>
  <c r="M1" i="72"/>
  <c r="L1" i="72"/>
  <c r="K1" i="72"/>
  <c r="J1" i="72"/>
  <c r="I1" i="72"/>
  <c r="H1" i="72"/>
  <c r="G1" i="72"/>
  <c r="F1" i="72"/>
  <c r="E1" i="72"/>
  <c r="J55" i="71"/>
  <c r="J56" i="71"/>
  <c r="J57" i="71"/>
  <c r="J58" i="71"/>
  <c r="J59" i="71"/>
  <c r="J60" i="71"/>
  <c r="J45" i="71"/>
  <c r="J46" i="71"/>
  <c r="J53" i="71"/>
  <c r="J44" i="71"/>
  <c r="J54" i="71"/>
  <c r="J49" i="71"/>
  <c r="J48" i="71"/>
  <c r="J47" i="71"/>
  <c r="J37" i="71"/>
  <c r="J36" i="71"/>
  <c r="J35" i="71"/>
  <c r="J34" i="71"/>
  <c r="J33" i="71"/>
  <c r="J32" i="71"/>
  <c r="J25" i="71"/>
  <c r="J29" i="71"/>
  <c r="J28" i="71"/>
  <c r="J27" i="71"/>
  <c r="J26" i="71"/>
  <c r="J15" i="71"/>
  <c r="J16" i="71"/>
  <c r="J17" i="71"/>
  <c r="J18" i="71"/>
  <c r="J19" i="71"/>
  <c r="J14" i="71"/>
  <c r="J7" i="71"/>
  <c r="J8" i="71"/>
  <c r="J9" i="71"/>
  <c r="J6" i="71"/>
  <c r="O11" i="67"/>
  <c r="O8" i="67"/>
  <c r="CG7" i="8" a="1"/>
  <c r="CG8" i="8" a="1"/>
  <c r="CG7" i="8" l="1"/>
  <c r="CG8" i="8"/>
  <c r="N4" i="75"/>
  <c r="N23" i="75"/>
  <c r="N15" i="75"/>
  <c r="N108" i="66"/>
  <c r="N107" i="66"/>
  <c r="N118" i="66"/>
  <c r="N123" i="66"/>
  <c r="A2" i="94" a="1"/>
  <c r="A2" i="94" s="1"/>
  <c r="N2" i="75"/>
  <c r="N21" i="75"/>
  <c r="N13" i="75"/>
  <c r="N5" i="75"/>
  <c r="N6" i="75"/>
  <c r="N25" i="75"/>
  <c r="N17" i="75"/>
  <c r="N9" i="75"/>
  <c r="N24" i="75"/>
  <c r="N16" i="75"/>
  <c r="N122" i="66"/>
  <c r="N121" i="66"/>
  <c r="N35" i="83"/>
  <c r="N45" i="83"/>
  <c r="N16" i="83"/>
  <c r="N41" i="83"/>
  <c r="N38" i="83"/>
  <c r="N7" i="83"/>
  <c r="N14" i="83"/>
  <c r="N19" i="83"/>
  <c r="N17" i="83"/>
  <c r="N3" i="83"/>
  <c r="N40" i="83"/>
  <c r="N54" i="83"/>
  <c r="N2" i="83"/>
  <c r="N15" i="83"/>
  <c r="N53" i="83"/>
  <c r="N18" i="83"/>
  <c r="N48" i="83"/>
  <c r="N39" i="83"/>
  <c r="N46" i="83"/>
  <c r="N52" i="83"/>
  <c r="N47" i="83"/>
  <c r="S42" i="38"/>
  <c r="T27" i="38"/>
  <c r="F4" i="81"/>
  <c r="S37" i="38"/>
  <c r="T51" i="38"/>
  <c r="S34" i="38"/>
  <c r="T47" i="38"/>
  <c r="S53" i="38"/>
  <c r="T43" i="38"/>
  <c r="F9" i="81"/>
  <c r="S50" i="38"/>
  <c r="S29" i="38"/>
  <c r="F3" i="81"/>
  <c r="C5" i="82" s="1"/>
  <c r="N5" i="82" s="1"/>
  <c r="F6" i="81"/>
  <c r="C9" i="82" s="1"/>
  <c r="N9" i="82" s="1"/>
  <c r="F7" i="81"/>
  <c r="C13" i="82" s="1"/>
  <c r="N13" i="82" s="1"/>
  <c r="S52" i="38"/>
  <c r="S44" i="38"/>
  <c r="S36" i="38"/>
  <c r="S28" i="38"/>
  <c r="D9" i="81"/>
  <c r="T32" i="38"/>
  <c r="F8" i="81" s="1"/>
  <c r="C17" i="82" s="1"/>
  <c r="N17" i="82" s="1"/>
  <c r="S49" i="38"/>
  <c r="S41" i="38"/>
  <c r="S33" i="38"/>
  <c r="S25" i="38"/>
  <c r="S48" i="38"/>
  <c r="S40" i="38"/>
  <c r="S24" i="38"/>
  <c r="C3" i="82"/>
  <c r="N3" i="82" s="1"/>
  <c r="C19" i="82"/>
  <c r="N19" i="82" s="1"/>
  <c r="D8" i="81"/>
  <c r="D7" i="81"/>
  <c r="C14" i="82"/>
  <c r="N14" i="82" s="1"/>
  <c r="C6" i="82"/>
  <c r="N6" i="82" s="1"/>
  <c r="D6" i="81"/>
  <c r="G5" i="81"/>
  <c r="D14" i="81" s="1"/>
  <c r="C2" i="82"/>
  <c r="N2" i="82" s="1"/>
  <c r="C20" i="82"/>
  <c r="N20" i="82" s="1"/>
  <c r="C12" i="82"/>
  <c r="N12" i="82" s="1"/>
  <c r="D4" i="81"/>
  <c r="C18" i="82"/>
  <c r="N18" i="82" s="1"/>
  <c r="N2" i="78"/>
  <c r="N6" i="78"/>
  <c r="N4" i="78"/>
  <c r="N3" i="78"/>
  <c r="N5" i="78"/>
  <c r="N7" i="78"/>
  <c r="N9" i="72"/>
  <c r="N49" i="83"/>
  <c r="N18" i="96" s="1"/>
  <c r="E18" i="96"/>
  <c r="N2" i="72"/>
  <c r="N8" i="72"/>
  <c r="N3" i="72"/>
  <c r="N43" i="83"/>
  <c r="N17" i="96" s="1"/>
  <c r="E17" i="96"/>
  <c r="N4" i="83"/>
  <c r="E12" i="96"/>
  <c r="N42" i="83"/>
  <c r="N16" i="96" s="1"/>
  <c r="E16" i="96"/>
  <c r="N51" i="83"/>
  <c r="N28" i="96" s="1"/>
  <c r="E28" i="96"/>
  <c r="N6" i="72"/>
  <c r="N44" i="83"/>
  <c r="N27" i="96" s="1"/>
  <c r="E27" i="96"/>
  <c r="N50" i="83"/>
  <c r="N19" i="96" s="1"/>
  <c r="E19" i="96"/>
  <c r="N7" i="72"/>
  <c r="N5" i="72"/>
  <c r="N4" i="72"/>
  <c r="N5" i="83"/>
  <c r="N13" i="96" s="1"/>
  <c r="E13" i="96"/>
  <c r="N26" i="83"/>
  <c r="N33" i="83"/>
  <c r="N24" i="83"/>
  <c r="N26" i="96" s="1"/>
  <c r="N37" i="83"/>
  <c r="N16" i="82"/>
  <c r="N13" i="83"/>
  <c r="N30" i="83"/>
  <c r="N34" i="83"/>
  <c r="N11" i="83"/>
  <c r="N29" i="83"/>
  <c r="N21" i="83"/>
  <c r="N8" i="83"/>
  <c r="N25" i="83"/>
  <c r="N9" i="83"/>
  <c r="N32" i="83"/>
  <c r="N8" i="82"/>
  <c r="N36" i="83"/>
  <c r="N22" i="83"/>
  <c r="N14" i="96" s="1"/>
  <c r="N12" i="83"/>
  <c r="N28" i="83"/>
  <c r="N4" i="82"/>
  <c r="N10" i="83"/>
  <c r="N6" i="83"/>
  <c r="N25" i="96" s="1"/>
  <c r="A2" i="95" a="1"/>
  <c r="A2" i="95" s="1"/>
  <c r="A2" i="92" a="1"/>
  <c r="A2" i="92" s="1"/>
  <c r="A2" i="93" a="1"/>
  <c r="A2" i="93" s="1"/>
  <c r="N20" i="83"/>
  <c r="N27" i="83"/>
  <c r="N23" i="83"/>
  <c r="N15" i="96" s="1"/>
  <c r="N31" i="83"/>
  <c r="N10" i="82"/>
  <c r="L18" i="96"/>
  <c r="L19" i="96"/>
  <c r="L28" i="96"/>
  <c r="L16" i="96"/>
  <c r="L17" i="96"/>
  <c r="L27" i="96"/>
  <c r="L14" i="96"/>
  <c r="L15" i="96"/>
  <c r="L26" i="96"/>
  <c r="L25" i="96"/>
  <c r="L13" i="96"/>
  <c r="L12" i="96"/>
  <c r="L12" i="97"/>
  <c r="L11" i="97"/>
  <c r="L10" i="97"/>
  <c r="N28" i="73"/>
  <c r="O28" i="73"/>
  <c r="P28" i="73"/>
  <c r="G4" i="81" l="1"/>
  <c r="G13" i="81" s="1"/>
  <c r="G9" i="81"/>
  <c r="G18" i="81" s="1"/>
  <c r="G3" i="81"/>
  <c r="G12" i="81" s="1"/>
  <c r="C21" i="82"/>
  <c r="N21" i="82" s="1"/>
  <c r="C14" i="81"/>
  <c r="F14" i="81"/>
  <c r="G6" i="81"/>
  <c r="G15" i="81" s="1"/>
  <c r="F13" i="81"/>
  <c r="G14" i="81"/>
  <c r="E14" i="81"/>
  <c r="C7" i="82"/>
  <c r="N7" i="82" s="1"/>
  <c r="C11" i="82"/>
  <c r="N11" i="82" s="1"/>
  <c r="G7" i="81"/>
  <c r="G8" i="81"/>
  <c r="D17" i="81" s="1"/>
  <c r="D20" i="85" s="1"/>
  <c r="P21" i="85" s="1"/>
  <c r="C15" i="82"/>
  <c r="N15" i="82" s="1"/>
  <c r="N12" i="96"/>
  <c r="E13" i="81" l="1"/>
  <c r="C13" i="81"/>
  <c r="D13" i="81"/>
  <c r="F12" i="81"/>
  <c r="D12" i="81"/>
  <c r="C18" i="81"/>
  <c r="E18" i="81"/>
  <c r="D18" i="81"/>
  <c r="F18" i="81"/>
  <c r="C12" i="81"/>
  <c r="E12" i="81"/>
  <c r="D15" i="81"/>
  <c r="D4" i="85" s="1"/>
  <c r="P5" i="85" s="1"/>
  <c r="F15" i="81"/>
  <c r="D8" i="85" s="1"/>
  <c r="P9" i="85" s="1"/>
  <c r="C15" i="81"/>
  <c r="D2" i="85" s="1"/>
  <c r="P3" i="85" s="1"/>
  <c r="E15" i="81"/>
  <c r="D6" i="85" s="1"/>
  <c r="P7" i="85" s="1"/>
  <c r="C16" i="81"/>
  <c r="D10" i="85" s="1"/>
  <c r="P11" i="85" s="1"/>
  <c r="G16" i="81"/>
  <c r="F16" i="81"/>
  <c r="D16" i="85" s="1"/>
  <c r="P17" i="85" s="1"/>
  <c r="E16" i="81"/>
  <c r="D14" i="85" s="1"/>
  <c r="P15" i="85" s="1"/>
  <c r="D16" i="81"/>
  <c r="D12" i="85" s="1"/>
  <c r="P13" i="85" s="1"/>
  <c r="G17" i="81"/>
  <c r="C17" i="81"/>
  <c r="D18" i="85" s="1"/>
  <c r="P19" i="85" s="1"/>
  <c r="F17" i="81"/>
  <c r="D24" i="85" s="1"/>
  <c r="P25" i="85" s="1"/>
  <c r="E17" i="81"/>
  <c r="D22" i="85" s="1"/>
  <c r="P23" i="85" s="1"/>
  <c r="H23" i="42" l="1"/>
  <c r="H22" i="42"/>
  <c r="A84" i="66"/>
  <c r="B84" i="66"/>
  <c r="A85" i="66"/>
  <c r="B85" i="66"/>
  <c r="A86" i="66"/>
  <c r="B86" i="66"/>
  <c r="A87" i="66"/>
  <c r="B87" i="66"/>
  <c r="A88" i="66"/>
  <c r="B88" i="66"/>
  <c r="A89" i="66"/>
  <c r="B89" i="66"/>
  <c r="A90" i="66"/>
  <c r="B90" i="66"/>
  <c r="A91" i="66"/>
  <c r="B91" i="66"/>
  <c r="A92" i="66"/>
  <c r="B92" i="66"/>
  <c r="A93" i="66"/>
  <c r="B93" i="66"/>
  <c r="A94" i="66"/>
  <c r="B94" i="66"/>
  <c r="A95" i="66"/>
  <c r="B95" i="66"/>
  <c r="A96" i="66"/>
  <c r="B96" i="66"/>
  <c r="A97" i="66"/>
  <c r="B97" i="66"/>
  <c r="A98" i="66"/>
  <c r="B98" i="66"/>
  <c r="A99" i="66"/>
  <c r="B99" i="66"/>
  <c r="A100" i="66"/>
  <c r="B100" i="66"/>
  <c r="A101" i="66"/>
  <c r="B101" i="66"/>
  <c r="A102" i="66"/>
  <c r="B102" i="66"/>
  <c r="A103" i="66"/>
  <c r="B103" i="66"/>
  <c r="A104" i="66"/>
  <c r="B104" i="66"/>
  <c r="A105" i="66"/>
  <c r="B105" i="66"/>
  <c r="A83" i="66"/>
  <c r="B82" i="66"/>
  <c r="M105" i="66"/>
  <c r="H105" i="66"/>
  <c r="F105" i="66"/>
  <c r="E105" i="66"/>
  <c r="M104" i="66"/>
  <c r="H104" i="66"/>
  <c r="F104" i="66"/>
  <c r="E104" i="66"/>
  <c r="M103" i="66"/>
  <c r="H103" i="66"/>
  <c r="F103" i="66"/>
  <c r="E103" i="66"/>
  <c r="M102" i="66"/>
  <c r="H102" i="66"/>
  <c r="F102" i="66"/>
  <c r="E102" i="66"/>
  <c r="M101" i="66"/>
  <c r="H101" i="66"/>
  <c r="F101" i="66"/>
  <c r="E101" i="66"/>
  <c r="M100" i="66"/>
  <c r="H100" i="66"/>
  <c r="F100" i="66"/>
  <c r="E100" i="66"/>
  <c r="M99" i="66"/>
  <c r="H99" i="66"/>
  <c r="F99" i="66"/>
  <c r="E99" i="66"/>
  <c r="N99" i="66" s="1"/>
  <c r="M98" i="66"/>
  <c r="H98" i="66"/>
  <c r="F98" i="66"/>
  <c r="E98" i="66"/>
  <c r="N98" i="66" s="1"/>
  <c r="M97" i="66"/>
  <c r="H97" i="66"/>
  <c r="F97" i="66"/>
  <c r="E97" i="66"/>
  <c r="N97" i="66" s="1"/>
  <c r="M96" i="66"/>
  <c r="H96" i="66"/>
  <c r="F96" i="66"/>
  <c r="E96" i="66"/>
  <c r="N96" i="66" s="1"/>
  <c r="M95" i="66"/>
  <c r="H95" i="66"/>
  <c r="F95" i="66"/>
  <c r="E95" i="66"/>
  <c r="N95" i="66" s="1"/>
  <c r="M94" i="66"/>
  <c r="H94" i="66"/>
  <c r="F94" i="66"/>
  <c r="E94" i="66"/>
  <c r="N94" i="66" s="1"/>
  <c r="M93" i="66"/>
  <c r="H93" i="66"/>
  <c r="F93" i="66"/>
  <c r="E93" i="66"/>
  <c r="N93" i="66" s="1"/>
  <c r="M92" i="66"/>
  <c r="H92" i="66"/>
  <c r="F92" i="66"/>
  <c r="E92" i="66"/>
  <c r="N92" i="66" s="1"/>
  <c r="M91" i="66"/>
  <c r="H91" i="66"/>
  <c r="F91" i="66"/>
  <c r="E91" i="66"/>
  <c r="N91" i="66" s="1"/>
  <c r="M90" i="66"/>
  <c r="H90" i="66"/>
  <c r="F90" i="66"/>
  <c r="E90" i="66"/>
  <c r="N90" i="66" s="1"/>
  <c r="M89" i="66"/>
  <c r="H89" i="66"/>
  <c r="F89" i="66"/>
  <c r="E89" i="66"/>
  <c r="N89" i="66" s="1"/>
  <c r="M88" i="66"/>
  <c r="H88" i="66"/>
  <c r="F88" i="66"/>
  <c r="E88" i="66"/>
  <c r="N88" i="66" s="1"/>
  <c r="M87" i="66"/>
  <c r="H87" i="66"/>
  <c r="F87" i="66"/>
  <c r="E87" i="66"/>
  <c r="N87" i="66" s="1"/>
  <c r="M86" i="66"/>
  <c r="H86" i="66"/>
  <c r="F86" i="66"/>
  <c r="E86" i="66"/>
  <c r="N86" i="66" s="1"/>
  <c r="M85" i="66"/>
  <c r="H85" i="66"/>
  <c r="F85" i="66"/>
  <c r="E85" i="66"/>
  <c r="N85" i="66" s="1"/>
  <c r="M84" i="66"/>
  <c r="H84" i="66"/>
  <c r="F84" i="66"/>
  <c r="E84" i="66"/>
  <c r="N84" i="66" s="1"/>
  <c r="M83" i="66"/>
  <c r="H83" i="66"/>
  <c r="F83" i="66"/>
  <c r="E83" i="66"/>
  <c r="N83" i="66" s="1"/>
  <c r="B83" i="66"/>
  <c r="M82" i="66"/>
  <c r="H82" i="66"/>
  <c r="F82" i="66"/>
  <c r="E82" i="66"/>
  <c r="N82" i="66" s="1"/>
  <c r="A82" i="66"/>
  <c r="F77" i="66"/>
  <c r="F78" i="66"/>
  <c r="F79" i="66"/>
  <c r="F80" i="66"/>
  <c r="F81" i="66"/>
  <c r="F76" i="66"/>
  <c r="F71" i="66"/>
  <c r="F72" i="66"/>
  <c r="F73" i="66"/>
  <c r="F74" i="66"/>
  <c r="F75" i="66"/>
  <c r="F70" i="66"/>
  <c r="F65" i="66"/>
  <c r="F66" i="66"/>
  <c r="F67" i="66"/>
  <c r="F68" i="66"/>
  <c r="F69" i="66"/>
  <c r="F64" i="66"/>
  <c r="M81" i="66"/>
  <c r="H81" i="66"/>
  <c r="E81" i="66"/>
  <c r="N81" i="66" s="1"/>
  <c r="B81" i="66"/>
  <c r="A81" i="66"/>
  <c r="M80" i="66"/>
  <c r="H80" i="66"/>
  <c r="E80" i="66"/>
  <c r="N80" i="66" s="1"/>
  <c r="B80" i="66"/>
  <c r="A80" i="66"/>
  <c r="M79" i="66"/>
  <c r="H79" i="66"/>
  <c r="E79" i="66"/>
  <c r="N79" i="66" s="1"/>
  <c r="B79" i="66"/>
  <c r="A79" i="66"/>
  <c r="M78" i="66"/>
  <c r="H78" i="66"/>
  <c r="E78" i="66"/>
  <c r="N78" i="66" s="1"/>
  <c r="B78" i="66"/>
  <c r="A78" i="66"/>
  <c r="M77" i="66"/>
  <c r="H77" i="66"/>
  <c r="E77" i="66"/>
  <c r="N77" i="66" s="1"/>
  <c r="B77" i="66"/>
  <c r="A77" i="66"/>
  <c r="M76" i="66"/>
  <c r="H76" i="66"/>
  <c r="E76" i="66"/>
  <c r="N76" i="66" s="1"/>
  <c r="B76" i="66"/>
  <c r="A76" i="66"/>
  <c r="M75" i="66"/>
  <c r="H75" i="66"/>
  <c r="E75" i="66"/>
  <c r="N75" i="66" s="1"/>
  <c r="B75" i="66"/>
  <c r="A75" i="66"/>
  <c r="M74" i="66"/>
  <c r="H74" i="66"/>
  <c r="E74" i="66"/>
  <c r="N74" i="66" s="1"/>
  <c r="B74" i="66"/>
  <c r="A74" i="66"/>
  <c r="M73" i="66"/>
  <c r="H73" i="66"/>
  <c r="E73" i="66"/>
  <c r="N73" i="66" s="1"/>
  <c r="B73" i="66"/>
  <c r="A73" i="66"/>
  <c r="M72" i="66"/>
  <c r="H72" i="66"/>
  <c r="E72" i="66"/>
  <c r="N72" i="66" s="1"/>
  <c r="B72" i="66"/>
  <c r="A72" i="66"/>
  <c r="M71" i="66"/>
  <c r="H71" i="66"/>
  <c r="E71" i="66"/>
  <c r="N71" i="66" s="1"/>
  <c r="B71" i="66"/>
  <c r="A71" i="66"/>
  <c r="M70" i="66"/>
  <c r="H70" i="66"/>
  <c r="E70" i="66"/>
  <c r="N70" i="66" s="1"/>
  <c r="B70" i="66"/>
  <c r="A70" i="66"/>
  <c r="M69" i="66"/>
  <c r="H69" i="66"/>
  <c r="E69" i="66"/>
  <c r="N69" i="66" s="1"/>
  <c r="B69" i="66"/>
  <c r="A69" i="66"/>
  <c r="M68" i="66"/>
  <c r="H68" i="66"/>
  <c r="E68" i="66"/>
  <c r="N68" i="66" s="1"/>
  <c r="B68" i="66"/>
  <c r="A68" i="66"/>
  <c r="M67" i="66"/>
  <c r="H67" i="66"/>
  <c r="E67" i="66"/>
  <c r="N67" i="66" s="1"/>
  <c r="B67" i="66"/>
  <c r="A67" i="66"/>
  <c r="M66" i="66"/>
  <c r="H66" i="66"/>
  <c r="E66" i="66"/>
  <c r="N66" i="66" s="1"/>
  <c r="B66" i="66"/>
  <c r="A66" i="66"/>
  <c r="M65" i="66"/>
  <c r="H65" i="66"/>
  <c r="E65" i="66"/>
  <c r="N65" i="66" s="1"/>
  <c r="B65" i="66"/>
  <c r="A65" i="66"/>
  <c r="M64" i="66"/>
  <c r="H64" i="66"/>
  <c r="E64" i="66"/>
  <c r="N64" i="66" s="1"/>
  <c r="B64" i="66"/>
  <c r="A64" i="66"/>
  <c r="F63" i="66"/>
  <c r="F62" i="66"/>
  <c r="F61" i="66"/>
  <c r="F60" i="66"/>
  <c r="F59" i="66"/>
  <c r="F58" i="66"/>
  <c r="A63" i="66"/>
  <c r="B62" i="66"/>
  <c r="A61" i="66"/>
  <c r="B60" i="66"/>
  <c r="A59" i="66"/>
  <c r="B58" i="66"/>
  <c r="M63" i="66"/>
  <c r="H63" i="66"/>
  <c r="E63" i="66"/>
  <c r="N63" i="66" s="1"/>
  <c r="B63" i="66"/>
  <c r="M62" i="66"/>
  <c r="H62" i="66"/>
  <c r="E62" i="66"/>
  <c r="N62" i="66" s="1"/>
  <c r="A62" i="66"/>
  <c r="M61" i="66"/>
  <c r="H61" i="66"/>
  <c r="E61" i="66"/>
  <c r="N61" i="66" s="1"/>
  <c r="B61" i="66"/>
  <c r="M60" i="66"/>
  <c r="H60" i="66"/>
  <c r="E60" i="66"/>
  <c r="N60" i="66" s="1"/>
  <c r="A60" i="66"/>
  <c r="M59" i="66"/>
  <c r="H59" i="66"/>
  <c r="E59" i="66"/>
  <c r="N59" i="66" s="1"/>
  <c r="B59" i="66"/>
  <c r="M58" i="66"/>
  <c r="H58" i="66"/>
  <c r="E58" i="66"/>
  <c r="N58" i="66" s="1"/>
  <c r="A58" i="66"/>
  <c r="K4" i="65"/>
  <c r="L4" i="65"/>
  <c r="M4" i="65"/>
  <c r="N4" i="65"/>
  <c r="O4" i="65"/>
  <c r="K5" i="65"/>
  <c r="L5" i="65"/>
  <c r="M5" i="65"/>
  <c r="N5" i="65"/>
  <c r="O5" i="65"/>
  <c r="K6" i="65"/>
  <c r="L6" i="65"/>
  <c r="M6" i="65"/>
  <c r="N6" i="65"/>
  <c r="O6" i="65"/>
  <c r="K7" i="65"/>
  <c r="L7" i="65"/>
  <c r="M7" i="65"/>
  <c r="N7" i="65"/>
  <c r="O7" i="65"/>
  <c r="K8" i="65"/>
  <c r="L8" i="65"/>
  <c r="M8" i="65"/>
  <c r="N8" i="65"/>
  <c r="O8" i="65"/>
  <c r="K9" i="65"/>
  <c r="L9" i="65"/>
  <c r="M9" i="65"/>
  <c r="N9" i="65"/>
  <c r="O9" i="65"/>
  <c r="K10" i="65"/>
  <c r="L10" i="65"/>
  <c r="M10" i="65"/>
  <c r="N10" i="65"/>
  <c r="O10" i="65"/>
  <c r="K11" i="65"/>
  <c r="L11" i="65"/>
  <c r="M11" i="65"/>
  <c r="N11" i="65"/>
  <c r="O11" i="65"/>
  <c r="K12" i="65"/>
  <c r="L12" i="65"/>
  <c r="M12" i="65"/>
  <c r="N12" i="65"/>
  <c r="O12" i="65"/>
  <c r="K13" i="65"/>
  <c r="L13" i="65"/>
  <c r="M13" i="65"/>
  <c r="N13" i="65"/>
  <c r="O13" i="65"/>
  <c r="K14" i="65"/>
  <c r="L14" i="65"/>
  <c r="M14" i="65"/>
  <c r="N14" i="65"/>
  <c r="O14" i="65"/>
  <c r="K15" i="65"/>
  <c r="L15" i="65"/>
  <c r="M15" i="65"/>
  <c r="N15" i="65"/>
  <c r="O15" i="65"/>
  <c r="K16" i="65"/>
  <c r="L16" i="65"/>
  <c r="M16" i="65"/>
  <c r="N16" i="65"/>
  <c r="O16" i="65"/>
  <c r="K17" i="65"/>
  <c r="L17" i="65"/>
  <c r="M17" i="65"/>
  <c r="N17" i="65"/>
  <c r="O17" i="65"/>
  <c r="K18" i="65"/>
  <c r="L18" i="65"/>
  <c r="M18" i="65"/>
  <c r="N18" i="65"/>
  <c r="O18" i="65"/>
  <c r="K19" i="65"/>
  <c r="L19" i="65"/>
  <c r="M19" i="65"/>
  <c r="N19" i="65"/>
  <c r="O19" i="65"/>
  <c r="K20" i="65"/>
  <c r="L20" i="65"/>
  <c r="M20" i="65"/>
  <c r="N20" i="65"/>
  <c r="O20" i="65"/>
  <c r="K21" i="65"/>
  <c r="L21" i="65"/>
  <c r="M21" i="65"/>
  <c r="N21" i="65"/>
  <c r="O21" i="65"/>
  <c r="K22" i="65"/>
  <c r="L22" i="65"/>
  <c r="M22" i="65"/>
  <c r="N22" i="65"/>
  <c r="O22" i="65"/>
  <c r="K23" i="65"/>
  <c r="L23" i="65"/>
  <c r="M23" i="65"/>
  <c r="N23" i="65"/>
  <c r="O23" i="65"/>
  <c r="K24" i="65"/>
  <c r="L24" i="65"/>
  <c r="M24" i="65"/>
  <c r="N24" i="65"/>
  <c r="O24" i="65"/>
  <c r="K25" i="65"/>
  <c r="L25" i="65"/>
  <c r="M25" i="65"/>
  <c r="N25" i="65"/>
  <c r="O25" i="65"/>
  <c r="K26" i="65"/>
  <c r="L26" i="65"/>
  <c r="M26" i="65"/>
  <c r="N26" i="65"/>
  <c r="O26" i="65"/>
  <c r="K27" i="65"/>
  <c r="L27" i="65"/>
  <c r="M27" i="65"/>
  <c r="N27" i="65"/>
  <c r="O27" i="65"/>
  <c r="K28" i="65"/>
  <c r="L28" i="65"/>
  <c r="M28" i="65"/>
  <c r="N28" i="65"/>
  <c r="O28" i="65"/>
  <c r="K29" i="65"/>
  <c r="L29" i="65"/>
  <c r="M29" i="65"/>
  <c r="N29" i="65"/>
  <c r="O29" i="65"/>
  <c r="K30" i="65"/>
  <c r="L30" i="65"/>
  <c r="M30" i="65"/>
  <c r="N30" i="65"/>
  <c r="O30" i="65"/>
  <c r="K31" i="65"/>
  <c r="L31" i="65"/>
  <c r="M31" i="65"/>
  <c r="N31" i="65"/>
  <c r="O31" i="65"/>
  <c r="K32" i="65"/>
  <c r="L32" i="65"/>
  <c r="M32" i="65"/>
  <c r="N32" i="65"/>
  <c r="O32" i="65"/>
  <c r="K33" i="65"/>
  <c r="L33" i="65"/>
  <c r="M33" i="65"/>
  <c r="N33" i="65"/>
  <c r="O33" i="65"/>
  <c r="K34" i="65"/>
  <c r="L34" i="65"/>
  <c r="M34" i="65"/>
  <c r="N34" i="65"/>
  <c r="O34" i="65"/>
  <c r="K35" i="65"/>
  <c r="L35" i="65"/>
  <c r="M35" i="65"/>
  <c r="N35" i="65"/>
  <c r="O35" i="65"/>
  <c r="K36" i="65"/>
  <c r="L36" i="65"/>
  <c r="M36" i="65"/>
  <c r="N36" i="65"/>
  <c r="O36" i="65"/>
  <c r="K37" i="65"/>
  <c r="L37" i="65"/>
  <c r="M37" i="65"/>
  <c r="N37" i="65"/>
  <c r="O37" i="65"/>
  <c r="K38" i="65"/>
  <c r="L38" i="65"/>
  <c r="M38" i="65"/>
  <c r="N38" i="65"/>
  <c r="O38" i="65"/>
  <c r="K39" i="65"/>
  <c r="L39" i="65"/>
  <c r="M39" i="65"/>
  <c r="N39" i="65"/>
  <c r="O39" i="65"/>
  <c r="K40" i="65"/>
  <c r="L40" i="65"/>
  <c r="M40" i="65"/>
  <c r="N40" i="65"/>
  <c r="O40" i="65"/>
  <c r="K41" i="65"/>
  <c r="L41" i="65"/>
  <c r="M41" i="65"/>
  <c r="N41" i="65"/>
  <c r="O41" i="65"/>
  <c r="K42" i="65"/>
  <c r="L42" i="65"/>
  <c r="M42" i="65"/>
  <c r="N42" i="65"/>
  <c r="O42" i="65"/>
  <c r="K43" i="65"/>
  <c r="L43" i="65"/>
  <c r="M43" i="65"/>
  <c r="N43" i="65"/>
  <c r="O43" i="65"/>
  <c r="K44" i="65"/>
  <c r="L44" i="65"/>
  <c r="M44" i="65"/>
  <c r="N44" i="65"/>
  <c r="O44" i="65"/>
  <c r="K45" i="65"/>
  <c r="L45" i="65"/>
  <c r="M45" i="65"/>
  <c r="N45" i="65"/>
  <c r="O45" i="65"/>
  <c r="K46" i="65"/>
  <c r="L46" i="65"/>
  <c r="M46" i="65"/>
  <c r="N46" i="65"/>
  <c r="O46" i="65"/>
  <c r="K47" i="65"/>
  <c r="L47" i="65"/>
  <c r="M47" i="65"/>
  <c r="N47" i="65"/>
  <c r="O47" i="65"/>
  <c r="K48" i="65"/>
  <c r="L48" i="65"/>
  <c r="M48" i="65"/>
  <c r="N48" i="65"/>
  <c r="O48" i="65"/>
  <c r="K49" i="65"/>
  <c r="L49" i="65"/>
  <c r="M49" i="65"/>
  <c r="N49" i="65"/>
  <c r="O49" i="65"/>
  <c r="K50" i="65"/>
  <c r="L50" i="65"/>
  <c r="M50" i="65"/>
  <c r="N50" i="65"/>
  <c r="O50" i="65"/>
  <c r="K51" i="65"/>
  <c r="L51" i="65"/>
  <c r="M51" i="65"/>
  <c r="N51" i="65"/>
  <c r="O51" i="65"/>
  <c r="K52" i="65"/>
  <c r="L52" i="65"/>
  <c r="M52" i="65"/>
  <c r="N52" i="65"/>
  <c r="O52" i="65"/>
  <c r="K53" i="65"/>
  <c r="L53" i="65"/>
  <c r="M53" i="65"/>
  <c r="N53" i="65"/>
  <c r="O53" i="65"/>
  <c r="K54" i="65"/>
  <c r="L54" i="65"/>
  <c r="M54" i="65"/>
  <c r="N54" i="65"/>
  <c r="O54" i="65"/>
  <c r="K55" i="65"/>
  <c r="L55" i="65"/>
  <c r="M55" i="65"/>
  <c r="N55" i="65"/>
  <c r="O55" i="65"/>
  <c r="K56" i="65"/>
  <c r="L56" i="65"/>
  <c r="M56" i="65"/>
  <c r="N56" i="65"/>
  <c r="O56" i="65"/>
  <c r="K57" i="65"/>
  <c r="L57" i="65"/>
  <c r="M57" i="65"/>
  <c r="N57" i="65"/>
  <c r="O57" i="65"/>
  <c r="K58" i="65"/>
  <c r="L58" i="65"/>
  <c r="M58" i="65"/>
  <c r="N58" i="65"/>
  <c r="O58" i="65"/>
  <c r="K59" i="65"/>
  <c r="L59" i="65"/>
  <c r="M59" i="65"/>
  <c r="N59" i="65"/>
  <c r="O59" i="65"/>
  <c r="K60" i="65"/>
  <c r="L60" i="65"/>
  <c r="M60" i="65"/>
  <c r="N60" i="65"/>
  <c r="O60" i="65"/>
  <c r="K61" i="65"/>
  <c r="L61" i="65"/>
  <c r="M61" i="65"/>
  <c r="N61" i="65"/>
  <c r="O61" i="65"/>
  <c r="K62" i="65"/>
  <c r="L62" i="65"/>
  <c r="M62" i="65"/>
  <c r="N62" i="65"/>
  <c r="O62" i="65"/>
  <c r="K63" i="65"/>
  <c r="L63" i="65"/>
  <c r="M63" i="65"/>
  <c r="N63" i="65"/>
  <c r="O63" i="65"/>
  <c r="K64" i="65"/>
  <c r="L64" i="65"/>
  <c r="M64" i="65"/>
  <c r="N64" i="65"/>
  <c r="O64" i="65"/>
  <c r="K65" i="65"/>
  <c r="L65" i="65"/>
  <c r="M65" i="65"/>
  <c r="N65" i="65"/>
  <c r="O65" i="65"/>
  <c r="K66" i="65"/>
  <c r="L66" i="65"/>
  <c r="M66" i="65"/>
  <c r="N66" i="65"/>
  <c r="O66" i="65"/>
  <c r="K67" i="65"/>
  <c r="L67" i="65"/>
  <c r="M67" i="65"/>
  <c r="N67" i="65"/>
  <c r="O67" i="65"/>
  <c r="K68" i="65"/>
  <c r="L68" i="65"/>
  <c r="M68" i="65"/>
  <c r="N68" i="65"/>
  <c r="O68" i="65"/>
  <c r="K69" i="65"/>
  <c r="L69" i="65"/>
  <c r="M69" i="65"/>
  <c r="N69" i="65"/>
  <c r="O69" i="65"/>
  <c r="K70" i="65"/>
  <c r="L70" i="65"/>
  <c r="M70" i="65"/>
  <c r="N70" i="65"/>
  <c r="O70" i="65"/>
  <c r="K71" i="65"/>
  <c r="L71" i="65"/>
  <c r="M71" i="65"/>
  <c r="N71" i="65"/>
  <c r="O71" i="65"/>
  <c r="K72" i="65"/>
  <c r="L72" i="65"/>
  <c r="M72" i="65"/>
  <c r="N72" i="65"/>
  <c r="O72" i="65"/>
  <c r="K73" i="65"/>
  <c r="L73" i="65"/>
  <c r="M73" i="65"/>
  <c r="N73" i="65"/>
  <c r="O73" i="65"/>
  <c r="K74" i="65"/>
  <c r="L74" i="65"/>
  <c r="M74" i="65"/>
  <c r="N74" i="65"/>
  <c r="O74" i="65"/>
  <c r="K75" i="65"/>
  <c r="L75" i="65"/>
  <c r="M75" i="65"/>
  <c r="N75" i="65"/>
  <c r="O75" i="65"/>
  <c r="K76" i="65"/>
  <c r="L76" i="65"/>
  <c r="M76" i="65"/>
  <c r="N76" i="65"/>
  <c r="O76" i="65"/>
  <c r="K77" i="65"/>
  <c r="L77" i="65"/>
  <c r="M77" i="65"/>
  <c r="N77" i="65"/>
  <c r="O77" i="65"/>
  <c r="K78" i="65"/>
  <c r="L78" i="65"/>
  <c r="M78" i="65"/>
  <c r="N78" i="65"/>
  <c r="O78" i="65"/>
  <c r="K79" i="65"/>
  <c r="L79" i="65"/>
  <c r="M79" i="65"/>
  <c r="N79" i="65"/>
  <c r="O79" i="65"/>
  <c r="K80" i="65"/>
  <c r="L80" i="65"/>
  <c r="M80" i="65"/>
  <c r="N80" i="65"/>
  <c r="O80" i="65"/>
  <c r="K81" i="65"/>
  <c r="L81" i="65"/>
  <c r="M81" i="65"/>
  <c r="N81" i="65"/>
  <c r="O81" i="65"/>
  <c r="K82" i="65"/>
  <c r="L82" i="65"/>
  <c r="M82" i="65"/>
  <c r="N82" i="65"/>
  <c r="O82" i="65"/>
  <c r="K83" i="65"/>
  <c r="L83" i="65"/>
  <c r="M83" i="65"/>
  <c r="N83" i="65"/>
  <c r="O83" i="65"/>
  <c r="K84" i="65"/>
  <c r="L84" i="65"/>
  <c r="M84" i="65"/>
  <c r="N84" i="65"/>
  <c r="O84" i="65"/>
  <c r="K85" i="65"/>
  <c r="L85" i="65"/>
  <c r="M85" i="65"/>
  <c r="N85" i="65"/>
  <c r="O85" i="65"/>
  <c r="K86" i="65"/>
  <c r="L86" i="65"/>
  <c r="M86" i="65"/>
  <c r="N86" i="65"/>
  <c r="O86" i="65"/>
  <c r="K87" i="65"/>
  <c r="L87" i="65"/>
  <c r="M87" i="65"/>
  <c r="N87" i="65"/>
  <c r="O87" i="65"/>
  <c r="K88" i="65"/>
  <c r="L88" i="65"/>
  <c r="M88" i="65"/>
  <c r="N88" i="65"/>
  <c r="O88" i="65"/>
  <c r="K89" i="65"/>
  <c r="L89" i="65"/>
  <c r="M89" i="65"/>
  <c r="N89" i="65"/>
  <c r="O89" i="65"/>
  <c r="K90" i="65"/>
  <c r="L90" i="65"/>
  <c r="M90" i="65"/>
  <c r="N90" i="65"/>
  <c r="O90" i="65"/>
  <c r="K91" i="65"/>
  <c r="L91" i="65"/>
  <c r="M91" i="65"/>
  <c r="N91" i="65"/>
  <c r="O91" i="65"/>
  <c r="K92" i="65"/>
  <c r="L92" i="65"/>
  <c r="M92" i="65"/>
  <c r="N92" i="65"/>
  <c r="O92" i="65"/>
  <c r="K93" i="65"/>
  <c r="L93" i="65"/>
  <c r="M93" i="65"/>
  <c r="N93" i="65"/>
  <c r="O93" i="65"/>
  <c r="K94" i="65"/>
  <c r="L94" i="65"/>
  <c r="M94" i="65"/>
  <c r="N94" i="65"/>
  <c r="O94" i="65"/>
  <c r="K95" i="65"/>
  <c r="L95" i="65"/>
  <c r="M95" i="65"/>
  <c r="N95" i="65"/>
  <c r="O95" i="65"/>
  <c r="K96" i="65"/>
  <c r="L96" i="65"/>
  <c r="M96" i="65"/>
  <c r="N96" i="65"/>
  <c r="O96" i="65"/>
  <c r="K97" i="65"/>
  <c r="L97" i="65"/>
  <c r="M97" i="65"/>
  <c r="N97" i="65"/>
  <c r="O97" i="65"/>
  <c r="K98" i="65"/>
  <c r="L98" i="65"/>
  <c r="M98" i="65"/>
  <c r="N98" i="65"/>
  <c r="O98" i="65"/>
  <c r="K99" i="65"/>
  <c r="L99" i="65"/>
  <c r="M99" i="65"/>
  <c r="N99" i="65"/>
  <c r="O99" i="65"/>
  <c r="K100" i="65"/>
  <c r="L100" i="65"/>
  <c r="M100" i="65"/>
  <c r="N100" i="65"/>
  <c r="O100" i="65"/>
  <c r="K101" i="65"/>
  <c r="L101" i="65"/>
  <c r="M101" i="65"/>
  <c r="N101" i="65"/>
  <c r="O101" i="65"/>
  <c r="K102" i="65"/>
  <c r="L102" i="65"/>
  <c r="M102" i="65"/>
  <c r="N102" i="65"/>
  <c r="O102" i="65"/>
  <c r="K103" i="65"/>
  <c r="L103" i="65"/>
  <c r="M103" i="65"/>
  <c r="N103" i="65"/>
  <c r="O103" i="65"/>
  <c r="K104" i="65"/>
  <c r="L104" i="65"/>
  <c r="M104" i="65"/>
  <c r="N104" i="65"/>
  <c r="O104" i="65"/>
  <c r="K105" i="65"/>
  <c r="L105" i="65"/>
  <c r="M105" i="65"/>
  <c r="N105" i="65"/>
  <c r="O105" i="65"/>
  <c r="K106" i="65"/>
  <c r="L106" i="65"/>
  <c r="M106" i="65"/>
  <c r="N106" i="65"/>
  <c r="O106" i="65"/>
  <c r="K107" i="65"/>
  <c r="L107" i="65"/>
  <c r="M107" i="65"/>
  <c r="N107" i="65"/>
  <c r="O107" i="65"/>
  <c r="K108" i="65"/>
  <c r="L108" i="65"/>
  <c r="M108" i="65"/>
  <c r="N108" i="65"/>
  <c r="O108" i="65"/>
  <c r="K109" i="65"/>
  <c r="L109" i="65"/>
  <c r="M109" i="65"/>
  <c r="N109" i="65"/>
  <c r="O109" i="65"/>
  <c r="K110" i="65"/>
  <c r="L110" i="65"/>
  <c r="M110" i="65"/>
  <c r="N110" i="65"/>
  <c r="O110" i="65"/>
  <c r="K111" i="65"/>
  <c r="L111" i="65"/>
  <c r="M111" i="65"/>
  <c r="N111" i="65"/>
  <c r="O111" i="65"/>
  <c r="K112" i="65"/>
  <c r="L112" i="65"/>
  <c r="M112" i="65"/>
  <c r="N112" i="65"/>
  <c r="O112" i="65"/>
  <c r="K113" i="65"/>
  <c r="L113" i="65"/>
  <c r="M113" i="65"/>
  <c r="N113" i="65"/>
  <c r="O113" i="65"/>
  <c r="K114" i="65"/>
  <c r="L114" i="65"/>
  <c r="M114" i="65"/>
  <c r="N114" i="65"/>
  <c r="O114" i="65"/>
  <c r="K115" i="65"/>
  <c r="L115" i="65"/>
  <c r="M115" i="65"/>
  <c r="N115" i="65"/>
  <c r="O115" i="65"/>
  <c r="K116" i="65"/>
  <c r="L116" i="65"/>
  <c r="M116" i="65"/>
  <c r="N116" i="65"/>
  <c r="O116" i="65"/>
  <c r="K117" i="65"/>
  <c r="L117" i="65"/>
  <c r="M117" i="65"/>
  <c r="N117" i="65"/>
  <c r="O117" i="65"/>
  <c r="K118" i="65"/>
  <c r="L118" i="65"/>
  <c r="M118" i="65"/>
  <c r="N118" i="65"/>
  <c r="O118" i="65"/>
  <c r="K119" i="65"/>
  <c r="L119" i="65"/>
  <c r="M119" i="65"/>
  <c r="N119" i="65"/>
  <c r="O119" i="65"/>
  <c r="K120" i="65"/>
  <c r="L120" i="65"/>
  <c r="M120" i="65"/>
  <c r="N120" i="65"/>
  <c r="O120" i="65"/>
  <c r="K121" i="65"/>
  <c r="L121" i="65"/>
  <c r="M121" i="65"/>
  <c r="N121" i="65"/>
  <c r="O121" i="65"/>
  <c r="K122" i="65"/>
  <c r="L122" i="65"/>
  <c r="M122" i="65"/>
  <c r="N122" i="65"/>
  <c r="O122" i="65"/>
  <c r="K123" i="65"/>
  <c r="L123" i="65"/>
  <c r="M123" i="65"/>
  <c r="N123" i="65"/>
  <c r="O123" i="65"/>
  <c r="K124" i="65"/>
  <c r="L124" i="65"/>
  <c r="M124" i="65"/>
  <c r="N124" i="65"/>
  <c r="O124" i="65"/>
  <c r="K125" i="65"/>
  <c r="L125" i="65"/>
  <c r="M125" i="65"/>
  <c r="N125" i="65"/>
  <c r="O125" i="65"/>
  <c r="K126" i="65"/>
  <c r="L126" i="65"/>
  <c r="M126" i="65"/>
  <c r="N126" i="65"/>
  <c r="O126" i="65"/>
  <c r="K127" i="65"/>
  <c r="L127" i="65"/>
  <c r="M127" i="65"/>
  <c r="N127" i="65"/>
  <c r="O127" i="65"/>
  <c r="K128" i="65"/>
  <c r="L128" i="65"/>
  <c r="M128" i="65"/>
  <c r="N128" i="65"/>
  <c r="O128" i="65"/>
  <c r="K130" i="65"/>
  <c r="L130" i="65"/>
  <c r="M130" i="65"/>
  <c r="N130" i="65"/>
  <c r="O130" i="65"/>
  <c r="K131" i="65"/>
  <c r="N101" i="66" s="1"/>
  <c r="L131" i="65"/>
  <c r="M131" i="65"/>
  <c r="N131" i="65"/>
  <c r="O131" i="65"/>
  <c r="N105" i="66" s="1"/>
  <c r="K132" i="65"/>
  <c r="L132" i="65"/>
  <c r="M132" i="65"/>
  <c r="N132" i="65"/>
  <c r="O132" i="65"/>
  <c r="K133" i="65"/>
  <c r="L133" i="65"/>
  <c r="M133" i="65"/>
  <c r="N133" i="65"/>
  <c r="O133" i="65"/>
  <c r="K134" i="65"/>
  <c r="L134" i="65"/>
  <c r="M134" i="65"/>
  <c r="N134" i="65"/>
  <c r="O134" i="65"/>
  <c r="K135" i="65"/>
  <c r="L135" i="65"/>
  <c r="M135" i="65"/>
  <c r="N135" i="65"/>
  <c r="O135" i="65"/>
  <c r="K136" i="65"/>
  <c r="L136" i="65"/>
  <c r="M136" i="65"/>
  <c r="N136" i="65"/>
  <c r="O136" i="65"/>
  <c r="K138" i="65"/>
  <c r="L138" i="65"/>
  <c r="M138" i="65"/>
  <c r="N138" i="65"/>
  <c r="O138" i="65"/>
  <c r="K139" i="65"/>
  <c r="L139" i="65"/>
  <c r="M139" i="65"/>
  <c r="N139" i="65"/>
  <c r="O139" i="65"/>
  <c r="K140" i="65"/>
  <c r="L140" i="65"/>
  <c r="M140" i="65"/>
  <c r="N140" i="65"/>
  <c r="O140" i="65"/>
  <c r="J133" i="65"/>
  <c r="J134" i="65"/>
  <c r="J135" i="65"/>
  <c r="J136" i="65"/>
  <c r="J138" i="65"/>
  <c r="J139" i="65"/>
  <c r="J140" i="65"/>
  <c r="J126" i="65"/>
  <c r="J127" i="65"/>
  <c r="J128" i="65"/>
  <c r="J130" i="65"/>
  <c r="J131" i="65"/>
  <c r="J132" i="65"/>
  <c r="J100" i="65"/>
  <c r="J101" i="65"/>
  <c r="J102" i="65"/>
  <c r="J103" i="65"/>
  <c r="J104" i="65"/>
  <c r="J105" i="65"/>
  <c r="J106" i="65"/>
  <c r="J107" i="65"/>
  <c r="J108" i="65"/>
  <c r="J109" i="65"/>
  <c r="J110" i="65"/>
  <c r="J111" i="65"/>
  <c r="J112" i="65"/>
  <c r="J113" i="65"/>
  <c r="J114" i="65"/>
  <c r="J115" i="65"/>
  <c r="J116" i="65"/>
  <c r="J117" i="65"/>
  <c r="J118" i="65"/>
  <c r="J119" i="65"/>
  <c r="J120" i="65"/>
  <c r="J121" i="65"/>
  <c r="J122" i="65"/>
  <c r="J123" i="65"/>
  <c r="J124" i="65"/>
  <c r="J125" i="65"/>
  <c r="J99" i="65"/>
  <c r="J89" i="65"/>
  <c r="J90" i="65"/>
  <c r="J91" i="65"/>
  <c r="J92" i="65"/>
  <c r="J93" i="65"/>
  <c r="J94" i="65"/>
  <c r="J95" i="65"/>
  <c r="J96" i="65"/>
  <c r="J97" i="65"/>
  <c r="J98" i="65"/>
  <c r="J86" i="65"/>
  <c r="J87" i="65"/>
  <c r="J88" i="65"/>
  <c r="J79" i="65"/>
  <c r="J80" i="65"/>
  <c r="J81" i="65"/>
  <c r="J82" i="65"/>
  <c r="J83" i="65"/>
  <c r="J84" i="65"/>
  <c r="J85" i="65"/>
  <c r="J65" i="65"/>
  <c r="J66" i="65"/>
  <c r="J67" i="65"/>
  <c r="J68" i="65"/>
  <c r="J69" i="65"/>
  <c r="J70" i="65"/>
  <c r="J71" i="65"/>
  <c r="J72" i="65"/>
  <c r="J73" i="65"/>
  <c r="J74" i="65"/>
  <c r="J75" i="65"/>
  <c r="J76" i="65"/>
  <c r="J77" i="65"/>
  <c r="J78" i="65"/>
  <c r="J64" i="65"/>
  <c r="J51" i="65"/>
  <c r="J52" i="65"/>
  <c r="J53" i="65"/>
  <c r="J54" i="65"/>
  <c r="J55" i="65"/>
  <c r="J56" i="65"/>
  <c r="J57" i="65"/>
  <c r="J58" i="65"/>
  <c r="J59" i="65"/>
  <c r="J60" i="65"/>
  <c r="J61" i="65"/>
  <c r="J62" i="65"/>
  <c r="J63" i="65"/>
  <c r="J42" i="65"/>
  <c r="J43" i="65"/>
  <c r="J44" i="65"/>
  <c r="J45" i="65"/>
  <c r="J46" i="65"/>
  <c r="J47" i="65"/>
  <c r="J48" i="65"/>
  <c r="J49" i="65"/>
  <c r="J50" i="65"/>
  <c r="J34" i="65"/>
  <c r="J35" i="65"/>
  <c r="J36" i="65"/>
  <c r="J37" i="65"/>
  <c r="J38" i="65"/>
  <c r="J39" i="65"/>
  <c r="J40" i="65"/>
  <c r="J41" i="65"/>
  <c r="J33" i="65"/>
  <c r="J30" i="65"/>
  <c r="J31" i="65"/>
  <c r="J32" i="65"/>
  <c r="J29" i="65"/>
  <c r="J24" i="65"/>
  <c r="J25" i="65"/>
  <c r="J26" i="65"/>
  <c r="J27" i="65"/>
  <c r="J28" i="65"/>
  <c r="J23" i="65"/>
  <c r="J22" i="65"/>
  <c r="J21" i="65"/>
  <c r="J20" i="65"/>
  <c r="J19" i="65"/>
  <c r="J18" i="65"/>
  <c r="J17" i="65"/>
  <c r="J16" i="65"/>
  <c r="J15" i="65"/>
  <c r="J14" i="65"/>
  <c r="J13" i="65"/>
  <c r="J12" i="65"/>
  <c r="J11" i="65"/>
  <c r="J10" i="65"/>
  <c r="J9" i="65"/>
  <c r="J5" i="65"/>
  <c r="J6" i="65"/>
  <c r="J7" i="65"/>
  <c r="J8" i="65"/>
  <c r="J4" i="65"/>
  <c r="H2" i="65"/>
  <c r="F2" i="65"/>
  <c r="D2" i="65"/>
  <c r="D4" i="70"/>
  <c r="P5" i="70" s="1"/>
  <c r="O5" i="70"/>
  <c r="O3" i="70"/>
  <c r="M3" i="69"/>
  <c r="M4" i="69"/>
  <c r="M5" i="69"/>
  <c r="M6" i="69"/>
  <c r="M7" i="69"/>
  <c r="M8" i="69"/>
  <c r="M9" i="69"/>
  <c r="M10" i="69"/>
  <c r="M11" i="69"/>
  <c r="M12" i="69"/>
  <c r="M13" i="69"/>
  <c r="M14" i="69"/>
  <c r="M15" i="69"/>
  <c r="M16" i="69"/>
  <c r="M17" i="69"/>
  <c r="M18" i="69"/>
  <c r="M19" i="69"/>
  <c r="M20" i="69"/>
  <c r="M21" i="69"/>
  <c r="M22" i="69"/>
  <c r="M23" i="69"/>
  <c r="M24" i="69"/>
  <c r="M25" i="69"/>
  <c r="M26" i="69"/>
  <c r="M2" i="69"/>
  <c r="H5" i="70"/>
  <c r="H4" i="70"/>
  <c r="H3" i="70"/>
  <c r="H2" i="70"/>
  <c r="C5" i="70"/>
  <c r="C3" i="70"/>
  <c r="B5" i="70"/>
  <c r="C4" i="70"/>
  <c r="B3" i="70"/>
  <c r="C2" i="70"/>
  <c r="J5" i="70"/>
  <c r="G5" i="70"/>
  <c r="J4" i="70"/>
  <c r="G4" i="70"/>
  <c r="B4" i="70"/>
  <c r="J3" i="70"/>
  <c r="E1" i="91" s="1" a="1"/>
  <c r="E1" i="91" s="1"/>
  <c r="G3" i="70"/>
  <c r="J2" i="70"/>
  <c r="G2" i="70"/>
  <c r="B2" i="70"/>
  <c r="P1" i="70"/>
  <c r="O1" i="70"/>
  <c r="N1" i="70"/>
  <c r="L1" i="70"/>
  <c r="K1" i="70"/>
  <c r="J1" i="70"/>
  <c r="I1" i="70"/>
  <c r="H1" i="70"/>
  <c r="G1" i="70"/>
  <c r="H20" i="42"/>
  <c r="H21" i="42"/>
  <c r="E20" i="42"/>
  <c r="E21" i="42"/>
  <c r="B21" i="42"/>
  <c r="A21" i="42"/>
  <c r="B20" i="42"/>
  <c r="A20" i="42"/>
  <c r="C26" i="69"/>
  <c r="C25" i="69"/>
  <c r="C24" i="69"/>
  <c r="E24" i="69"/>
  <c r="N24" i="69" s="1"/>
  <c r="E25" i="69"/>
  <c r="N25" i="69" s="1"/>
  <c r="E26" i="69"/>
  <c r="N26" i="69" s="1"/>
  <c r="F24" i="69"/>
  <c r="F25" i="69"/>
  <c r="F26" i="69"/>
  <c r="H24" i="69"/>
  <c r="H25" i="69"/>
  <c r="H26" i="69"/>
  <c r="A25" i="69"/>
  <c r="B25" i="69"/>
  <c r="A26" i="69"/>
  <c r="B26" i="69"/>
  <c r="C21" i="69"/>
  <c r="C22" i="69"/>
  <c r="C23" i="69"/>
  <c r="C20" i="69"/>
  <c r="C17" i="69"/>
  <c r="C18" i="69"/>
  <c r="C19" i="69"/>
  <c r="C16" i="69"/>
  <c r="C14" i="69"/>
  <c r="C15" i="69"/>
  <c r="C13" i="69"/>
  <c r="B13" i="69"/>
  <c r="B14" i="69"/>
  <c r="B15" i="69"/>
  <c r="B16" i="69"/>
  <c r="B17" i="69"/>
  <c r="B18" i="69"/>
  <c r="B19" i="69"/>
  <c r="B20" i="69"/>
  <c r="B21" i="69"/>
  <c r="B22" i="69"/>
  <c r="B23" i="69"/>
  <c r="H23" i="69"/>
  <c r="F23" i="69"/>
  <c r="E23" i="69"/>
  <c r="N23" i="69" s="1"/>
  <c r="A23" i="69"/>
  <c r="H22" i="69"/>
  <c r="F22" i="69"/>
  <c r="E22" i="69"/>
  <c r="N22" i="69" s="1"/>
  <c r="A22" i="69"/>
  <c r="H21" i="69"/>
  <c r="F21" i="69"/>
  <c r="E21" i="69"/>
  <c r="N21" i="69" s="1"/>
  <c r="A21" i="69"/>
  <c r="H20" i="69"/>
  <c r="F20" i="69"/>
  <c r="E20" i="69"/>
  <c r="N20" i="69" s="1"/>
  <c r="A20" i="69"/>
  <c r="H19" i="69"/>
  <c r="F19" i="69"/>
  <c r="E19" i="69"/>
  <c r="A19" i="69"/>
  <c r="H18" i="69"/>
  <c r="F18" i="69"/>
  <c r="E18" i="69"/>
  <c r="A18" i="69"/>
  <c r="H17" i="69"/>
  <c r="F17" i="69"/>
  <c r="E17" i="69"/>
  <c r="A17" i="69"/>
  <c r="H16" i="69"/>
  <c r="F16" i="69"/>
  <c r="E16" i="69"/>
  <c r="A16" i="69"/>
  <c r="H15" i="69"/>
  <c r="F15" i="69"/>
  <c r="E15" i="69"/>
  <c r="N15" i="69" s="1"/>
  <c r="A15" i="69"/>
  <c r="H14" i="69"/>
  <c r="F14" i="69"/>
  <c r="E14" i="69"/>
  <c r="N14" i="69" s="1"/>
  <c r="A14" i="69"/>
  <c r="H13" i="69"/>
  <c r="F13" i="69"/>
  <c r="E13" i="69"/>
  <c r="N13" i="69" s="1"/>
  <c r="A13" i="69"/>
  <c r="C10" i="69"/>
  <c r="C11" i="69"/>
  <c r="C12" i="69"/>
  <c r="C9" i="69"/>
  <c r="C6" i="69"/>
  <c r="C7" i="69"/>
  <c r="C8" i="69"/>
  <c r="C5" i="69"/>
  <c r="C3" i="69"/>
  <c r="C4" i="69"/>
  <c r="C2" i="69"/>
  <c r="H12" i="69"/>
  <c r="F12" i="69"/>
  <c r="E12" i="69"/>
  <c r="B12" i="69"/>
  <c r="A12" i="69"/>
  <c r="H11" i="69"/>
  <c r="F11" i="69"/>
  <c r="E11" i="69"/>
  <c r="N11" i="69" s="1"/>
  <c r="B11" i="69"/>
  <c r="A11" i="69"/>
  <c r="H10" i="69"/>
  <c r="F10" i="69"/>
  <c r="E10" i="69"/>
  <c r="N10" i="69" s="1"/>
  <c r="B10" i="69"/>
  <c r="A10" i="69"/>
  <c r="H9" i="69"/>
  <c r="F9" i="69"/>
  <c r="E9" i="69"/>
  <c r="B9" i="69"/>
  <c r="A9" i="69"/>
  <c r="A8" i="69"/>
  <c r="B8" i="69"/>
  <c r="H8" i="69"/>
  <c r="E8" i="69"/>
  <c r="N8" i="69" s="1"/>
  <c r="F8" i="69"/>
  <c r="H7" i="69"/>
  <c r="F7" i="69"/>
  <c r="E7" i="69"/>
  <c r="B7" i="69"/>
  <c r="A7" i="69"/>
  <c r="H6" i="69"/>
  <c r="F6" i="69"/>
  <c r="E6" i="69"/>
  <c r="B6" i="69"/>
  <c r="A6" i="69"/>
  <c r="H5" i="69"/>
  <c r="F5" i="69"/>
  <c r="E5" i="69"/>
  <c r="N5" i="69" s="1"/>
  <c r="B5" i="69"/>
  <c r="A5" i="69"/>
  <c r="A3" i="69"/>
  <c r="B3" i="69"/>
  <c r="A4" i="69"/>
  <c r="B4" i="69"/>
  <c r="E3" i="69"/>
  <c r="N3" i="69" s="1"/>
  <c r="E4" i="69"/>
  <c r="H3" i="69"/>
  <c r="H4" i="69"/>
  <c r="F4" i="69"/>
  <c r="F3" i="69"/>
  <c r="F2" i="69"/>
  <c r="H2" i="69"/>
  <c r="E2" i="69"/>
  <c r="A24" i="69"/>
  <c r="B24" i="69"/>
  <c r="B2" i="69"/>
  <c r="A2" i="69"/>
  <c r="C5" i="8"/>
  <c r="M1" i="69"/>
  <c r="L1" i="69"/>
  <c r="K1" i="69"/>
  <c r="J1" i="69"/>
  <c r="I1" i="69"/>
  <c r="H1" i="69"/>
  <c r="G1" i="69"/>
  <c r="F1" i="69"/>
  <c r="E1" i="69"/>
  <c r="H11" i="67"/>
  <c r="F11" i="67"/>
  <c r="E11" i="67"/>
  <c r="H8" i="67"/>
  <c r="F8" i="67"/>
  <c r="E8" i="67"/>
  <c r="A11" i="67"/>
  <c r="B11" i="67"/>
  <c r="A8" i="67"/>
  <c r="B8" i="67"/>
  <c r="A10" i="67"/>
  <c r="B10" i="67"/>
  <c r="E2" i="67"/>
  <c r="G2" i="67"/>
  <c r="H2" i="67"/>
  <c r="H22" i="67"/>
  <c r="E22" i="67"/>
  <c r="H13" i="67"/>
  <c r="F13" i="67"/>
  <c r="E13" i="67"/>
  <c r="G10" i="67"/>
  <c r="H10" i="67"/>
  <c r="F10" i="67"/>
  <c r="E10" i="67"/>
  <c r="E5" i="67"/>
  <c r="H5" i="67"/>
  <c r="O2" i="67"/>
  <c r="O1" i="67"/>
  <c r="A22" i="67"/>
  <c r="B22" i="67"/>
  <c r="A13" i="67"/>
  <c r="B13" i="67"/>
  <c r="A5" i="67"/>
  <c r="B5" i="67"/>
  <c r="B2" i="67"/>
  <c r="A2" i="67"/>
  <c r="M1" i="67"/>
  <c r="L1" i="67"/>
  <c r="K1" i="67"/>
  <c r="J1" i="67"/>
  <c r="I1" i="67"/>
  <c r="H1" i="67"/>
  <c r="G1" i="67"/>
  <c r="F1" i="67"/>
  <c r="E1" i="67"/>
  <c r="F51" i="66"/>
  <c r="F52" i="66"/>
  <c r="F53" i="66"/>
  <c r="F54" i="66"/>
  <c r="F55" i="66"/>
  <c r="F50" i="66"/>
  <c r="F45" i="66"/>
  <c r="F46" i="66"/>
  <c r="F47" i="66"/>
  <c r="F48" i="66"/>
  <c r="F49" i="66"/>
  <c r="F44" i="66"/>
  <c r="F39" i="66"/>
  <c r="F40" i="66"/>
  <c r="F41" i="66"/>
  <c r="F42" i="66"/>
  <c r="F43" i="66"/>
  <c r="F38" i="66"/>
  <c r="F33" i="66"/>
  <c r="F34" i="66"/>
  <c r="F35" i="66"/>
  <c r="F36" i="66"/>
  <c r="F37" i="66"/>
  <c r="F32" i="66"/>
  <c r="F27" i="66"/>
  <c r="F28" i="66"/>
  <c r="F29" i="66"/>
  <c r="F30" i="66"/>
  <c r="F31" i="66"/>
  <c r="F26" i="66"/>
  <c r="F21" i="66"/>
  <c r="F22" i="66"/>
  <c r="F23" i="66"/>
  <c r="F24" i="66"/>
  <c r="F25" i="66"/>
  <c r="F20" i="66"/>
  <c r="F15" i="66"/>
  <c r="F16" i="66"/>
  <c r="F17" i="66"/>
  <c r="F18" i="66"/>
  <c r="F19" i="66"/>
  <c r="F14" i="66"/>
  <c r="F9" i="66"/>
  <c r="F10" i="66"/>
  <c r="F11" i="66"/>
  <c r="F12" i="66"/>
  <c r="F13" i="66"/>
  <c r="F8" i="66"/>
  <c r="F57" i="66"/>
  <c r="F56" i="66"/>
  <c r="M57" i="66"/>
  <c r="H57" i="66"/>
  <c r="E57" i="66"/>
  <c r="N57" i="66" s="1"/>
  <c r="B57" i="66"/>
  <c r="A57" i="66"/>
  <c r="M56" i="66"/>
  <c r="H56" i="66"/>
  <c r="E56" i="66"/>
  <c r="N56" i="66" s="1"/>
  <c r="B56" i="66"/>
  <c r="A56" i="66"/>
  <c r="M55" i="66"/>
  <c r="H55" i="66"/>
  <c r="G55" i="66"/>
  <c r="E55" i="66"/>
  <c r="B55" i="66"/>
  <c r="A55" i="66"/>
  <c r="M54" i="66"/>
  <c r="H54" i="66"/>
  <c r="G54" i="66"/>
  <c r="E54" i="66"/>
  <c r="B54" i="66"/>
  <c r="A54" i="66"/>
  <c r="M53" i="66"/>
  <c r="H53" i="66"/>
  <c r="G53" i="66"/>
  <c r="E53" i="66"/>
  <c r="B53" i="66"/>
  <c r="A53" i="66"/>
  <c r="M52" i="66"/>
  <c r="H52" i="66"/>
  <c r="G52" i="66"/>
  <c r="E52" i="66"/>
  <c r="B52" i="66"/>
  <c r="A52" i="66"/>
  <c r="M51" i="66"/>
  <c r="H51" i="66"/>
  <c r="G51" i="66"/>
  <c r="E51" i="66"/>
  <c r="B51" i="66"/>
  <c r="A51" i="66"/>
  <c r="M50" i="66"/>
  <c r="H50" i="66"/>
  <c r="G50" i="66"/>
  <c r="E50" i="66"/>
  <c r="B50" i="66"/>
  <c r="A50" i="66"/>
  <c r="M49" i="66"/>
  <c r="H49" i="66"/>
  <c r="G49" i="66"/>
  <c r="E49" i="66"/>
  <c r="B49" i="66"/>
  <c r="A49" i="66"/>
  <c r="M48" i="66"/>
  <c r="H48" i="66"/>
  <c r="G48" i="66"/>
  <c r="E48" i="66"/>
  <c r="B48" i="66"/>
  <c r="A48" i="66"/>
  <c r="M47" i="66"/>
  <c r="H47" i="66"/>
  <c r="G47" i="66"/>
  <c r="E47" i="66"/>
  <c r="B47" i="66"/>
  <c r="A47" i="66"/>
  <c r="M46" i="66"/>
  <c r="H46" i="66"/>
  <c r="G46" i="66"/>
  <c r="E46" i="66"/>
  <c r="B46" i="66"/>
  <c r="A46" i="66"/>
  <c r="M45" i="66"/>
  <c r="H45" i="66"/>
  <c r="G45" i="66"/>
  <c r="E45" i="66"/>
  <c r="B45" i="66"/>
  <c r="A45" i="66"/>
  <c r="M44" i="66"/>
  <c r="H44" i="66"/>
  <c r="G44" i="66"/>
  <c r="E44" i="66"/>
  <c r="B44" i="66"/>
  <c r="A44" i="66"/>
  <c r="M43" i="66"/>
  <c r="H43" i="66"/>
  <c r="G43" i="66"/>
  <c r="E43" i="66"/>
  <c r="B43" i="66"/>
  <c r="A43" i="66"/>
  <c r="M42" i="66"/>
  <c r="H42" i="66"/>
  <c r="G42" i="66"/>
  <c r="E42" i="66"/>
  <c r="B42" i="66"/>
  <c r="A42" i="66"/>
  <c r="M41" i="66"/>
  <c r="H41" i="66"/>
  <c r="G41" i="66"/>
  <c r="E41" i="66"/>
  <c r="B41" i="66"/>
  <c r="A41" i="66"/>
  <c r="M40" i="66"/>
  <c r="H40" i="66"/>
  <c r="G40" i="66"/>
  <c r="E40" i="66"/>
  <c r="B40" i="66"/>
  <c r="A40" i="66"/>
  <c r="M39" i="66"/>
  <c r="H39" i="66"/>
  <c r="G39" i="66"/>
  <c r="E39" i="66"/>
  <c r="B39" i="66"/>
  <c r="A39" i="66"/>
  <c r="M38" i="66"/>
  <c r="H38" i="66"/>
  <c r="G38" i="66"/>
  <c r="E38" i="66"/>
  <c r="B38" i="66"/>
  <c r="A38" i="66"/>
  <c r="M37" i="66"/>
  <c r="H37" i="66"/>
  <c r="G37" i="66"/>
  <c r="E37" i="66"/>
  <c r="B37" i="66"/>
  <c r="A37" i="66"/>
  <c r="M36" i="66"/>
  <c r="H36" i="66"/>
  <c r="G36" i="66"/>
  <c r="E36" i="66"/>
  <c r="B36" i="66"/>
  <c r="A36" i="66"/>
  <c r="M35" i="66"/>
  <c r="H35" i="66"/>
  <c r="G35" i="66"/>
  <c r="E35" i="66"/>
  <c r="B35" i="66"/>
  <c r="A35" i="66"/>
  <c r="M34" i="66"/>
  <c r="H34" i="66"/>
  <c r="G34" i="66"/>
  <c r="E34" i="66"/>
  <c r="B34" i="66"/>
  <c r="A34" i="66"/>
  <c r="M33" i="66"/>
  <c r="H33" i="66"/>
  <c r="G33" i="66"/>
  <c r="E33" i="66"/>
  <c r="B33" i="66"/>
  <c r="A33" i="66"/>
  <c r="M32" i="66"/>
  <c r="H32" i="66"/>
  <c r="G32" i="66"/>
  <c r="E32" i="66"/>
  <c r="B32" i="66"/>
  <c r="A32" i="66"/>
  <c r="M31" i="66"/>
  <c r="H31" i="66"/>
  <c r="G31" i="66"/>
  <c r="E31" i="66"/>
  <c r="B31" i="66"/>
  <c r="A31" i="66"/>
  <c r="M30" i="66"/>
  <c r="H30" i="66"/>
  <c r="G30" i="66"/>
  <c r="E30" i="66"/>
  <c r="B30" i="66"/>
  <c r="A30" i="66"/>
  <c r="M29" i="66"/>
  <c r="H29" i="66"/>
  <c r="G29" i="66"/>
  <c r="E29" i="66"/>
  <c r="B29" i="66"/>
  <c r="A29" i="66"/>
  <c r="M28" i="66"/>
  <c r="H28" i="66"/>
  <c r="G28" i="66"/>
  <c r="E28" i="66"/>
  <c r="B28" i="66"/>
  <c r="A28" i="66"/>
  <c r="M27" i="66"/>
  <c r="H27" i="66"/>
  <c r="G27" i="66"/>
  <c r="E27" i="66"/>
  <c r="B27" i="66"/>
  <c r="A27" i="66"/>
  <c r="M26" i="66"/>
  <c r="H26" i="66"/>
  <c r="G26" i="66"/>
  <c r="E26" i="66"/>
  <c r="B26" i="66"/>
  <c r="A26" i="66"/>
  <c r="M25" i="66"/>
  <c r="H25" i="66"/>
  <c r="G25" i="66"/>
  <c r="E25" i="66"/>
  <c r="B25" i="66"/>
  <c r="A25" i="66"/>
  <c r="M24" i="66"/>
  <c r="H24" i="66"/>
  <c r="G24" i="66"/>
  <c r="E24" i="66"/>
  <c r="B24" i="66"/>
  <c r="A24" i="66"/>
  <c r="M23" i="66"/>
  <c r="H23" i="66"/>
  <c r="G23" i="66"/>
  <c r="E23" i="66"/>
  <c r="B23" i="66"/>
  <c r="A23" i="66"/>
  <c r="M22" i="66"/>
  <c r="H22" i="66"/>
  <c r="G22" i="66"/>
  <c r="E22" i="66"/>
  <c r="B22" i="66"/>
  <c r="A22" i="66"/>
  <c r="M21" i="66"/>
  <c r="H21" i="66"/>
  <c r="G21" i="66"/>
  <c r="E21" i="66"/>
  <c r="B21" i="66"/>
  <c r="A21" i="66"/>
  <c r="M20" i="66"/>
  <c r="H20" i="66"/>
  <c r="G20" i="66"/>
  <c r="E20" i="66"/>
  <c r="B20" i="66"/>
  <c r="A20" i="66"/>
  <c r="M19" i="66"/>
  <c r="H19" i="66"/>
  <c r="G19" i="66"/>
  <c r="E19" i="66"/>
  <c r="N19" i="66" s="1"/>
  <c r="B19" i="66"/>
  <c r="A19" i="66"/>
  <c r="M18" i="66"/>
  <c r="H18" i="66"/>
  <c r="G18" i="66"/>
  <c r="E18" i="66"/>
  <c r="N18" i="66" s="1"/>
  <c r="B18" i="66"/>
  <c r="A18" i="66"/>
  <c r="M17" i="66"/>
  <c r="H17" i="66"/>
  <c r="G17" i="66"/>
  <c r="E17" i="66"/>
  <c r="N17" i="66" s="1"/>
  <c r="B17" i="66"/>
  <c r="A17" i="66"/>
  <c r="M16" i="66"/>
  <c r="H16" i="66"/>
  <c r="G16" i="66"/>
  <c r="E16" i="66"/>
  <c r="N16" i="66" s="1"/>
  <c r="B16" i="66"/>
  <c r="A16" i="66"/>
  <c r="M15" i="66"/>
  <c r="H15" i="66"/>
  <c r="G15" i="66"/>
  <c r="E15" i="66"/>
  <c r="N15" i="66" s="1"/>
  <c r="B15" i="66"/>
  <c r="A15" i="66"/>
  <c r="M14" i="66"/>
  <c r="H14" i="66"/>
  <c r="G14" i="66"/>
  <c r="E14" i="66"/>
  <c r="N14" i="66" s="1"/>
  <c r="B14" i="66"/>
  <c r="A14" i="66"/>
  <c r="M13" i="66"/>
  <c r="H13" i="66"/>
  <c r="G13" i="66"/>
  <c r="E13" i="66"/>
  <c r="B13" i="66"/>
  <c r="A13" i="66"/>
  <c r="M12" i="66"/>
  <c r="H12" i="66"/>
  <c r="G12" i="66"/>
  <c r="E12" i="66"/>
  <c r="B12" i="66"/>
  <c r="A12" i="66"/>
  <c r="M11" i="66"/>
  <c r="H11" i="66"/>
  <c r="G11" i="66"/>
  <c r="E11" i="66"/>
  <c r="B11" i="66"/>
  <c r="A11" i="66"/>
  <c r="M10" i="66"/>
  <c r="H10" i="66"/>
  <c r="G10" i="66"/>
  <c r="E10" i="66"/>
  <c r="B10" i="66"/>
  <c r="A10" i="66"/>
  <c r="M9" i="66"/>
  <c r="H9" i="66"/>
  <c r="G9" i="66"/>
  <c r="E9" i="66"/>
  <c r="B9" i="66"/>
  <c r="A9" i="66"/>
  <c r="M8" i="66"/>
  <c r="H8" i="66"/>
  <c r="G8" i="66"/>
  <c r="E8" i="66"/>
  <c r="B8" i="66"/>
  <c r="A8" i="66"/>
  <c r="G5" i="66"/>
  <c r="G7" i="66"/>
  <c r="G6" i="66"/>
  <c r="G4" i="66"/>
  <c r="M7" i="66"/>
  <c r="H7" i="66"/>
  <c r="F7" i="66"/>
  <c r="E7" i="66"/>
  <c r="N7" i="66" s="1"/>
  <c r="B7" i="66"/>
  <c r="A7" i="66"/>
  <c r="M6" i="66"/>
  <c r="H6" i="66"/>
  <c r="F6" i="66"/>
  <c r="E6" i="66"/>
  <c r="N6" i="66" s="1"/>
  <c r="B6" i="66"/>
  <c r="A6" i="66"/>
  <c r="M5" i="66"/>
  <c r="H5" i="66"/>
  <c r="F5" i="66"/>
  <c r="E5" i="66"/>
  <c r="N5" i="66" s="1"/>
  <c r="B5" i="66"/>
  <c r="A5" i="66"/>
  <c r="M4" i="66"/>
  <c r="H4" i="66"/>
  <c r="F4" i="66"/>
  <c r="E4" i="66"/>
  <c r="N4" i="66" s="1"/>
  <c r="B4" i="66"/>
  <c r="A4" i="66"/>
  <c r="M3" i="66"/>
  <c r="M2" i="66"/>
  <c r="N1" i="66"/>
  <c r="E3" i="66"/>
  <c r="N3" i="66" s="1"/>
  <c r="F3" i="66"/>
  <c r="G3" i="66"/>
  <c r="H3" i="66"/>
  <c r="F2" i="66"/>
  <c r="G2" i="66"/>
  <c r="H2" i="66"/>
  <c r="E2" i="66"/>
  <c r="N2" i="66" s="1"/>
  <c r="A3" i="66"/>
  <c r="B2" i="66"/>
  <c r="B3" i="66"/>
  <c r="A2" i="66"/>
  <c r="CG12" i="8" a="1"/>
  <c r="CG9" i="8" a="1"/>
  <c r="CG10" i="8" a="1"/>
  <c r="CG10" i="8" l="1"/>
  <c r="CG9" i="8"/>
  <c r="CG12" i="8"/>
  <c r="N18" i="69"/>
  <c r="N9" i="69"/>
  <c r="N16" i="69"/>
  <c r="N4" i="69"/>
  <c r="N6" i="69"/>
  <c r="N2" i="69"/>
  <c r="N7" i="69"/>
  <c r="N17" i="69"/>
  <c r="N19" i="69"/>
  <c r="N12" i="69"/>
  <c r="N102" i="66"/>
  <c r="N103" i="66"/>
  <c r="N100" i="66"/>
  <c r="A2" i="91" a="1"/>
  <c r="A2" i="91" s="1"/>
  <c r="N112" i="66"/>
  <c r="N104" i="66"/>
  <c r="G20" i="42"/>
  <c r="G41" i="42"/>
  <c r="G12" i="97"/>
  <c r="G10" i="97"/>
  <c r="G40" i="42"/>
  <c r="G9" i="42"/>
  <c r="G7" i="42"/>
  <c r="G8" i="42"/>
  <c r="G39" i="42"/>
  <c r="G6" i="42"/>
  <c r="G11" i="97"/>
  <c r="G5" i="42"/>
  <c r="G4" i="42"/>
  <c r="G19" i="42"/>
  <c r="G42" i="42"/>
  <c r="G23" i="42"/>
  <c r="N124" i="66"/>
  <c r="G22" i="42"/>
  <c r="G21" i="42"/>
  <c r="M1" i="66" l="1"/>
  <c r="L1" i="66"/>
  <c r="K1" i="66"/>
  <c r="J1" i="66"/>
  <c r="I1" i="66"/>
  <c r="H1" i="66"/>
  <c r="G1" i="66"/>
  <c r="F1" i="66"/>
  <c r="E1" i="66"/>
  <c r="F4" i="42" l="1"/>
  <c r="F5" i="42"/>
  <c r="C5" i="65"/>
  <c r="D5" i="65"/>
  <c r="E5" i="65"/>
  <c r="F5" i="65"/>
  <c r="G5" i="65"/>
  <c r="H5" i="65"/>
  <c r="I5" i="65"/>
  <c r="C6" i="65"/>
  <c r="D6" i="65"/>
  <c r="E6" i="65"/>
  <c r="F6" i="65"/>
  <c r="G6" i="65"/>
  <c r="H6" i="65"/>
  <c r="I6" i="65"/>
  <c r="C7" i="65"/>
  <c r="D7" i="65"/>
  <c r="E7" i="65"/>
  <c r="F7" i="65"/>
  <c r="G7" i="65"/>
  <c r="H7" i="65"/>
  <c r="I7" i="65"/>
  <c r="C8" i="65"/>
  <c r="D8" i="65"/>
  <c r="E8" i="65"/>
  <c r="F8" i="65"/>
  <c r="G8" i="65"/>
  <c r="H8" i="65"/>
  <c r="I8" i="65"/>
  <c r="C9" i="65"/>
  <c r="D9" i="65"/>
  <c r="E9" i="65"/>
  <c r="F9" i="65"/>
  <c r="G9" i="65"/>
  <c r="H9" i="65"/>
  <c r="I9" i="65"/>
  <c r="C10" i="65"/>
  <c r="D10" i="65"/>
  <c r="E10" i="65"/>
  <c r="F10" i="65"/>
  <c r="G10" i="65"/>
  <c r="H10" i="65"/>
  <c r="I10" i="65"/>
  <c r="C11" i="65"/>
  <c r="D11" i="65"/>
  <c r="C8" i="66" s="1"/>
  <c r="N8" i="66" s="1"/>
  <c r="E11" i="65"/>
  <c r="C9" i="66" s="1"/>
  <c r="N9" i="66" s="1"/>
  <c r="F11" i="65"/>
  <c r="C10" i="66" s="1"/>
  <c r="N10" i="66" s="1"/>
  <c r="G11" i="65"/>
  <c r="C11" i="66" s="1"/>
  <c r="N11" i="66" s="1"/>
  <c r="H11" i="65"/>
  <c r="C12" i="66" s="1"/>
  <c r="N12" i="66" s="1"/>
  <c r="I11" i="65"/>
  <c r="C13" i="66" s="1"/>
  <c r="N13" i="66" s="1"/>
  <c r="C12" i="65"/>
  <c r="D12" i="65"/>
  <c r="E12" i="65"/>
  <c r="F12" i="65"/>
  <c r="G12" i="65"/>
  <c r="H12" i="65"/>
  <c r="I12" i="65"/>
  <c r="C13" i="65"/>
  <c r="D13" i="65"/>
  <c r="E13" i="65"/>
  <c r="F13" i="65"/>
  <c r="G13" i="65"/>
  <c r="H13" i="65"/>
  <c r="I13" i="65"/>
  <c r="C14" i="65"/>
  <c r="D14" i="65"/>
  <c r="E14" i="65"/>
  <c r="F14" i="65"/>
  <c r="G14" i="65"/>
  <c r="H14" i="65"/>
  <c r="I14" i="65"/>
  <c r="C15" i="65"/>
  <c r="D15" i="65"/>
  <c r="E15" i="65"/>
  <c r="F15" i="65"/>
  <c r="G15" i="65"/>
  <c r="H15" i="65"/>
  <c r="I15" i="65"/>
  <c r="C16" i="65"/>
  <c r="D16" i="65"/>
  <c r="E16" i="65"/>
  <c r="F16" i="65"/>
  <c r="G16" i="65"/>
  <c r="H16" i="65"/>
  <c r="I16" i="65"/>
  <c r="C17" i="65"/>
  <c r="D17" i="65"/>
  <c r="E17" i="65"/>
  <c r="F17" i="65"/>
  <c r="G17" i="65"/>
  <c r="H17" i="65"/>
  <c r="I17" i="65"/>
  <c r="C18" i="65"/>
  <c r="D18" i="65"/>
  <c r="E18" i="65"/>
  <c r="F18" i="65"/>
  <c r="G18" i="65"/>
  <c r="H18" i="65"/>
  <c r="I18" i="65"/>
  <c r="C19" i="65"/>
  <c r="D19" i="65"/>
  <c r="C20" i="66" s="1"/>
  <c r="N20" i="66" s="1"/>
  <c r="E19" i="65"/>
  <c r="C21" i="66" s="1"/>
  <c r="N21" i="66" s="1"/>
  <c r="F19" i="65"/>
  <c r="C22" i="66" s="1"/>
  <c r="N22" i="66" s="1"/>
  <c r="G19" i="65"/>
  <c r="C23" i="66" s="1"/>
  <c r="N23" i="66" s="1"/>
  <c r="H19" i="65"/>
  <c r="C24" i="66" s="1"/>
  <c r="N24" i="66" s="1"/>
  <c r="I19" i="65"/>
  <c r="C25" i="66" s="1"/>
  <c r="N25" i="66" s="1"/>
  <c r="C20" i="65"/>
  <c r="D20" i="65"/>
  <c r="C26" i="66" s="1"/>
  <c r="N26" i="66" s="1"/>
  <c r="E20" i="65"/>
  <c r="C27" i="66" s="1"/>
  <c r="N27" i="66" s="1"/>
  <c r="F20" i="65"/>
  <c r="C28" i="66" s="1"/>
  <c r="N28" i="66" s="1"/>
  <c r="G20" i="65"/>
  <c r="C29" i="66" s="1"/>
  <c r="N29" i="66" s="1"/>
  <c r="H20" i="65"/>
  <c r="C30" i="66" s="1"/>
  <c r="N30" i="66" s="1"/>
  <c r="I20" i="65"/>
  <c r="C31" i="66" s="1"/>
  <c r="N31" i="66" s="1"/>
  <c r="C21" i="65"/>
  <c r="D21" i="65"/>
  <c r="E21" i="65"/>
  <c r="F21" i="65"/>
  <c r="G21" i="65"/>
  <c r="H21" i="65"/>
  <c r="I21" i="65"/>
  <c r="C22" i="65"/>
  <c r="D22" i="65"/>
  <c r="E22" i="65"/>
  <c r="F22" i="65"/>
  <c r="G22" i="65"/>
  <c r="H22" i="65"/>
  <c r="I22" i="65"/>
  <c r="C23" i="65"/>
  <c r="D23" i="65"/>
  <c r="E23" i="65"/>
  <c r="F23" i="65"/>
  <c r="G23" i="65"/>
  <c r="H23" i="65"/>
  <c r="I23" i="65"/>
  <c r="C24" i="65"/>
  <c r="D24" i="65"/>
  <c r="E24" i="65"/>
  <c r="F24" i="65"/>
  <c r="G24" i="65"/>
  <c r="H24" i="65"/>
  <c r="I24" i="65"/>
  <c r="C25" i="65"/>
  <c r="D25" i="65"/>
  <c r="E25" i="65"/>
  <c r="F25" i="65"/>
  <c r="G25" i="65"/>
  <c r="H25" i="65"/>
  <c r="I25" i="65"/>
  <c r="C26" i="65"/>
  <c r="D26" i="65"/>
  <c r="N32" i="66" s="1"/>
  <c r="E26" i="65"/>
  <c r="N33" i="66" s="1"/>
  <c r="F26" i="65"/>
  <c r="N34" i="66" s="1"/>
  <c r="G26" i="65"/>
  <c r="N35" i="66" s="1"/>
  <c r="H26" i="65"/>
  <c r="N36" i="66" s="1"/>
  <c r="I26" i="65"/>
  <c r="N37" i="66" s="1"/>
  <c r="C27" i="65"/>
  <c r="D27" i="65"/>
  <c r="E27" i="65"/>
  <c r="F27" i="65"/>
  <c r="G27" i="65"/>
  <c r="H27" i="65"/>
  <c r="I27" i="65"/>
  <c r="C28" i="65"/>
  <c r="D28" i="65"/>
  <c r="N38" i="66" s="1"/>
  <c r="E28" i="65"/>
  <c r="N39" i="66" s="1"/>
  <c r="F28" i="65"/>
  <c r="N40" i="66" s="1"/>
  <c r="G28" i="65"/>
  <c r="N41" i="66" s="1"/>
  <c r="H28" i="65"/>
  <c r="N42" i="66" s="1"/>
  <c r="I28" i="65"/>
  <c r="N43" i="66" s="1"/>
  <c r="C29" i="65"/>
  <c r="D29" i="65"/>
  <c r="E29" i="65"/>
  <c r="F29" i="65"/>
  <c r="G29" i="65"/>
  <c r="H29" i="65"/>
  <c r="I29" i="65"/>
  <c r="C30" i="65"/>
  <c r="D30" i="65"/>
  <c r="E30" i="65"/>
  <c r="F30" i="65"/>
  <c r="G30" i="65"/>
  <c r="N47" i="66" s="1"/>
  <c r="H30" i="65"/>
  <c r="N48" i="66" s="1"/>
  <c r="I30" i="65"/>
  <c r="C31" i="65"/>
  <c r="D31" i="65"/>
  <c r="E31" i="65"/>
  <c r="F31" i="65"/>
  <c r="G31" i="65"/>
  <c r="H31" i="65"/>
  <c r="I31" i="65"/>
  <c r="C32" i="65"/>
  <c r="D32" i="65"/>
  <c r="E32" i="65"/>
  <c r="F32" i="65"/>
  <c r="G32" i="65"/>
  <c r="H32" i="65"/>
  <c r="I32" i="65"/>
  <c r="C33" i="65"/>
  <c r="D33" i="65"/>
  <c r="E33" i="65"/>
  <c r="F33" i="65"/>
  <c r="G33" i="65"/>
  <c r="H33" i="65"/>
  <c r="I33" i="65"/>
  <c r="C34" i="65"/>
  <c r="D34" i="65"/>
  <c r="E34" i="65"/>
  <c r="F34" i="65"/>
  <c r="G34" i="65"/>
  <c r="H34" i="65"/>
  <c r="I34" i="65"/>
  <c r="C35" i="65"/>
  <c r="D35" i="65"/>
  <c r="E35" i="65"/>
  <c r="F35" i="65"/>
  <c r="G35" i="65"/>
  <c r="H35" i="65"/>
  <c r="I35" i="65"/>
  <c r="C36" i="65"/>
  <c r="D36" i="65"/>
  <c r="E36" i="65"/>
  <c r="F36" i="65"/>
  <c r="G36" i="65"/>
  <c r="H36" i="65"/>
  <c r="I36" i="65"/>
  <c r="C37" i="65"/>
  <c r="D37" i="65"/>
  <c r="E37" i="65"/>
  <c r="F37" i="65"/>
  <c r="G37" i="65"/>
  <c r="H37" i="65"/>
  <c r="I37" i="65"/>
  <c r="C38" i="65"/>
  <c r="D38" i="65"/>
  <c r="E38" i="65"/>
  <c r="F38" i="65"/>
  <c r="G38" i="65"/>
  <c r="H38" i="65"/>
  <c r="I38" i="65"/>
  <c r="C39" i="65"/>
  <c r="D39" i="65"/>
  <c r="E39" i="65"/>
  <c r="F39" i="65"/>
  <c r="G39" i="65"/>
  <c r="H39" i="65"/>
  <c r="I39" i="65"/>
  <c r="C40" i="65"/>
  <c r="D40" i="65"/>
  <c r="E40" i="65"/>
  <c r="F40" i="65"/>
  <c r="G40" i="65"/>
  <c r="H40" i="65"/>
  <c r="I40" i="65"/>
  <c r="C41" i="65"/>
  <c r="D41" i="65"/>
  <c r="E41" i="65"/>
  <c r="F41" i="65"/>
  <c r="G41" i="65"/>
  <c r="H41" i="65"/>
  <c r="I41" i="65"/>
  <c r="C42" i="65"/>
  <c r="D42" i="65"/>
  <c r="E42" i="65"/>
  <c r="F42" i="65"/>
  <c r="G42" i="65"/>
  <c r="H42" i="65"/>
  <c r="I42" i="65"/>
  <c r="C43" i="65"/>
  <c r="D43" i="65"/>
  <c r="E43" i="65"/>
  <c r="F43" i="65"/>
  <c r="G43" i="65"/>
  <c r="H43" i="65"/>
  <c r="I43" i="65"/>
  <c r="C44" i="65"/>
  <c r="D44" i="65"/>
  <c r="E44" i="65"/>
  <c r="F44" i="65"/>
  <c r="G44" i="65"/>
  <c r="H44" i="65"/>
  <c r="I44" i="65"/>
  <c r="C45" i="65"/>
  <c r="D45" i="65"/>
  <c r="E45" i="65"/>
  <c r="F45" i="65"/>
  <c r="G45" i="65"/>
  <c r="H45" i="65"/>
  <c r="I45" i="65"/>
  <c r="C46" i="65"/>
  <c r="D46" i="65"/>
  <c r="E46" i="65"/>
  <c r="F46" i="65"/>
  <c r="G46" i="65"/>
  <c r="H46" i="65"/>
  <c r="I46" i="65"/>
  <c r="C47" i="65"/>
  <c r="D47" i="65"/>
  <c r="E47" i="65"/>
  <c r="F47" i="65"/>
  <c r="G47" i="65"/>
  <c r="H47" i="65"/>
  <c r="I47" i="65"/>
  <c r="C48" i="65"/>
  <c r="D48" i="65"/>
  <c r="E48" i="65"/>
  <c r="F48" i="65"/>
  <c r="G48" i="65"/>
  <c r="H48" i="65"/>
  <c r="I48" i="65"/>
  <c r="C49" i="65"/>
  <c r="D49" i="65"/>
  <c r="E49" i="65"/>
  <c r="F49" i="65"/>
  <c r="G49" i="65"/>
  <c r="H49" i="65"/>
  <c r="I49" i="65"/>
  <c r="C50" i="65"/>
  <c r="D50" i="65"/>
  <c r="E50" i="65"/>
  <c r="F50" i="65"/>
  <c r="G50" i="65"/>
  <c r="H50" i="65"/>
  <c r="I50" i="65"/>
  <c r="C51" i="65"/>
  <c r="D51" i="65"/>
  <c r="E51" i="65"/>
  <c r="F51" i="65"/>
  <c r="G51" i="65"/>
  <c r="H51" i="65"/>
  <c r="I51" i="65"/>
  <c r="C52" i="65"/>
  <c r="D52" i="65"/>
  <c r="E52" i="65"/>
  <c r="F52" i="65"/>
  <c r="G52" i="65"/>
  <c r="H52" i="65"/>
  <c r="I52" i="65"/>
  <c r="C53" i="65"/>
  <c r="D53" i="65"/>
  <c r="E53" i="65"/>
  <c r="F53" i="65"/>
  <c r="G53" i="65"/>
  <c r="H53" i="65"/>
  <c r="I53" i="65"/>
  <c r="C54" i="65"/>
  <c r="D54" i="65"/>
  <c r="E54" i="65"/>
  <c r="F54" i="65"/>
  <c r="G54" i="65"/>
  <c r="H54" i="65"/>
  <c r="I54" i="65"/>
  <c r="C55" i="65"/>
  <c r="D55" i="65"/>
  <c r="E55" i="65"/>
  <c r="F55" i="65"/>
  <c r="G55" i="65"/>
  <c r="H55" i="65"/>
  <c r="I55" i="65"/>
  <c r="C56" i="65"/>
  <c r="D56" i="65"/>
  <c r="E56" i="65"/>
  <c r="F56" i="65"/>
  <c r="G56" i="65"/>
  <c r="H56" i="65"/>
  <c r="I56" i="65"/>
  <c r="C57" i="65"/>
  <c r="D57" i="65"/>
  <c r="E57" i="65"/>
  <c r="F57" i="65"/>
  <c r="G57" i="65"/>
  <c r="H57" i="65"/>
  <c r="I57" i="65"/>
  <c r="C58" i="65"/>
  <c r="D58" i="65"/>
  <c r="E58" i="65"/>
  <c r="F58" i="65"/>
  <c r="G58" i="65"/>
  <c r="H58" i="65"/>
  <c r="I58" i="65"/>
  <c r="C59" i="65"/>
  <c r="D59" i="65"/>
  <c r="E59" i="65"/>
  <c r="F59" i="65"/>
  <c r="G59" i="65"/>
  <c r="H59" i="65"/>
  <c r="I59" i="65"/>
  <c r="C60" i="65"/>
  <c r="D60" i="65"/>
  <c r="E60" i="65"/>
  <c r="F60" i="65"/>
  <c r="G60" i="65"/>
  <c r="H60" i="65"/>
  <c r="I60" i="65"/>
  <c r="C61" i="65"/>
  <c r="D61" i="65"/>
  <c r="E61" i="65"/>
  <c r="F61" i="65"/>
  <c r="G61" i="65"/>
  <c r="H61" i="65"/>
  <c r="I61" i="65"/>
  <c r="C62" i="65"/>
  <c r="D62" i="65"/>
  <c r="E62" i="65"/>
  <c r="F62" i="65"/>
  <c r="G62" i="65"/>
  <c r="H62" i="65"/>
  <c r="I62" i="65"/>
  <c r="C63" i="65"/>
  <c r="D63" i="65"/>
  <c r="E63" i="65"/>
  <c r="F63" i="65"/>
  <c r="G63" i="65"/>
  <c r="H63" i="65"/>
  <c r="I63" i="65"/>
  <c r="C64" i="65"/>
  <c r="D64" i="65"/>
  <c r="E64" i="65"/>
  <c r="F64" i="65"/>
  <c r="G64" i="65"/>
  <c r="H64" i="65"/>
  <c r="I64" i="65"/>
  <c r="C65" i="65"/>
  <c r="D65" i="65"/>
  <c r="E65" i="65"/>
  <c r="F65" i="65"/>
  <c r="G65" i="65"/>
  <c r="H65" i="65"/>
  <c r="I65" i="65"/>
  <c r="C66" i="65"/>
  <c r="D66" i="65"/>
  <c r="E66" i="65"/>
  <c r="F66" i="65"/>
  <c r="G66" i="65"/>
  <c r="H66" i="65"/>
  <c r="I66" i="65"/>
  <c r="C67" i="65"/>
  <c r="D67" i="65"/>
  <c r="E67" i="65"/>
  <c r="F67" i="65"/>
  <c r="G67" i="65"/>
  <c r="H67" i="65"/>
  <c r="I67" i="65"/>
  <c r="C68" i="65"/>
  <c r="D68" i="65"/>
  <c r="E68" i="65"/>
  <c r="F68" i="65"/>
  <c r="G68" i="65"/>
  <c r="H68" i="65"/>
  <c r="I68" i="65"/>
  <c r="C69" i="65"/>
  <c r="D69" i="65"/>
  <c r="E69" i="65"/>
  <c r="F69" i="65"/>
  <c r="G69" i="65"/>
  <c r="H69" i="65"/>
  <c r="I69" i="65"/>
  <c r="C70" i="65"/>
  <c r="D70" i="65"/>
  <c r="E70" i="65"/>
  <c r="F70" i="65"/>
  <c r="G70" i="65"/>
  <c r="H70" i="65"/>
  <c r="I70" i="65"/>
  <c r="C71" i="65"/>
  <c r="D71" i="65"/>
  <c r="E71" i="65"/>
  <c r="F71" i="65"/>
  <c r="G71" i="65"/>
  <c r="H71" i="65"/>
  <c r="I71" i="65"/>
  <c r="C72" i="65"/>
  <c r="D72" i="65"/>
  <c r="E72" i="65"/>
  <c r="F72" i="65"/>
  <c r="G72" i="65"/>
  <c r="H72" i="65"/>
  <c r="I72" i="65"/>
  <c r="C73" i="65"/>
  <c r="D73" i="65"/>
  <c r="E73" i="65"/>
  <c r="F73" i="65"/>
  <c r="G73" i="65"/>
  <c r="H73" i="65"/>
  <c r="I73" i="65"/>
  <c r="C74" i="65"/>
  <c r="D74" i="65"/>
  <c r="E74" i="65"/>
  <c r="F74" i="65"/>
  <c r="G74" i="65"/>
  <c r="H74" i="65"/>
  <c r="I74" i="65"/>
  <c r="C75" i="65"/>
  <c r="D75" i="65"/>
  <c r="E75" i="65"/>
  <c r="F75" i="65"/>
  <c r="G75" i="65"/>
  <c r="H75" i="65"/>
  <c r="I75" i="65"/>
  <c r="C76" i="65"/>
  <c r="D76" i="65"/>
  <c r="E76" i="65"/>
  <c r="F76" i="65"/>
  <c r="G76" i="65"/>
  <c r="H76" i="65"/>
  <c r="I76" i="65"/>
  <c r="C77" i="65"/>
  <c r="D77" i="65"/>
  <c r="E77" i="65"/>
  <c r="F77" i="65"/>
  <c r="G77" i="65"/>
  <c r="H77" i="65"/>
  <c r="I77" i="65"/>
  <c r="C78" i="65"/>
  <c r="D78" i="65"/>
  <c r="E78" i="65"/>
  <c r="F78" i="65"/>
  <c r="G78" i="65"/>
  <c r="H78" i="65"/>
  <c r="I78" i="65"/>
  <c r="C79" i="65"/>
  <c r="D79" i="65"/>
  <c r="E79" i="65"/>
  <c r="F79" i="65"/>
  <c r="G79" i="65"/>
  <c r="H79" i="65"/>
  <c r="I79" i="65"/>
  <c r="C80" i="65"/>
  <c r="D80" i="65"/>
  <c r="E80" i="65"/>
  <c r="F80" i="65"/>
  <c r="G80" i="65"/>
  <c r="H80" i="65"/>
  <c r="I80" i="65"/>
  <c r="C81" i="65"/>
  <c r="D81" i="65"/>
  <c r="E81" i="65"/>
  <c r="F81" i="65"/>
  <c r="G81" i="65"/>
  <c r="H81" i="65"/>
  <c r="I81" i="65"/>
  <c r="C82" i="65"/>
  <c r="D82" i="65"/>
  <c r="E82" i="65"/>
  <c r="F82" i="65"/>
  <c r="G82" i="65"/>
  <c r="H82" i="65"/>
  <c r="I82" i="65"/>
  <c r="C83" i="65"/>
  <c r="D83" i="65"/>
  <c r="E83" i="65"/>
  <c r="F83" i="65"/>
  <c r="G83" i="65"/>
  <c r="H83" i="65"/>
  <c r="I83" i="65"/>
  <c r="C84" i="65"/>
  <c r="D84" i="65"/>
  <c r="E84" i="65"/>
  <c r="F84" i="65"/>
  <c r="G84" i="65"/>
  <c r="H84" i="65"/>
  <c r="I84" i="65"/>
  <c r="C85" i="65"/>
  <c r="D85" i="65"/>
  <c r="E85" i="65"/>
  <c r="F85" i="65"/>
  <c r="G85" i="65"/>
  <c r="H85" i="65"/>
  <c r="I85" i="65"/>
  <c r="C86" i="65"/>
  <c r="D86" i="65"/>
  <c r="E86" i="65"/>
  <c r="F86" i="65"/>
  <c r="G86" i="65"/>
  <c r="H86" i="65"/>
  <c r="I86" i="65"/>
  <c r="C87" i="65"/>
  <c r="D87" i="65"/>
  <c r="E87" i="65"/>
  <c r="F87" i="65"/>
  <c r="G87" i="65"/>
  <c r="H87" i="65"/>
  <c r="I87" i="65"/>
  <c r="C88" i="65"/>
  <c r="D88" i="65"/>
  <c r="E88" i="65"/>
  <c r="F88" i="65"/>
  <c r="G88" i="65"/>
  <c r="H88" i="65"/>
  <c r="I88" i="65"/>
  <c r="C89" i="65"/>
  <c r="D89" i="65"/>
  <c r="E89" i="65"/>
  <c r="F89" i="65"/>
  <c r="G89" i="65"/>
  <c r="H89" i="65"/>
  <c r="I89" i="65"/>
  <c r="C90" i="65"/>
  <c r="D90" i="65"/>
  <c r="E90" i="65"/>
  <c r="F90" i="65"/>
  <c r="G90" i="65"/>
  <c r="H90" i="65"/>
  <c r="I90" i="65"/>
  <c r="C91" i="65"/>
  <c r="D91" i="65"/>
  <c r="E91" i="65"/>
  <c r="F91" i="65"/>
  <c r="G91" i="65"/>
  <c r="H91" i="65"/>
  <c r="I91" i="65"/>
  <c r="C92" i="65"/>
  <c r="D92" i="65"/>
  <c r="E92" i="65"/>
  <c r="F92" i="65"/>
  <c r="G92" i="65"/>
  <c r="H92" i="65"/>
  <c r="I92" i="65"/>
  <c r="C93" i="65"/>
  <c r="D93" i="65"/>
  <c r="E93" i="65"/>
  <c r="F93" i="65"/>
  <c r="G93" i="65"/>
  <c r="H93" i="65"/>
  <c r="I93" i="65"/>
  <c r="C94" i="65"/>
  <c r="D94" i="65"/>
  <c r="E94" i="65"/>
  <c r="F94" i="65"/>
  <c r="G94" i="65"/>
  <c r="H94" i="65"/>
  <c r="I94" i="65"/>
  <c r="C95" i="65"/>
  <c r="D95" i="65"/>
  <c r="E95" i="65"/>
  <c r="F95" i="65"/>
  <c r="G95" i="65"/>
  <c r="H95" i="65"/>
  <c r="I95" i="65"/>
  <c r="C96" i="65"/>
  <c r="D96" i="65"/>
  <c r="E96" i="65"/>
  <c r="F96" i="65"/>
  <c r="G96" i="65"/>
  <c r="H96" i="65"/>
  <c r="I96" i="65"/>
  <c r="C97" i="65"/>
  <c r="D97" i="65"/>
  <c r="E97" i="65"/>
  <c r="F97" i="65"/>
  <c r="G97" i="65"/>
  <c r="H97" i="65"/>
  <c r="I97" i="65"/>
  <c r="C98" i="65"/>
  <c r="D98" i="65"/>
  <c r="E98" i="65"/>
  <c r="F98" i="65"/>
  <c r="G98" i="65"/>
  <c r="H98" i="65"/>
  <c r="I98" i="65"/>
  <c r="C99" i="65"/>
  <c r="D99" i="65"/>
  <c r="E99" i="65"/>
  <c r="F99" i="65"/>
  <c r="G99" i="65"/>
  <c r="H99" i="65"/>
  <c r="I99" i="65"/>
  <c r="C100" i="65"/>
  <c r="D100" i="65"/>
  <c r="E100" i="65"/>
  <c r="F100" i="65"/>
  <c r="G100" i="65"/>
  <c r="H100" i="65"/>
  <c r="I100" i="65"/>
  <c r="C101" i="65"/>
  <c r="D101" i="65"/>
  <c r="E101" i="65"/>
  <c r="F101" i="65"/>
  <c r="G101" i="65"/>
  <c r="H101" i="65"/>
  <c r="I101" i="65"/>
  <c r="C102" i="65"/>
  <c r="D102" i="65"/>
  <c r="E102" i="65"/>
  <c r="F102" i="65"/>
  <c r="G102" i="65"/>
  <c r="H102" i="65"/>
  <c r="I102" i="65"/>
  <c r="C103" i="65"/>
  <c r="D103" i="65"/>
  <c r="E103" i="65"/>
  <c r="F103" i="65"/>
  <c r="G103" i="65"/>
  <c r="H103" i="65"/>
  <c r="I103" i="65"/>
  <c r="C104" i="65"/>
  <c r="D104" i="65"/>
  <c r="E104" i="65"/>
  <c r="F104" i="65"/>
  <c r="G104" i="65"/>
  <c r="H104" i="65"/>
  <c r="I104" i="65"/>
  <c r="C105" i="65"/>
  <c r="D105" i="65"/>
  <c r="E105" i="65"/>
  <c r="F105" i="65"/>
  <c r="G105" i="65"/>
  <c r="H105" i="65"/>
  <c r="I105" i="65"/>
  <c r="C106" i="65"/>
  <c r="D106" i="65"/>
  <c r="E106" i="65"/>
  <c r="F106" i="65"/>
  <c r="G106" i="65"/>
  <c r="H106" i="65"/>
  <c r="I106" i="65"/>
  <c r="C107" i="65"/>
  <c r="D107" i="65"/>
  <c r="E107" i="65"/>
  <c r="F107" i="65"/>
  <c r="G107" i="65"/>
  <c r="H107" i="65"/>
  <c r="I107" i="65"/>
  <c r="C108" i="65"/>
  <c r="D108" i="65"/>
  <c r="E108" i="65"/>
  <c r="F108" i="65"/>
  <c r="G108" i="65"/>
  <c r="H108" i="65"/>
  <c r="I108" i="65"/>
  <c r="C109" i="65"/>
  <c r="D109" i="65"/>
  <c r="E109" i="65"/>
  <c r="F109" i="65"/>
  <c r="G109" i="65"/>
  <c r="H109" i="65"/>
  <c r="I109" i="65"/>
  <c r="C110" i="65"/>
  <c r="D110" i="65"/>
  <c r="E110" i="65"/>
  <c r="F110" i="65"/>
  <c r="G110" i="65"/>
  <c r="H110" i="65"/>
  <c r="I110" i="65"/>
  <c r="C111" i="65"/>
  <c r="D111" i="65"/>
  <c r="E111" i="65"/>
  <c r="F111" i="65"/>
  <c r="G111" i="65"/>
  <c r="H111" i="65"/>
  <c r="I111" i="65"/>
  <c r="C112" i="65"/>
  <c r="D112" i="65"/>
  <c r="E112" i="65"/>
  <c r="F112" i="65"/>
  <c r="G112" i="65"/>
  <c r="H112" i="65"/>
  <c r="I112" i="65"/>
  <c r="C113" i="65"/>
  <c r="D113" i="65"/>
  <c r="E113" i="65"/>
  <c r="F113" i="65"/>
  <c r="G113" i="65"/>
  <c r="H113" i="65"/>
  <c r="I113" i="65"/>
  <c r="C114" i="65"/>
  <c r="D114" i="65"/>
  <c r="E114" i="65"/>
  <c r="F114" i="65"/>
  <c r="G114" i="65"/>
  <c r="H114" i="65"/>
  <c r="I114" i="65"/>
  <c r="C115" i="65"/>
  <c r="D115" i="65"/>
  <c r="E115" i="65"/>
  <c r="F115" i="65"/>
  <c r="G115" i="65"/>
  <c r="H115" i="65"/>
  <c r="I115" i="65"/>
  <c r="C116" i="65"/>
  <c r="D116" i="65"/>
  <c r="E116" i="65"/>
  <c r="F116" i="65"/>
  <c r="G116" i="65"/>
  <c r="H116" i="65"/>
  <c r="I116" i="65"/>
  <c r="C117" i="65"/>
  <c r="D117" i="65"/>
  <c r="E117" i="65"/>
  <c r="F117" i="65"/>
  <c r="G117" i="65"/>
  <c r="H117" i="65"/>
  <c r="I117" i="65"/>
  <c r="C118" i="65"/>
  <c r="D118" i="65"/>
  <c r="E118" i="65"/>
  <c r="F118" i="65"/>
  <c r="G118" i="65"/>
  <c r="H118" i="65"/>
  <c r="I118" i="65"/>
  <c r="C119" i="65"/>
  <c r="D119" i="65"/>
  <c r="E119" i="65"/>
  <c r="F119" i="65"/>
  <c r="G119" i="65"/>
  <c r="H119" i="65"/>
  <c r="I119" i="65"/>
  <c r="C120" i="65"/>
  <c r="D120" i="65"/>
  <c r="E120" i="65"/>
  <c r="F120" i="65"/>
  <c r="G120" i="65"/>
  <c r="H120" i="65"/>
  <c r="I120" i="65"/>
  <c r="C121" i="65"/>
  <c r="D121" i="65"/>
  <c r="E121" i="65"/>
  <c r="F121" i="65"/>
  <c r="G121" i="65"/>
  <c r="H121" i="65"/>
  <c r="I121" i="65"/>
  <c r="C122" i="65"/>
  <c r="D122" i="65"/>
  <c r="E122" i="65"/>
  <c r="F122" i="65"/>
  <c r="G122" i="65"/>
  <c r="H122" i="65"/>
  <c r="I122" i="65"/>
  <c r="C123" i="65"/>
  <c r="D123" i="65"/>
  <c r="E123" i="65"/>
  <c r="F123" i="65"/>
  <c r="G123" i="65"/>
  <c r="H123" i="65"/>
  <c r="I123" i="65"/>
  <c r="C124" i="65"/>
  <c r="D124" i="65"/>
  <c r="E124" i="65"/>
  <c r="F124" i="65"/>
  <c r="G124" i="65"/>
  <c r="H124" i="65"/>
  <c r="I124" i="65"/>
  <c r="C125" i="65"/>
  <c r="D125" i="65"/>
  <c r="E125" i="65"/>
  <c r="F125" i="65"/>
  <c r="G125" i="65"/>
  <c r="H125" i="65"/>
  <c r="I125" i="65"/>
  <c r="C126" i="65"/>
  <c r="D126" i="65"/>
  <c r="E126" i="65"/>
  <c r="F126" i="65"/>
  <c r="G126" i="65"/>
  <c r="H126" i="65"/>
  <c r="I126" i="65"/>
  <c r="C127" i="65"/>
  <c r="D127" i="65"/>
  <c r="E127" i="65"/>
  <c r="F127" i="65"/>
  <c r="G127" i="65"/>
  <c r="H127" i="65"/>
  <c r="I127" i="65"/>
  <c r="C128" i="65"/>
  <c r="D128" i="65"/>
  <c r="E128" i="65"/>
  <c r="F128" i="65"/>
  <c r="G128" i="65"/>
  <c r="H128" i="65"/>
  <c r="I128" i="65"/>
  <c r="C129" i="65"/>
  <c r="D129" i="65"/>
  <c r="E129" i="65"/>
  <c r="F129" i="65"/>
  <c r="G129" i="65"/>
  <c r="H129" i="65"/>
  <c r="I129" i="65"/>
  <c r="C130" i="65"/>
  <c r="D130" i="65"/>
  <c r="E130" i="65"/>
  <c r="F130" i="65"/>
  <c r="G130" i="65"/>
  <c r="H130" i="65"/>
  <c r="I130" i="65"/>
  <c r="C131" i="65"/>
  <c r="D131" i="65"/>
  <c r="E131" i="65"/>
  <c r="F131" i="65"/>
  <c r="G131" i="65"/>
  <c r="H131" i="65"/>
  <c r="I131" i="65"/>
  <c r="C132" i="65"/>
  <c r="D132" i="65"/>
  <c r="E132" i="65"/>
  <c r="F132" i="65"/>
  <c r="G132" i="65"/>
  <c r="H132" i="65"/>
  <c r="I132" i="65"/>
  <c r="C133" i="65"/>
  <c r="D133" i="65"/>
  <c r="E133" i="65"/>
  <c r="F133" i="65"/>
  <c r="G133" i="65"/>
  <c r="H133" i="65"/>
  <c r="I133" i="65"/>
  <c r="C134" i="65"/>
  <c r="D134" i="65"/>
  <c r="E134" i="65"/>
  <c r="F134" i="65"/>
  <c r="G134" i="65"/>
  <c r="H134" i="65"/>
  <c r="I134" i="65"/>
  <c r="C135" i="65"/>
  <c r="D135" i="65"/>
  <c r="E135" i="65"/>
  <c r="F135" i="65"/>
  <c r="G135" i="65"/>
  <c r="H135" i="65"/>
  <c r="I135" i="65"/>
  <c r="C136" i="65"/>
  <c r="D136" i="65"/>
  <c r="E136" i="65"/>
  <c r="F136" i="65"/>
  <c r="G136" i="65"/>
  <c r="H136" i="65"/>
  <c r="I136" i="65"/>
  <c r="C137" i="65"/>
  <c r="D137" i="65"/>
  <c r="E137" i="65"/>
  <c r="F137" i="65"/>
  <c r="G137" i="65"/>
  <c r="H137" i="65"/>
  <c r="I137" i="65"/>
  <c r="C138" i="65"/>
  <c r="D138" i="65"/>
  <c r="E138" i="65"/>
  <c r="F138" i="65"/>
  <c r="G138" i="65"/>
  <c r="H138" i="65"/>
  <c r="I138" i="65"/>
  <c r="C139" i="65"/>
  <c r="D139" i="65"/>
  <c r="E139" i="65"/>
  <c r="F139" i="65"/>
  <c r="G139" i="65"/>
  <c r="H139" i="65"/>
  <c r="I139" i="65"/>
  <c r="C140" i="65"/>
  <c r="D140" i="65"/>
  <c r="E140" i="65"/>
  <c r="F140" i="65"/>
  <c r="G140" i="65"/>
  <c r="H140" i="65"/>
  <c r="I140" i="65"/>
  <c r="I4" i="65"/>
  <c r="H4" i="65"/>
  <c r="G4" i="65"/>
  <c r="F4" i="65"/>
  <c r="E4" i="65"/>
  <c r="D4" i="65"/>
  <c r="C4" i="65"/>
  <c r="B34" i="61"/>
  <c r="C34" i="61"/>
  <c r="G34" i="61"/>
  <c r="J34" i="61"/>
  <c r="B35" i="61"/>
  <c r="G35" i="61"/>
  <c r="J35" i="61"/>
  <c r="N54" i="66" l="1"/>
  <c r="N45" i="66"/>
  <c r="N51" i="66"/>
  <c r="N50" i="66"/>
  <c r="N49" i="66"/>
  <c r="N55" i="66"/>
  <c r="N46" i="66"/>
  <c r="N53" i="66"/>
  <c r="N44" i="66"/>
  <c r="N52" i="66"/>
  <c r="O35" i="61"/>
  <c r="B20" i="61"/>
  <c r="C20" i="61"/>
  <c r="G20" i="61"/>
  <c r="J20" i="61"/>
  <c r="B21" i="61"/>
  <c r="C21" i="61"/>
  <c r="G21" i="61"/>
  <c r="J21" i="61"/>
  <c r="O21" i="61" l="1"/>
  <c r="B18" i="42"/>
  <c r="A18" i="42"/>
  <c r="O33" i="61" l="1"/>
  <c r="M24" i="97" s="1"/>
  <c r="J33" i="61"/>
  <c r="H24" i="97" s="1"/>
  <c r="G33" i="61"/>
  <c r="E24" i="97" s="1"/>
  <c r="C33" i="61"/>
  <c r="B33" i="61"/>
  <c r="A24" i="97" s="1"/>
  <c r="J32" i="61"/>
  <c r="G32" i="61"/>
  <c r="D32" i="61"/>
  <c r="P33" i="61" s="1"/>
  <c r="C32" i="61"/>
  <c r="B32" i="61"/>
  <c r="O31" i="61"/>
  <c r="M23" i="97" s="1"/>
  <c r="J31" i="61"/>
  <c r="H23" i="97" s="1"/>
  <c r="G31" i="61"/>
  <c r="E23" i="97" s="1"/>
  <c r="C31" i="61"/>
  <c r="B31" i="61"/>
  <c r="A23" i="97" s="1"/>
  <c r="J30" i="61"/>
  <c r="G30" i="61"/>
  <c r="D30" i="61"/>
  <c r="P31" i="61" s="1"/>
  <c r="C30" i="61"/>
  <c r="B30" i="61"/>
  <c r="O29" i="61"/>
  <c r="M22" i="97" s="1"/>
  <c r="J29" i="61"/>
  <c r="H22" i="97" s="1"/>
  <c r="G29" i="61"/>
  <c r="E22" i="97" s="1"/>
  <c r="C29" i="61"/>
  <c r="B29" i="61"/>
  <c r="A22" i="97" s="1"/>
  <c r="J28" i="61"/>
  <c r="G28" i="61"/>
  <c r="D28" i="61"/>
  <c r="P29" i="61" s="1"/>
  <c r="C28" i="61"/>
  <c r="B28" i="61"/>
  <c r="O27" i="61"/>
  <c r="M21" i="97" s="1"/>
  <c r="J27" i="61"/>
  <c r="H21" i="97" s="1"/>
  <c r="G27" i="61"/>
  <c r="E21" i="97" s="1"/>
  <c r="C27" i="61"/>
  <c r="B27" i="61"/>
  <c r="A21" i="97" s="1"/>
  <c r="J26" i="61"/>
  <c r="G26" i="61"/>
  <c r="D26" i="61"/>
  <c r="P27" i="61" s="1"/>
  <c r="C26" i="61"/>
  <c r="B26" i="61"/>
  <c r="O25" i="61"/>
  <c r="M20" i="97" s="1"/>
  <c r="J25" i="61"/>
  <c r="H20" i="97" s="1"/>
  <c r="G25" i="61"/>
  <c r="E20" i="97" s="1"/>
  <c r="C25" i="61"/>
  <c r="B25" i="61"/>
  <c r="A20" i="97" s="1"/>
  <c r="J24" i="61"/>
  <c r="G24" i="61"/>
  <c r="D24" i="61"/>
  <c r="P25" i="61" s="1"/>
  <c r="C24" i="61"/>
  <c r="B24" i="61"/>
  <c r="O23" i="61"/>
  <c r="M19" i="97" s="1"/>
  <c r="J23" i="61"/>
  <c r="H19" i="97" s="1"/>
  <c r="G23" i="61"/>
  <c r="E19" i="97" s="1"/>
  <c r="C23" i="61"/>
  <c r="B23" i="61"/>
  <c r="A19" i="97" s="1"/>
  <c r="J22" i="61"/>
  <c r="G22" i="61"/>
  <c r="D22" i="61"/>
  <c r="P23" i="61" s="1"/>
  <c r="C22" i="61"/>
  <c r="B22" i="61"/>
  <c r="O19" i="61"/>
  <c r="M18" i="97" s="1"/>
  <c r="J19" i="61"/>
  <c r="H18" i="97" s="1"/>
  <c r="G19" i="61"/>
  <c r="E18" i="97" s="1"/>
  <c r="C19" i="61"/>
  <c r="B19" i="61"/>
  <c r="A18" i="97" s="1"/>
  <c r="J18" i="61"/>
  <c r="G18" i="61"/>
  <c r="D18" i="61"/>
  <c r="P19" i="61" s="1"/>
  <c r="C18" i="61"/>
  <c r="B18" i="61"/>
  <c r="O17" i="61"/>
  <c r="M17" i="97" s="1"/>
  <c r="J17" i="61"/>
  <c r="H17" i="97" s="1"/>
  <c r="G17" i="61"/>
  <c r="E17" i="97" s="1"/>
  <c r="C17" i="61"/>
  <c r="B17" i="61"/>
  <c r="A17" i="97" s="1"/>
  <c r="J16" i="61"/>
  <c r="G16" i="61"/>
  <c r="D16" i="61"/>
  <c r="P17" i="61" s="1"/>
  <c r="C16" i="61"/>
  <c r="B16" i="61"/>
  <c r="O15" i="61"/>
  <c r="M16" i="97" s="1"/>
  <c r="J15" i="61"/>
  <c r="H16" i="97" s="1"/>
  <c r="G15" i="61"/>
  <c r="E16" i="97" s="1"/>
  <c r="C15" i="61"/>
  <c r="B15" i="61"/>
  <c r="A16" i="97" s="1"/>
  <c r="J14" i="61"/>
  <c r="G14" i="61"/>
  <c r="D14" i="61"/>
  <c r="P15" i="61" s="1"/>
  <c r="C14" i="61"/>
  <c r="B14" i="61"/>
  <c r="O13" i="61"/>
  <c r="M15" i="97" s="1"/>
  <c r="J13" i="61"/>
  <c r="H15" i="97" s="1"/>
  <c r="G13" i="61"/>
  <c r="E15" i="97" s="1"/>
  <c r="C13" i="61"/>
  <c r="B13" i="61"/>
  <c r="A15" i="97" s="1"/>
  <c r="J12" i="61"/>
  <c r="G12" i="61"/>
  <c r="D12" i="61"/>
  <c r="P13" i="61" s="1"/>
  <c r="C12" i="61"/>
  <c r="B12" i="61"/>
  <c r="O11" i="61"/>
  <c r="M14" i="97" s="1"/>
  <c r="J11" i="61"/>
  <c r="H14" i="97" s="1"/>
  <c r="G11" i="61"/>
  <c r="E14" i="97" s="1"/>
  <c r="C11" i="61"/>
  <c r="B11" i="61"/>
  <c r="A14" i="97" s="1"/>
  <c r="J10" i="61"/>
  <c r="G10" i="61"/>
  <c r="D10" i="61"/>
  <c r="P11" i="61" s="1"/>
  <c r="C10" i="61"/>
  <c r="B10" i="61"/>
  <c r="O9" i="61"/>
  <c r="M13" i="97" s="1"/>
  <c r="J9" i="61"/>
  <c r="H13" i="97" s="1"/>
  <c r="G9" i="61"/>
  <c r="E13" i="97" s="1"/>
  <c r="C9" i="61"/>
  <c r="B9" i="61"/>
  <c r="A13" i="97" s="1"/>
  <c r="J8" i="61"/>
  <c r="G8" i="61"/>
  <c r="D8" i="61"/>
  <c r="P9" i="61" s="1"/>
  <c r="C8" i="61"/>
  <c r="B8" i="61"/>
  <c r="O7" i="61"/>
  <c r="J7" i="61"/>
  <c r="G7" i="61"/>
  <c r="C7" i="61"/>
  <c r="B7" i="61"/>
  <c r="J6" i="61"/>
  <c r="G6" i="61"/>
  <c r="D6" i="61"/>
  <c r="P7" i="61" s="1"/>
  <c r="C6" i="61"/>
  <c r="B6" i="61"/>
  <c r="O5" i="61"/>
  <c r="J5" i="61"/>
  <c r="G5" i="61"/>
  <c r="C5" i="61"/>
  <c r="B5" i="61"/>
  <c r="A5" i="61"/>
  <c r="A7" i="61" s="1"/>
  <c r="A9" i="61" s="1"/>
  <c r="A11" i="61" s="1"/>
  <c r="A13" i="61" s="1"/>
  <c r="A15" i="61" s="1"/>
  <c r="A17" i="61" s="1"/>
  <c r="A19" i="61" s="1"/>
  <c r="A21" i="61" s="1"/>
  <c r="A23" i="61" s="1"/>
  <c r="A25" i="61" s="1"/>
  <c r="A27" i="61" s="1"/>
  <c r="A29" i="61" s="1"/>
  <c r="A31" i="61" s="1"/>
  <c r="A33" i="61" s="1"/>
  <c r="A35" i="61" s="1"/>
  <c r="A3" i="57" s="1"/>
  <c r="J4" i="61"/>
  <c r="G4" i="61"/>
  <c r="D4" i="61"/>
  <c r="P5" i="61" s="1"/>
  <c r="C4" i="61"/>
  <c r="B4" i="61"/>
  <c r="A4" i="61"/>
  <c r="A6" i="61" s="1"/>
  <c r="A8" i="61" s="1"/>
  <c r="A10" i="61" s="1"/>
  <c r="A12" i="61" s="1"/>
  <c r="A14" i="61" s="1"/>
  <c r="A16" i="61" s="1"/>
  <c r="A18" i="61" s="1"/>
  <c r="A20" i="61" s="1"/>
  <c r="A22" i="61" s="1"/>
  <c r="A24" i="61" s="1"/>
  <c r="A26" i="61" s="1"/>
  <c r="A28" i="61" s="1"/>
  <c r="A30" i="61" s="1"/>
  <c r="A32" i="61" s="1"/>
  <c r="A34" i="61" s="1"/>
  <c r="A2" i="57" s="1"/>
  <c r="O3" i="61"/>
  <c r="J3" i="61"/>
  <c r="E1" i="88" s="1" a="1"/>
  <c r="G3" i="61"/>
  <c r="C3" i="61"/>
  <c r="B3" i="61"/>
  <c r="J2" i="61"/>
  <c r="G2" i="61"/>
  <c r="D2" i="61"/>
  <c r="P3" i="61" s="1"/>
  <c r="C2" i="61"/>
  <c r="B2" i="61"/>
  <c r="P1" i="61"/>
  <c r="O1" i="61"/>
  <c r="N1" i="61"/>
  <c r="L1" i="61"/>
  <c r="K1" i="61"/>
  <c r="J1" i="61"/>
  <c r="I1" i="61"/>
  <c r="H1" i="61"/>
  <c r="G1" i="61"/>
  <c r="F11" i="58"/>
  <c r="D28" i="60" s="1"/>
  <c r="P29" i="60" s="1"/>
  <c r="D36" i="60"/>
  <c r="P37" i="60" s="1"/>
  <c r="D34" i="60"/>
  <c r="P35" i="60" s="1"/>
  <c r="D32" i="60"/>
  <c r="P33" i="60" s="1"/>
  <c r="D30" i="60"/>
  <c r="P31" i="60" s="1"/>
  <c r="D26" i="60"/>
  <c r="P27" i="60" s="1"/>
  <c r="D24" i="60"/>
  <c r="P25" i="60" s="1"/>
  <c r="D20" i="60"/>
  <c r="P21" i="60" s="1"/>
  <c r="D18" i="60"/>
  <c r="P19" i="60" s="1"/>
  <c r="D14" i="60"/>
  <c r="P15" i="60" s="1"/>
  <c r="D12" i="60"/>
  <c r="P13" i="60" s="1"/>
  <c r="D10" i="60"/>
  <c r="P11" i="60" s="1"/>
  <c r="D8" i="60"/>
  <c r="P9" i="60" s="1"/>
  <c r="D6" i="60"/>
  <c r="P7" i="60" s="1"/>
  <c r="D4" i="60"/>
  <c r="P5" i="60" s="1"/>
  <c r="D2" i="60"/>
  <c r="P3" i="60" s="1"/>
  <c r="O5" i="60"/>
  <c r="O7" i="60"/>
  <c r="O9" i="60"/>
  <c r="O11" i="60"/>
  <c r="O13" i="60"/>
  <c r="O15" i="60"/>
  <c r="O17" i="60"/>
  <c r="O19" i="60"/>
  <c r="O21" i="60"/>
  <c r="O23" i="60"/>
  <c r="O25" i="60"/>
  <c r="O27" i="60"/>
  <c r="O29" i="60"/>
  <c r="O31" i="60"/>
  <c r="O33" i="60"/>
  <c r="O35" i="60"/>
  <c r="O37" i="60"/>
  <c r="O39" i="60"/>
  <c r="M9" i="97" s="1"/>
  <c r="O3" i="60"/>
  <c r="H37" i="60"/>
  <c r="H36" i="60"/>
  <c r="H35" i="60"/>
  <c r="H34" i="60"/>
  <c r="H33" i="60"/>
  <c r="H32" i="60"/>
  <c r="H31" i="60"/>
  <c r="H30" i="60"/>
  <c r="H29" i="60"/>
  <c r="H28" i="60"/>
  <c r="H27" i="60"/>
  <c r="H26" i="60"/>
  <c r="H25" i="60"/>
  <c r="H24" i="60"/>
  <c r="H23" i="60"/>
  <c r="H22" i="60"/>
  <c r="H21" i="60"/>
  <c r="H20" i="60"/>
  <c r="H19" i="60"/>
  <c r="H18" i="60"/>
  <c r="H17" i="60"/>
  <c r="H16" i="60"/>
  <c r="H15" i="60"/>
  <c r="H14" i="60"/>
  <c r="H13" i="60"/>
  <c r="H11" i="60"/>
  <c r="H9" i="60"/>
  <c r="H7" i="60"/>
  <c r="H5" i="60"/>
  <c r="H3" i="60"/>
  <c r="H12" i="60"/>
  <c r="H10" i="60"/>
  <c r="H6" i="60"/>
  <c r="H4" i="60"/>
  <c r="H2" i="60"/>
  <c r="I27" i="60"/>
  <c r="I28" i="60"/>
  <c r="I29" i="60"/>
  <c r="I30" i="60"/>
  <c r="I31" i="60"/>
  <c r="I32" i="60"/>
  <c r="I33" i="60"/>
  <c r="I34" i="60"/>
  <c r="I35" i="60"/>
  <c r="I36" i="60"/>
  <c r="I37" i="60"/>
  <c r="I26" i="60"/>
  <c r="I25" i="60"/>
  <c r="I15" i="60"/>
  <c r="I16" i="60"/>
  <c r="I17" i="60"/>
  <c r="I18" i="60"/>
  <c r="I19" i="60"/>
  <c r="I20" i="60"/>
  <c r="I21" i="60"/>
  <c r="I22" i="60"/>
  <c r="I23" i="60"/>
  <c r="I24" i="60"/>
  <c r="I14" i="60"/>
  <c r="J37" i="60"/>
  <c r="G37" i="60"/>
  <c r="C37" i="60"/>
  <c r="B37" i="60"/>
  <c r="J36" i="60"/>
  <c r="G36" i="60"/>
  <c r="C36" i="60"/>
  <c r="B36" i="60"/>
  <c r="J35" i="60"/>
  <c r="G35" i="60"/>
  <c r="C35" i="60"/>
  <c r="B35" i="60"/>
  <c r="J34" i="60"/>
  <c r="G34" i="60"/>
  <c r="C34" i="60"/>
  <c r="B34" i="60"/>
  <c r="J33" i="60"/>
  <c r="G33" i="60"/>
  <c r="C33" i="60"/>
  <c r="B33" i="60"/>
  <c r="J32" i="60"/>
  <c r="G32" i="60"/>
  <c r="C32" i="60"/>
  <c r="B32" i="60"/>
  <c r="J31" i="60"/>
  <c r="G31" i="60"/>
  <c r="C31" i="60"/>
  <c r="B31" i="60"/>
  <c r="J30" i="60"/>
  <c r="G30" i="60"/>
  <c r="C30" i="60"/>
  <c r="B30" i="60"/>
  <c r="J29" i="60"/>
  <c r="G29" i="60"/>
  <c r="C29" i="60"/>
  <c r="B29" i="60"/>
  <c r="J28" i="60"/>
  <c r="G28" i="60"/>
  <c r="C28" i="60"/>
  <c r="B28" i="60"/>
  <c r="J27" i="60"/>
  <c r="G27" i="60"/>
  <c r="C27" i="60"/>
  <c r="B27" i="60"/>
  <c r="J26" i="60"/>
  <c r="G26" i="60"/>
  <c r="C26" i="60"/>
  <c r="B26" i="60"/>
  <c r="J25" i="60"/>
  <c r="G25" i="60"/>
  <c r="C25" i="60"/>
  <c r="B25" i="60"/>
  <c r="J24" i="60"/>
  <c r="G24" i="60"/>
  <c r="C24" i="60"/>
  <c r="B24" i="60"/>
  <c r="J23" i="60"/>
  <c r="G23" i="60"/>
  <c r="C23" i="60"/>
  <c r="B23" i="60"/>
  <c r="J22" i="60"/>
  <c r="G22" i="60"/>
  <c r="C22" i="60"/>
  <c r="B22" i="60"/>
  <c r="J21" i="60"/>
  <c r="G21" i="60"/>
  <c r="C21" i="60"/>
  <c r="B21" i="60"/>
  <c r="J20" i="60"/>
  <c r="G20" i="60"/>
  <c r="C20" i="60"/>
  <c r="B20" i="60"/>
  <c r="J19" i="60"/>
  <c r="G19" i="60"/>
  <c r="C19" i="60"/>
  <c r="B19" i="60"/>
  <c r="J18" i="60"/>
  <c r="G18" i="60"/>
  <c r="C18" i="60"/>
  <c r="B18" i="60"/>
  <c r="J17" i="60"/>
  <c r="G17" i="60"/>
  <c r="C17" i="60"/>
  <c r="B17" i="60"/>
  <c r="J16" i="60"/>
  <c r="G16" i="60"/>
  <c r="C16" i="60"/>
  <c r="B16" i="60"/>
  <c r="J15" i="60"/>
  <c r="G15" i="60"/>
  <c r="C15" i="60"/>
  <c r="B15" i="60"/>
  <c r="J14" i="60"/>
  <c r="G14" i="60"/>
  <c r="C14" i="60"/>
  <c r="B14" i="60"/>
  <c r="I3" i="60"/>
  <c r="I4" i="60"/>
  <c r="I5" i="60"/>
  <c r="I6" i="60"/>
  <c r="I7" i="60"/>
  <c r="I8" i="60"/>
  <c r="I9" i="60"/>
  <c r="I10" i="60"/>
  <c r="I11" i="60"/>
  <c r="I12" i="60"/>
  <c r="I13" i="60"/>
  <c r="I2" i="60"/>
  <c r="J39" i="60"/>
  <c r="H9" i="97" s="1"/>
  <c r="G39" i="60"/>
  <c r="E9" i="97" s="1"/>
  <c r="C39" i="60"/>
  <c r="B39" i="60"/>
  <c r="A9" i="97" s="1"/>
  <c r="J38" i="60"/>
  <c r="G38" i="60"/>
  <c r="C38" i="60"/>
  <c r="B38" i="60"/>
  <c r="J13" i="60"/>
  <c r="G13" i="60"/>
  <c r="C13" i="60"/>
  <c r="B13" i="60"/>
  <c r="J12" i="60"/>
  <c r="G12" i="60"/>
  <c r="C12" i="60"/>
  <c r="B12" i="60"/>
  <c r="J11" i="60"/>
  <c r="G11" i="60"/>
  <c r="C11" i="60"/>
  <c r="B11" i="60"/>
  <c r="J10" i="60"/>
  <c r="G10" i="60"/>
  <c r="C10" i="60"/>
  <c r="B10" i="60"/>
  <c r="C9" i="60"/>
  <c r="B9" i="60"/>
  <c r="C8" i="60"/>
  <c r="B8" i="60"/>
  <c r="C7" i="60"/>
  <c r="B7" i="60"/>
  <c r="C6" i="60"/>
  <c r="B6" i="60"/>
  <c r="C5" i="60"/>
  <c r="B5" i="60"/>
  <c r="C4" i="60"/>
  <c r="B4" i="60"/>
  <c r="C3" i="60"/>
  <c r="B3" i="60"/>
  <c r="A8" i="97" s="1"/>
  <c r="C2" i="60"/>
  <c r="B2" i="60"/>
  <c r="J9" i="60"/>
  <c r="G9" i="60"/>
  <c r="J8" i="60"/>
  <c r="G8" i="60"/>
  <c r="J7" i="60"/>
  <c r="H8" i="60"/>
  <c r="G7" i="60"/>
  <c r="J6" i="60"/>
  <c r="G6" i="60"/>
  <c r="J5" i="60"/>
  <c r="G5" i="60"/>
  <c r="J4" i="60"/>
  <c r="G4" i="60"/>
  <c r="J3" i="60"/>
  <c r="G3" i="60"/>
  <c r="E8" i="97" s="1"/>
  <c r="J2" i="60"/>
  <c r="G2" i="60"/>
  <c r="P1" i="60"/>
  <c r="O1" i="60"/>
  <c r="N1" i="60"/>
  <c r="L1" i="60"/>
  <c r="K1" i="60"/>
  <c r="J1" i="60"/>
  <c r="I1" i="60"/>
  <c r="H1" i="60"/>
  <c r="G1" i="60"/>
  <c r="E13" i="58"/>
  <c r="F12" i="58"/>
  <c r="F13" i="58"/>
  <c r="F10" i="58"/>
  <c r="D12" i="58"/>
  <c r="E12" i="58" s="1"/>
  <c r="D13" i="58"/>
  <c r="D22" i="60"/>
  <c r="P23" i="60" s="1"/>
  <c r="D11" i="58"/>
  <c r="E11" i="58" s="1"/>
  <c r="D16" i="60" s="1"/>
  <c r="P17" i="60" s="1"/>
  <c r="D10" i="58"/>
  <c r="C9" i="57"/>
  <c r="B9" i="57"/>
  <c r="C8" i="57"/>
  <c r="B8" i="57"/>
  <c r="C7" i="57"/>
  <c r="B7" i="57"/>
  <c r="C6" i="57"/>
  <c r="B6" i="57"/>
  <c r="C5" i="57"/>
  <c r="B5" i="57"/>
  <c r="C4" i="57"/>
  <c r="B4" i="57"/>
  <c r="C3" i="57"/>
  <c r="B3" i="57"/>
  <c r="C2" i="57"/>
  <c r="D4" i="57"/>
  <c r="P5" i="57" s="1"/>
  <c r="D2" i="57"/>
  <c r="P3" i="57" s="1"/>
  <c r="D6" i="57"/>
  <c r="P7" i="57" s="1"/>
  <c r="D8" i="57"/>
  <c r="P9" i="57" s="1"/>
  <c r="H7" i="57"/>
  <c r="H6" i="57"/>
  <c r="O9" i="57"/>
  <c r="J9" i="57"/>
  <c r="G9" i="57"/>
  <c r="J8" i="57"/>
  <c r="G8" i="57"/>
  <c r="O7" i="57"/>
  <c r="J7" i="57"/>
  <c r="G7" i="57"/>
  <c r="J6" i="57"/>
  <c r="G6" i="57"/>
  <c r="O5" i="57"/>
  <c r="J5" i="57"/>
  <c r="G5" i="57"/>
  <c r="J4" i="57"/>
  <c r="G4" i="57"/>
  <c r="O3" i="57"/>
  <c r="J3" i="57"/>
  <c r="G3" i="57"/>
  <c r="J2" i="57"/>
  <c r="G2" i="57"/>
  <c r="B2" i="57"/>
  <c r="P1" i="57"/>
  <c r="O1" i="57"/>
  <c r="N1" i="57"/>
  <c r="L1" i="57"/>
  <c r="K1" i="57"/>
  <c r="J1" i="57"/>
  <c r="I1" i="57"/>
  <c r="H1" i="57"/>
  <c r="G1" i="57"/>
  <c r="R2" i="54"/>
  <c r="B3" i="54"/>
  <c r="B2" i="54"/>
  <c r="A3" i="54"/>
  <c r="A2" i="54"/>
  <c r="N1" i="54"/>
  <c r="M1" i="54"/>
  <c r="L1" i="54"/>
  <c r="K1" i="54"/>
  <c r="J1" i="54"/>
  <c r="I1" i="54"/>
  <c r="H1" i="54"/>
  <c r="G1" i="54"/>
  <c r="F1" i="54"/>
  <c r="E1" i="54"/>
  <c r="H5" i="42"/>
  <c r="C25" i="53"/>
  <c r="C24" i="53"/>
  <c r="C23" i="53"/>
  <c r="C22" i="53"/>
  <c r="C21" i="53"/>
  <c r="C20" i="53"/>
  <c r="C19" i="53"/>
  <c r="C18" i="53"/>
  <c r="C17" i="53"/>
  <c r="C16" i="53"/>
  <c r="C15" i="53"/>
  <c r="C14" i="53"/>
  <c r="C13" i="53"/>
  <c r="C12" i="53"/>
  <c r="C11" i="53"/>
  <c r="C10" i="53"/>
  <c r="C9" i="53"/>
  <c r="C8" i="53"/>
  <c r="C7" i="53"/>
  <c r="C6" i="53"/>
  <c r="C5" i="53"/>
  <c r="C4" i="53"/>
  <c r="C3" i="53"/>
  <c r="C2" i="53"/>
  <c r="F3" i="53"/>
  <c r="F4" i="53"/>
  <c r="F5" i="53"/>
  <c r="F10" i="96" s="1"/>
  <c r="F6" i="53"/>
  <c r="F11" i="96" s="1"/>
  <c r="F7" i="53"/>
  <c r="F8" i="53"/>
  <c r="F9" i="53"/>
  <c r="F24" i="96" s="1"/>
  <c r="F10" i="53"/>
  <c r="F11" i="53"/>
  <c r="F12" i="53"/>
  <c r="F13" i="53"/>
  <c r="F14" i="53"/>
  <c r="F15" i="53"/>
  <c r="F16" i="53"/>
  <c r="F17" i="53"/>
  <c r="F18" i="53"/>
  <c r="F19" i="53"/>
  <c r="F20" i="53"/>
  <c r="F21" i="53"/>
  <c r="F22" i="53"/>
  <c r="F23" i="53"/>
  <c r="F24" i="53"/>
  <c r="F25" i="53"/>
  <c r="F2" i="53"/>
  <c r="M25" i="53"/>
  <c r="H25" i="53"/>
  <c r="G25" i="53"/>
  <c r="E25" i="53"/>
  <c r="B25" i="53"/>
  <c r="A25" i="53"/>
  <c r="M24" i="53"/>
  <c r="H24" i="53"/>
  <c r="G24" i="53"/>
  <c r="E24" i="53"/>
  <c r="A24" i="53"/>
  <c r="M23" i="53"/>
  <c r="H23" i="53"/>
  <c r="G23" i="53"/>
  <c r="E23" i="53"/>
  <c r="B23" i="53"/>
  <c r="A23" i="53"/>
  <c r="M22" i="53"/>
  <c r="H22" i="53"/>
  <c r="G22" i="53"/>
  <c r="E22" i="53"/>
  <c r="B22" i="53"/>
  <c r="A22" i="53"/>
  <c r="M21" i="53"/>
  <c r="H21" i="53"/>
  <c r="G21" i="53"/>
  <c r="E21" i="53"/>
  <c r="B21" i="53"/>
  <c r="A21" i="53"/>
  <c r="M20" i="53"/>
  <c r="H20" i="53"/>
  <c r="G20" i="53"/>
  <c r="E20" i="53"/>
  <c r="B20" i="53"/>
  <c r="A20" i="53"/>
  <c r="M19" i="53"/>
  <c r="H19" i="53"/>
  <c r="G19" i="53"/>
  <c r="E19" i="53"/>
  <c r="N19" i="53" s="1"/>
  <c r="B19" i="53"/>
  <c r="A19" i="53"/>
  <c r="M18" i="53"/>
  <c r="H18" i="53"/>
  <c r="G18" i="53"/>
  <c r="E18" i="53"/>
  <c r="B18" i="53"/>
  <c r="A18" i="53"/>
  <c r="M17" i="53"/>
  <c r="H17" i="53"/>
  <c r="G17" i="53"/>
  <c r="E17" i="53"/>
  <c r="B17" i="53"/>
  <c r="A17" i="53"/>
  <c r="M16" i="53"/>
  <c r="H16" i="53"/>
  <c r="G16" i="53"/>
  <c r="E16" i="53"/>
  <c r="A16" i="53"/>
  <c r="M15" i="53"/>
  <c r="H15" i="53"/>
  <c r="G15" i="53"/>
  <c r="E15" i="53"/>
  <c r="B15" i="53"/>
  <c r="A15" i="53"/>
  <c r="M14" i="53"/>
  <c r="H14" i="53"/>
  <c r="G14" i="53"/>
  <c r="E14" i="53"/>
  <c r="N14" i="53" s="1"/>
  <c r="B14" i="53"/>
  <c r="A14" i="53"/>
  <c r="M13" i="53"/>
  <c r="H13" i="53"/>
  <c r="G13" i="53"/>
  <c r="E13" i="53"/>
  <c r="N13" i="53" s="1"/>
  <c r="B13" i="53"/>
  <c r="A13" i="53"/>
  <c r="M12" i="53"/>
  <c r="H12" i="53"/>
  <c r="G12" i="53"/>
  <c r="E12" i="53"/>
  <c r="B12" i="53"/>
  <c r="A12" i="53"/>
  <c r="M11" i="53"/>
  <c r="H11" i="53"/>
  <c r="G11" i="53"/>
  <c r="E11" i="53"/>
  <c r="B11" i="53"/>
  <c r="A11" i="53"/>
  <c r="M10" i="53"/>
  <c r="H10" i="53"/>
  <c r="G10" i="53"/>
  <c r="E10" i="53"/>
  <c r="B10" i="53"/>
  <c r="A10" i="53"/>
  <c r="M9" i="53"/>
  <c r="M24" i="96" s="1"/>
  <c r="H9" i="53"/>
  <c r="H24" i="96" s="1"/>
  <c r="G9" i="53"/>
  <c r="E9" i="53"/>
  <c r="B9" i="53"/>
  <c r="A9" i="53"/>
  <c r="A24" i="96" s="1"/>
  <c r="M8" i="53"/>
  <c r="H8" i="53"/>
  <c r="G8" i="53"/>
  <c r="E8" i="53"/>
  <c r="N8" i="53" s="1"/>
  <c r="A8" i="53"/>
  <c r="M7" i="53"/>
  <c r="H7" i="53"/>
  <c r="G7" i="53"/>
  <c r="E7" i="53"/>
  <c r="B7" i="53"/>
  <c r="A7" i="53"/>
  <c r="M6" i="53"/>
  <c r="M11" i="96" s="1"/>
  <c r="H6" i="53"/>
  <c r="H11" i="96" s="1"/>
  <c r="G6" i="53"/>
  <c r="E6" i="53"/>
  <c r="B6" i="53"/>
  <c r="A6" i="53"/>
  <c r="A11" i="96" s="1"/>
  <c r="M5" i="53"/>
  <c r="M10" i="96" s="1"/>
  <c r="H5" i="53"/>
  <c r="H10" i="96" s="1"/>
  <c r="G5" i="53"/>
  <c r="E5" i="53"/>
  <c r="B5" i="53"/>
  <c r="B10" i="96" s="1"/>
  <c r="A5" i="53"/>
  <c r="M4" i="53"/>
  <c r="H4" i="53"/>
  <c r="G4" i="53"/>
  <c r="E4" i="53"/>
  <c r="B4" i="53"/>
  <c r="A4" i="53"/>
  <c r="M3" i="53"/>
  <c r="H3" i="53"/>
  <c r="G3" i="53"/>
  <c r="E3" i="53"/>
  <c r="B3" i="53"/>
  <c r="A3" i="53"/>
  <c r="M2" i="53"/>
  <c r="H2" i="53"/>
  <c r="G2" i="53"/>
  <c r="E2" i="53"/>
  <c r="B2" i="53"/>
  <c r="A2" i="53"/>
  <c r="N1" i="53"/>
  <c r="M1" i="53"/>
  <c r="L1" i="53"/>
  <c r="K1" i="53"/>
  <c r="J1" i="53"/>
  <c r="I1" i="53"/>
  <c r="H1" i="53"/>
  <c r="G1" i="53"/>
  <c r="F1" i="53"/>
  <c r="E1" i="53"/>
  <c r="C25" i="52"/>
  <c r="C24" i="52"/>
  <c r="C23" i="52"/>
  <c r="C22" i="52"/>
  <c r="C21" i="52"/>
  <c r="C20" i="52"/>
  <c r="C17" i="52"/>
  <c r="C16" i="52"/>
  <c r="C15" i="52"/>
  <c r="C14" i="52"/>
  <c r="C13" i="52"/>
  <c r="C12" i="52"/>
  <c r="C9" i="52"/>
  <c r="C8" i="52"/>
  <c r="C7" i="52"/>
  <c r="H17" i="42"/>
  <c r="E17" i="42"/>
  <c r="B17" i="42"/>
  <c r="A17" i="42"/>
  <c r="C6" i="52"/>
  <c r="C5" i="52"/>
  <c r="C4" i="52"/>
  <c r="F3" i="52"/>
  <c r="F4" i="52"/>
  <c r="F5" i="52"/>
  <c r="F8" i="96" s="1"/>
  <c r="F6" i="52"/>
  <c r="F9" i="96" s="1"/>
  <c r="F7" i="52"/>
  <c r="F8" i="52"/>
  <c r="F9" i="52"/>
  <c r="F23" i="96" s="1"/>
  <c r="F10" i="52"/>
  <c r="F11" i="52"/>
  <c r="F12" i="52"/>
  <c r="F13" i="52"/>
  <c r="F14" i="52"/>
  <c r="F15" i="52"/>
  <c r="F16" i="52"/>
  <c r="F17" i="52"/>
  <c r="F18" i="52"/>
  <c r="F19" i="52"/>
  <c r="F20" i="52"/>
  <c r="F21" i="52"/>
  <c r="F22" i="52"/>
  <c r="F23" i="52"/>
  <c r="F24" i="52"/>
  <c r="F25" i="52"/>
  <c r="F2" i="52"/>
  <c r="M25" i="52"/>
  <c r="H25" i="52"/>
  <c r="G25" i="52"/>
  <c r="E25" i="52"/>
  <c r="B25" i="52"/>
  <c r="A25" i="52"/>
  <c r="M24" i="52"/>
  <c r="H24" i="52"/>
  <c r="G24" i="52"/>
  <c r="E24" i="52"/>
  <c r="A24" i="52"/>
  <c r="M23" i="52"/>
  <c r="H23" i="52"/>
  <c r="G23" i="52"/>
  <c r="E23" i="52"/>
  <c r="B23" i="52"/>
  <c r="A23" i="52"/>
  <c r="M22" i="52"/>
  <c r="H22" i="52"/>
  <c r="G22" i="52"/>
  <c r="E22" i="52"/>
  <c r="N22" i="52" s="1"/>
  <c r="B22" i="52"/>
  <c r="A22" i="52"/>
  <c r="M21" i="52"/>
  <c r="H21" i="52"/>
  <c r="G21" i="52"/>
  <c r="E21" i="52"/>
  <c r="N21" i="52" s="1"/>
  <c r="B21" i="52"/>
  <c r="A21" i="52"/>
  <c r="M20" i="52"/>
  <c r="H20" i="52"/>
  <c r="G20" i="52"/>
  <c r="E20" i="52"/>
  <c r="B20" i="52"/>
  <c r="A20" i="52"/>
  <c r="H19" i="52"/>
  <c r="G19" i="52"/>
  <c r="E19" i="52"/>
  <c r="B19" i="52"/>
  <c r="A19" i="52"/>
  <c r="M18" i="52"/>
  <c r="H18" i="52"/>
  <c r="G18" i="52"/>
  <c r="E18" i="52"/>
  <c r="N18" i="52" s="1"/>
  <c r="B18" i="52"/>
  <c r="A18" i="52"/>
  <c r="M17" i="52"/>
  <c r="H17" i="52"/>
  <c r="G17" i="52"/>
  <c r="E17" i="52"/>
  <c r="B17" i="52"/>
  <c r="A17" i="52"/>
  <c r="M16" i="52"/>
  <c r="H16" i="52"/>
  <c r="G16" i="52"/>
  <c r="E16" i="52"/>
  <c r="A16" i="52"/>
  <c r="M15" i="52"/>
  <c r="H15" i="52"/>
  <c r="G15" i="52"/>
  <c r="E15" i="52"/>
  <c r="B15" i="52"/>
  <c r="A15" i="52"/>
  <c r="M14" i="52"/>
  <c r="H14" i="52"/>
  <c r="G14" i="52"/>
  <c r="E14" i="52"/>
  <c r="B14" i="52"/>
  <c r="A14" i="52"/>
  <c r="M13" i="52"/>
  <c r="H13" i="52"/>
  <c r="G13" i="52"/>
  <c r="E13" i="52"/>
  <c r="B13" i="52"/>
  <c r="A13" i="52"/>
  <c r="M12" i="52"/>
  <c r="H12" i="52"/>
  <c r="G12" i="52"/>
  <c r="E12" i="52"/>
  <c r="N12" i="52" s="1"/>
  <c r="B12" i="52"/>
  <c r="A12" i="52"/>
  <c r="H11" i="52"/>
  <c r="G11" i="52"/>
  <c r="E11" i="52"/>
  <c r="B11" i="52"/>
  <c r="A11" i="52"/>
  <c r="M10" i="52"/>
  <c r="H10" i="52"/>
  <c r="G10" i="52"/>
  <c r="E10" i="52"/>
  <c r="N10" i="52" s="1"/>
  <c r="B10" i="52"/>
  <c r="A10" i="52"/>
  <c r="M9" i="52"/>
  <c r="M23" i="96" s="1"/>
  <c r="H9" i="52"/>
  <c r="H23" i="96" s="1"/>
  <c r="G9" i="52"/>
  <c r="E9" i="52"/>
  <c r="B9" i="52"/>
  <c r="A9" i="52"/>
  <c r="A23" i="96" s="1"/>
  <c r="M8" i="52"/>
  <c r="H8" i="52"/>
  <c r="G8" i="52"/>
  <c r="E8" i="52"/>
  <c r="A8" i="52"/>
  <c r="M7" i="52"/>
  <c r="H7" i="52"/>
  <c r="G7" i="52"/>
  <c r="E7" i="52"/>
  <c r="B7" i="52"/>
  <c r="A7" i="52"/>
  <c r="M6" i="52"/>
  <c r="M9" i="96" s="1"/>
  <c r="H6" i="52"/>
  <c r="H9" i="96" s="1"/>
  <c r="G6" i="52"/>
  <c r="E6" i="52"/>
  <c r="B6" i="52"/>
  <c r="A6" i="52"/>
  <c r="A9" i="96" s="1"/>
  <c r="M5" i="52"/>
  <c r="M8" i="96" s="1"/>
  <c r="H5" i="52"/>
  <c r="H8" i="96" s="1"/>
  <c r="G5" i="52"/>
  <c r="E5" i="52"/>
  <c r="B5" i="52"/>
  <c r="B8" i="96" s="1"/>
  <c r="A5" i="52"/>
  <c r="M4" i="52"/>
  <c r="H4" i="52"/>
  <c r="G4" i="52"/>
  <c r="E4" i="52"/>
  <c r="N4" i="52" s="1"/>
  <c r="B4" i="52"/>
  <c r="A4" i="52"/>
  <c r="H3" i="52"/>
  <c r="G3" i="52"/>
  <c r="E3" i="52"/>
  <c r="B3" i="52"/>
  <c r="A3" i="52"/>
  <c r="M2" i="52"/>
  <c r="H2" i="52"/>
  <c r="G2" i="52"/>
  <c r="E2" i="52"/>
  <c r="N2" i="52" s="1"/>
  <c r="B2" i="52"/>
  <c r="A2" i="52"/>
  <c r="N1" i="52"/>
  <c r="M1" i="52"/>
  <c r="L1" i="52"/>
  <c r="K1" i="52"/>
  <c r="J1" i="52"/>
  <c r="I1" i="52"/>
  <c r="H1" i="52"/>
  <c r="G1" i="52"/>
  <c r="F1" i="52"/>
  <c r="E1" i="52"/>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2" i="51"/>
  <c r="F3" i="51"/>
  <c r="F4" i="51"/>
  <c r="F5" i="51"/>
  <c r="F6" i="96" s="1"/>
  <c r="F6" i="51"/>
  <c r="F7" i="96" s="1"/>
  <c r="F7" i="51"/>
  <c r="F8" i="51"/>
  <c r="F9" i="51"/>
  <c r="F10" i="51"/>
  <c r="F22" i="96" s="1"/>
  <c r="F11" i="51"/>
  <c r="F12" i="51"/>
  <c r="F13" i="51"/>
  <c r="F14" i="51"/>
  <c r="F15" i="51"/>
  <c r="F16" i="51"/>
  <c r="F17" i="51"/>
  <c r="F18" i="51"/>
  <c r="F19" i="51"/>
  <c r="F20" i="51"/>
  <c r="F21" i="51"/>
  <c r="F22" i="51"/>
  <c r="F23" i="51"/>
  <c r="F24" i="51"/>
  <c r="F25" i="51"/>
  <c r="F26" i="51"/>
  <c r="F27" i="51"/>
  <c r="F28" i="51"/>
  <c r="F2" i="51"/>
  <c r="M28" i="51"/>
  <c r="H28" i="51"/>
  <c r="G28" i="51"/>
  <c r="E28" i="51"/>
  <c r="N28" i="51" s="1"/>
  <c r="B28" i="51"/>
  <c r="A28" i="51"/>
  <c r="M27" i="51"/>
  <c r="H27" i="51"/>
  <c r="G27" i="51"/>
  <c r="E27" i="51"/>
  <c r="N27" i="51" s="1"/>
  <c r="A27" i="51"/>
  <c r="M26" i="51"/>
  <c r="H26" i="51"/>
  <c r="G26" i="51"/>
  <c r="E26" i="51"/>
  <c r="N26" i="51" s="1"/>
  <c r="B26" i="51"/>
  <c r="A26" i="51"/>
  <c r="M25" i="51"/>
  <c r="H25" i="51"/>
  <c r="G25" i="51"/>
  <c r="E25" i="51"/>
  <c r="N25" i="51" s="1"/>
  <c r="B25" i="51"/>
  <c r="A25" i="51"/>
  <c r="M24" i="51"/>
  <c r="H24" i="51"/>
  <c r="G24" i="51"/>
  <c r="E24" i="51"/>
  <c r="N24" i="51" s="1"/>
  <c r="B24" i="51"/>
  <c r="A24" i="51"/>
  <c r="M23" i="51"/>
  <c r="H23" i="51"/>
  <c r="G23" i="51"/>
  <c r="E23" i="51"/>
  <c r="B23" i="51"/>
  <c r="A23" i="51"/>
  <c r="M22" i="51"/>
  <c r="H22" i="51"/>
  <c r="G22" i="51"/>
  <c r="E22" i="51"/>
  <c r="N22" i="51" s="1"/>
  <c r="B22" i="51"/>
  <c r="A22" i="51"/>
  <c r="M21" i="51"/>
  <c r="H21" i="51"/>
  <c r="G21" i="51"/>
  <c r="E21" i="51"/>
  <c r="N21" i="51" s="1"/>
  <c r="B21" i="51"/>
  <c r="A21" i="51"/>
  <c r="M20" i="51"/>
  <c r="H20" i="51"/>
  <c r="G20" i="51"/>
  <c r="E20" i="51"/>
  <c r="N20" i="51" s="1"/>
  <c r="B20" i="51"/>
  <c r="A20" i="51"/>
  <c r="M19" i="51"/>
  <c r="H19" i="51"/>
  <c r="G19" i="51"/>
  <c r="E19" i="51"/>
  <c r="N19" i="51" s="1"/>
  <c r="B19" i="51"/>
  <c r="A19" i="51"/>
  <c r="M18" i="51"/>
  <c r="H18" i="51"/>
  <c r="G18" i="51"/>
  <c r="E18" i="51"/>
  <c r="N18" i="51" s="1"/>
  <c r="A18" i="51"/>
  <c r="M17" i="51"/>
  <c r="H17" i="51"/>
  <c r="G17" i="51"/>
  <c r="E17" i="51"/>
  <c r="N17" i="51" s="1"/>
  <c r="B17" i="51"/>
  <c r="A17" i="51"/>
  <c r="M16" i="51"/>
  <c r="H16" i="51"/>
  <c r="G16" i="51"/>
  <c r="E16" i="51"/>
  <c r="N16" i="51" s="1"/>
  <c r="B16" i="51"/>
  <c r="A16" i="51"/>
  <c r="M15" i="51"/>
  <c r="H15" i="51"/>
  <c r="G15" i="51"/>
  <c r="E15" i="51"/>
  <c r="N15" i="51" s="1"/>
  <c r="B15" i="51"/>
  <c r="A15" i="51"/>
  <c r="M14" i="51"/>
  <c r="H14" i="51"/>
  <c r="G14" i="51"/>
  <c r="E14" i="51"/>
  <c r="N14" i="51" s="1"/>
  <c r="B14" i="51"/>
  <c r="A14" i="51"/>
  <c r="M13" i="51"/>
  <c r="H13" i="51"/>
  <c r="G13" i="51"/>
  <c r="E13" i="51"/>
  <c r="N13" i="51" s="1"/>
  <c r="B13" i="51"/>
  <c r="A13" i="51"/>
  <c r="M12" i="51"/>
  <c r="H12" i="51"/>
  <c r="G12" i="51"/>
  <c r="E12" i="51"/>
  <c r="N12" i="51" s="1"/>
  <c r="B12" i="51"/>
  <c r="A12" i="51"/>
  <c r="M11" i="51"/>
  <c r="H11" i="51"/>
  <c r="G11" i="51"/>
  <c r="E11" i="51"/>
  <c r="N11" i="51" s="1"/>
  <c r="B11" i="51"/>
  <c r="A11" i="51"/>
  <c r="M10" i="51"/>
  <c r="M22" i="96" s="1"/>
  <c r="H10" i="51"/>
  <c r="H22" i="96" s="1"/>
  <c r="G10" i="51"/>
  <c r="E10" i="51"/>
  <c r="B10" i="51"/>
  <c r="A10" i="51"/>
  <c r="A22" i="96" s="1"/>
  <c r="M9" i="51"/>
  <c r="H9" i="51"/>
  <c r="G9" i="51"/>
  <c r="E9" i="51"/>
  <c r="N9" i="51" s="1"/>
  <c r="A9" i="51"/>
  <c r="M8" i="51"/>
  <c r="H8" i="51"/>
  <c r="G8" i="51"/>
  <c r="E8" i="51"/>
  <c r="N8" i="51" s="1"/>
  <c r="B8" i="51"/>
  <c r="A8" i="51"/>
  <c r="M7" i="51"/>
  <c r="H7" i="51"/>
  <c r="G7" i="51"/>
  <c r="E7" i="51"/>
  <c r="B7" i="51"/>
  <c r="A7" i="51"/>
  <c r="M6" i="51"/>
  <c r="M7" i="96" s="1"/>
  <c r="H6" i="51"/>
  <c r="H7" i="96" s="1"/>
  <c r="G6" i="51"/>
  <c r="E6" i="51"/>
  <c r="B6" i="51"/>
  <c r="A6" i="51"/>
  <c r="A7" i="96" s="1"/>
  <c r="M5" i="51"/>
  <c r="M6" i="96" s="1"/>
  <c r="H5" i="51"/>
  <c r="H6" i="96" s="1"/>
  <c r="G5" i="51"/>
  <c r="E5" i="51"/>
  <c r="B5" i="51"/>
  <c r="B6" i="96" s="1"/>
  <c r="A5" i="51"/>
  <c r="M4" i="51"/>
  <c r="H4" i="51"/>
  <c r="G4" i="51"/>
  <c r="E4" i="51"/>
  <c r="N4" i="51" s="1"/>
  <c r="B4" i="51"/>
  <c r="A4" i="51"/>
  <c r="M3" i="51"/>
  <c r="H3" i="51"/>
  <c r="G3" i="51"/>
  <c r="E3" i="51"/>
  <c r="N3" i="51" s="1"/>
  <c r="B3" i="51"/>
  <c r="A3" i="51"/>
  <c r="M2" i="51"/>
  <c r="H2" i="51"/>
  <c r="G2" i="51"/>
  <c r="E2" i="51"/>
  <c r="N2" i="51" s="1"/>
  <c r="B2" i="51"/>
  <c r="A2" i="51"/>
  <c r="N1" i="51"/>
  <c r="M1" i="51"/>
  <c r="L1" i="51"/>
  <c r="K1" i="51"/>
  <c r="J1" i="51"/>
  <c r="I1" i="51"/>
  <c r="H1" i="51"/>
  <c r="G1" i="51"/>
  <c r="F1" i="51"/>
  <c r="E1" i="51"/>
  <c r="H12" i="42"/>
  <c r="E12" i="42"/>
  <c r="A12" i="42"/>
  <c r="G27" i="50"/>
  <c r="G18" i="50"/>
  <c r="C28" i="50"/>
  <c r="C27" i="50"/>
  <c r="C26" i="50"/>
  <c r="C25" i="50"/>
  <c r="C24" i="50"/>
  <c r="C23" i="50"/>
  <c r="C22" i="50"/>
  <c r="C21" i="50"/>
  <c r="C20" i="50"/>
  <c r="C19" i="50"/>
  <c r="C18" i="50"/>
  <c r="C17" i="50"/>
  <c r="C16" i="50"/>
  <c r="C15" i="50"/>
  <c r="C14" i="50"/>
  <c r="C13" i="50"/>
  <c r="C12" i="50"/>
  <c r="C11" i="50"/>
  <c r="M27" i="50"/>
  <c r="H27" i="50"/>
  <c r="F27" i="50"/>
  <c r="E27" i="50"/>
  <c r="A27" i="50"/>
  <c r="M18" i="50"/>
  <c r="H18" i="50"/>
  <c r="F18" i="50"/>
  <c r="E18" i="50"/>
  <c r="N18" i="50" s="1"/>
  <c r="A18" i="50"/>
  <c r="M9" i="50"/>
  <c r="E9" i="50"/>
  <c r="F9" i="50"/>
  <c r="G9" i="50"/>
  <c r="H9" i="50"/>
  <c r="C9" i="50"/>
  <c r="A9" i="50"/>
  <c r="C10" i="50"/>
  <c r="C6" i="50"/>
  <c r="C5" i="50"/>
  <c r="C8" i="50"/>
  <c r="C7" i="50"/>
  <c r="C4" i="50"/>
  <c r="C3" i="50"/>
  <c r="C2" i="50"/>
  <c r="F3" i="50"/>
  <c r="F4" i="50"/>
  <c r="F5" i="50"/>
  <c r="F4" i="96" s="1"/>
  <c r="F6" i="50"/>
  <c r="F5" i="96" s="1"/>
  <c r="F7" i="50"/>
  <c r="F8" i="50"/>
  <c r="F10" i="50"/>
  <c r="F21" i="96" s="1"/>
  <c r="F11" i="50"/>
  <c r="F12" i="50"/>
  <c r="F13" i="50"/>
  <c r="F14" i="50"/>
  <c r="F15" i="50"/>
  <c r="F16" i="50"/>
  <c r="F17" i="50"/>
  <c r="F19" i="50"/>
  <c r="F20" i="50"/>
  <c r="F21" i="50"/>
  <c r="F22" i="50"/>
  <c r="F23" i="50"/>
  <c r="F24" i="50"/>
  <c r="F25" i="50"/>
  <c r="F26" i="50"/>
  <c r="F28" i="50"/>
  <c r="F2" i="50"/>
  <c r="M28" i="50"/>
  <c r="H28" i="50"/>
  <c r="G28" i="50"/>
  <c r="E28" i="50"/>
  <c r="N28" i="50" s="1"/>
  <c r="B28" i="50"/>
  <c r="A28" i="50"/>
  <c r="M26" i="50"/>
  <c r="H26" i="50"/>
  <c r="G26" i="50"/>
  <c r="E26" i="50"/>
  <c r="N26" i="50" s="1"/>
  <c r="B26" i="50"/>
  <c r="A26" i="50"/>
  <c r="M25" i="50"/>
  <c r="H25" i="50"/>
  <c r="G25" i="50"/>
  <c r="E25" i="50"/>
  <c r="N25" i="50" s="1"/>
  <c r="B25" i="50"/>
  <c r="A25" i="50"/>
  <c r="M24" i="50"/>
  <c r="H24" i="50"/>
  <c r="G24" i="50"/>
  <c r="E24" i="50"/>
  <c r="B24" i="50"/>
  <c r="A24" i="50"/>
  <c r="M23" i="50"/>
  <c r="H23" i="50"/>
  <c r="G23" i="50"/>
  <c r="E23" i="50"/>
  <c r="N23" i="50" s="1"/>
  <c r="B23" i="50"/>
  <c r="A23" i="50"/>
  <c r="M22" i="50"/>
  <c r="H22" i="50"/>
  <c r="G22" i="50"/>
  <c r="E22" i="50"/>
  <c r="N22" i="50" s="1"/>
  <c r="B22" i="50"/>
  <c r="A22" i="50"/>
  <c r="M21" i="50"/>
  <c r="H21" i="50"/>
  <c r="G21" i="50"/>
  <c r="E21" i="50"/>
  <c r="B21" i="50"/>
  <c r="A21" i="50"/>
  <c r="M20" i="50"/>
  <c r="H20" i="50"/>
  <c r="G20" i="50"/>
  <c r="E20" i="50"/>
  <c r="N20" i="50" s="1"/>
  <c r="B20" i="50"/>
  <c r="A20" i="50"/>
  <c r="M19" i="50"/>
  <c r="H19" i="50"/>
  <c r="G19" i="50"/>
  <c r="E19" i="50"/>
  <c r="B19" i="50"/>
  <c r="A19" i="50"/>
  <c r="M17" i="50"/>
  <c r="H17" i="50"/>
  <c r="G17" i="50"/>
  <c r="E17" i="50"/>
  <c r="N17" i="50" s="1"/>
  <c r="B17" i="50"/>
  <c r="A17" i="50"/>
  <c r="M16" i="50"/>
  <c r="H16" i="50"/>
  <c r="G16" i="50"/>
  <c r="E16" i="50"/>
  <c r="N16" i="50" s="1"/>
  <c r="B16" i="50"/>
  <c r="A16" i="50"/>
  <c r="M15" i="50"/>
  <c r="H15" i="50"/>
  <c r="G15" i="50"/>
  <c r="E15" i="50"/>
  <c r="N15" i="50" s="1"/>
  <c r="B15" i="50"/>
  <c r="A15" i="50"/>
  <c r="M14" i="50"/>
  <c r="H14" i="50"/>
  <c r="G14" i="50"/>
  <c r="E14" i="50"/>
  <c r="N14" i="50" s="1"/>
  <c r="B14" i="50"/>
  <c r="A14" i="50"/>
  <c r="M13" i="50"/>
  <c r="H13" i="50"/>
  <c r="G13" i="50"/>
  <c r="E13" i="50"/>
  <c r="B13" i="50"/>
  <c r="A13" i="50"/>
  <c r="M12" i="50"/>
  <c r="H12" i="50"/>
  <c r="G12" i="50"/>
  <c r="E12" i="50"/>
  <c r="N12" i="50" s="1"/>
  <c r="B12" i="50"/>
  <c r="A12" i="50"/>
  <c r="M11" i="50"/>
  <c r="H11" i="50"/>
  <c r="G11" i="50"/>
  <c r="E11" i="50"/>
  <c r="B11" i="50"/>
  <c r="A11" i="50"/>
  <c r="M10" i="50"/>
  <c r="M21" i="96" s="1"/>
  <c r="H10" i="50"/>
  <c r="H21" i="96" s="1"/>
  <c r="G10" i="50"/>
  <c r="E10" i="50"/>
  <c r="B10" i="50"/>
  <c r="A10" i="50"/>
  <c r="A21" i="96" s="1"/>
  <c r="M8" i="50"/>
  <c r="H8" i="50"/>
  <c r="G8" i="50"/>
  <c r="E8" i="50"/>
  <c r="N8" i="50" s="1"/>
  <c r="B8" i="50"/>
  <c r="A8" i="50"/>
  <c r="M7" i="50"/>
  <c r="H7" i="50"/>
  <c r="G7" i="50"/>
  <c r="E7" i="50"/>
  <c r="B7" i="50"/>
  <c r="A7" i="50"/>
  <c r="M6" i="50"/>
  <c r="M5" i="96" s="1"/>
  <c r="H6" i="50"/>
  <c r="H5" i="96" s="1"/>
  <c r="G6" i="50"/>
  <c r="E6" i="50"/>
  <c r="B6" i="50"/>
  <c r="A6" i="50"/>
  <c r="A5" i="96" s="1"/>
  <c r="M5" i="50"/>
  <c r="M4" i="96" s="1"/>
  <c r="H5" i="50"/>
  <c r="H4" i="96" s="1"/>
  <c r="G5" i="50"/>
  <c r="E5" i="50"/>
  <c r="B5" i="50"/>
  <c r="B4" i="96" s="1"/>
  <c r="A5" i="50"/>
  <c r="M4" i="50"/>
  <c r="H4" i="50"/>
  <c r="G4" i="50"/>
  <c r="E4" i="50"/>
  <c r="N4" i="50" s="1"/>
  <c r="B4" i="50"/>
  <c r="A4" i="50"/>
  <c r="M3" i="50"/>
  <c r="H3" i="50"/>
  <c r="G3" i="50"/>
  <c r="E3" i="50"/>
  <c r="B3" i="50"/>
  <c r="A3" i="50"/>
  <c r="M2" i="50"/>
  <c r="H2" i="50"/>
  <c r="G2" i="50"/>
  <c r="E2" i="50"/>
  <c r="N2" i="50" s="1"/>
  <c r="B2" i="50"/>
  <c r="A2" i="50"/>
  <c r="N1" i="50"/>
  <c r="M1" i="50"/>
  <c r="L1" i="50"/>
  <c r="K1" i="50"/>
  <c r="J1" i="50"/>
  <c r="I1" i="50"/>
  <c r="H1" i="50"/>
  <c r="G1" i="50"/>
  <c r="F1" i="50"/>
  <c r="E1" i="50"/>
  <c r="M3" i="49"/>
  <c r="M4" i="49"/>
  <c r="M5" i="49"/>
  <c r="M2" i="96" s="1"/>
  <c r="M6" i="49"/>
  <c r="M3" i="96" s="1"/>
  <c r="M7" i="49"/>
  <c r="M8" i="49"/>
  <c r="M9" i="49"/>
  <c r="M20" i="96" s="1"/>
  <c r="M10" i="49"/>
  <c r="M11" i="49"/>
  <c r="M12" i="49"/>
  <c r="M13" i="49"/>
  <c r="M14" i="49"/>
  <c r="M15" i="49"/>
  <c r="M16" i="49"/>
  <c r="M17" i="49"/>
  <c r="M18" i="49"/>
  <c r="M19" i="49"/>
  <c r="M20" i="49"/>
  <c r="M21" i="49"/>
  <c r="M22" i="49"/>
  <c r="M23" i="49"/>
  <c r="M24" i="49"/>
  <c r="M25" i="49"/>
  <c r="M2" i="49"/>
  <c r="H25" i="49"/>
  <c r="G25" i="49"/>
  <c r="F25" i="49"/>
  <c r="E25" i="49"/>
  <c r="C25" i="49"/>
  <c r="B25" i="49"/>
  <c r="A25" i="49"/>
  <c r="H24" i="49"/>
  <c r="G24" i="49"/>
  <c r="F24" i="49"/>
  <c r="E24" i="49"/>
  <c r="C24" i="49"/>
  <c r="B24" i="49"/>
  <c r="A24" i="49"/>
  <c r="H23" i="49"/>
  <c r="G23" i="49"/>
  <c r="F23" i="49"/>
  <c r="E23" i="49"/>
  <c r="C23" i="49"/>
  <c r="B23" i="49"/>
  <c r="A23" i="49"/>
  <c r="H22" i="49"/>
  <c r="G22" i="49"/>
  <c r="F22" i="49"/>
  <c r="E22" i="49"/>
  <c r="C22" i="49"/>
  <c r="B22" i="49"/>
  <c r="A22" i="49"/>
  <c r="H21" i="49"/>
  <c r="G21" i="49"/>
  <c r="F21" i="49"/>
  <c r="E21" i="49"/>
  <c r="N21" i="49" s="1"/>
  <c r="C21" i="49"/>
  <c r="B21" i="49"/>
  <c r="A21" i="49"/>
  <c r="H20" i="49"/>
  <c r="G20" i="49"/>
  <c r="F20" i="49"/>
  <c r="E20" i="49"/>
  <c r="C20" i="49"/>
  <c r="B20" i="49"/>
  <c r="A20" i="49"/>
  <c r="H19" i="49"/>
  <c r="G19" i="49"/>
  <c r="F19" i="49"/>
  <c r="E19" i="49"/>
  <c r="C19" i="49"/>
  <c r="B19" i="49"/>
  <c r="A19" i="49"/>
  <c r="H18" i="49"/>
  <c r="G18" i="49"/>
  <c r="F18" i="49"/>
  <c r="E18" i="49"/>
  <c r="C18" i="49"/>
  <c r="B18" i="49"/>
  <c r="A18" i="49"/>
  <c r="H17" i="49"/>
  <c r="G17" i="49"/>
  <c r="F17" i="49"/>
  <c r="E17" i="49"/>
  <c r="C17" i="49"/>
  <c r="B17" i="49"/>
  <c r="A17" i="49"/>
  <c r="H16" i="49"/>
  <c r="G16" i="49"/>
  <c r="F16" i="49"/>
  <c r="E16" i="49"/>
  <c r="C16" i="49"/>
  <c r="B16" i="49"/>
  <c r="A16" i="49"/>
  <c r="H15" i="49"/>
  <c r="G15" i="49"/>
  <c r="F15" i="49"/>
  <c r="E15" i="49"/>
  <c r="C15" i="49"/>
  <c r="B15" i="49"/>
  <c r="A15" i="49"/>
  <c r="H14" i="49"/>
  <c r="G14" i="49"/>
  <c r="F14" i="49"/>
  <c r="E14" i="49"/>
  <c r="C14" i="49"/>
  <c r="B14" i="49"/>
  <c r="A14" i="49"/>
  <c r="H13" i="49"/>
  <c r="G13" i="49"/>
  <c r="F13" i="49"/>
  <c r="E13" i="49"/>
  <c r="N13" i="49" s="1"/>
  <c r="C13" i="49"/>
  <c r="B13" i="49"/>
  <c r="A13" i="49"/>
  <c r="H12" i="49"/>
  <c r="G12" i="49"/>
  <c r="F12" i="49"/>
  <c r="E12" i="49"/>
  <c r="C12" i="49"/>
  <c r="B12" i="49"/>
  <c r="A12" i="49"/>
  <c r="H11" i="49"/>
  <c r="G11" i="49"/>
  <c r="F11" i="49"/>
  <c r="E11" i="49"/>
  <c r="C11" i="49"/>
  <c r="B11" i="49"/>
  <c r="A11" i="49"/>
  <c r="H10" i="49"/>
  <c r="G10" i="49"/>
  <c r="F10" i="49"/>
  <c r="E10" i="49"/>
  <c r="C10" i="49"/>
  <c r="B10" i="49"/>
  <c r="A10" i="49"/>
  <c r="H9" i="49"/>
  <c r="H20" i="96" s="1"/>
  <c r="G9" i="49"/>
  <c r="F9" i="49"/>
  <c r="F20" i="96" s="1"/>
  <c r="E9" i="49"/>
  <c r="C9" i="49"/>
  <c r="B9" i="49"/>
  <c r="A9" i="49"/>
  <c r="A20" i="96" s="1"/>
  <c r="H8" i="49"/>
  <c r="G8" i="49"/>
  <c r="F8" i="49"/>
  <c r="E8" i="49"/>
  <c r="C8" i="49"/>
  <c r="B8" i="49"/>
  <c r="A8" i="49"/>
  <c r="H7" i="49"/>
  <c r="G7" i="49"/>
  <c r="F7" i="49"/>
  <c r="E7" i="49"/>
  <c r="C7" i="49"/>
  <c r="B7" i="49"/>
  <c r="A7" i="49"/>
  <c r="H6" i="49"/>
  <c r="H3" i="96" s="1"/>
  <c r="G6" i="49"/>
  <c r="F6" i="49"/>
  <c r="F3" i="96" s="1"/>
  <c r="E6" i="49"/>
  <c r="C6" i="49"/>
  <c r="B6" i="49"/>
  <c r="A6" i="49"/>
  <c r="A3" i="96" s="1"/>
  <c r="H5" i="49"/>
  <c r="H2" i="96" s="1"/>
  <c r="G5" i="49"/>
  <c r="F5" i="49"/>
  <c r="F2" i="96" s="1"/>
  <c r="E5" i="49"/>
  <c r="C5" i="49"/>
  <c r="B5" i="49"/>
  <c r="B2" i="96" s="1"/>
  <c r="A5" i="49"/>
  <c r="H4" i="49"/>
  <c r="G4" i="49"/>
  <c r="F4" i="49"/>
  <c r="E4" i="49"/>
  <c r="C4" i="49"/>
  <c r="B4" i="49"/>
  <c r="A4" i="49"/>
  <c r="H3" i="49"/>
  <c r="G3" i="49"/>
  <c r="F3" i="49"/>
  <c r="E3" i="49"/>
  <c r="C3" i="49"/>
  <c r="B3" i="49"/>
  <c r="A3" i="49"/>
  <c r="H2" i="49"/>
  <c r="G2" i="49"/>
  <c r="F2" i="49"/>
  <c r="E2" i="49"/>
  <c r="C2" i="49"/>
  <c r="B2" i="49"/>
  <c r="A2" i="49"/>
  <c r="N1" i="49"/>
  <c r="M1" i="49"/>
  <c r="L1" i="49"/>
  <c r="K1" i="49"/>
  <c r="J1" i="49"/>
  <c r="I1" i="49"/>
  <c r="H1" i="49"/>
  <c r="G1" i="49"/>
  <c r="F1" i="49"/>
  <c r="E1" i="49"/>
  <c r="H4" i="42"/>
  <c r="E4" i="42"/>
  <c r="E5" i="42"/>
  <c r="A10" i="42"/>
  <c r="A6" i="42"/>
  <c r="B6" i="42"/>
  <c r="A5" i="42"/>
  <c r="B4" i="42"/>
  <c r="B5" i="42"/>
  <c r="A4" i="42"/>
  <c r="B2" i="42"/>
  <c r="A2" i="42"/>
  <c r="AA9" i="8" a="1"/>
  <c r="AA7" i="8" a="1"/>
  <c r="AA12" i="8" a="1"/>
  <c r="AA10" i="8" a="1"/>
  <c r="AA8" i="8" a="1"/>
  <c r="E1" i="89" l="1" a="1"/>
  <c r="AA10" i="8"/>
  <c r="AA12" i="8"/>
  <c r="AA7" i="8"/>
  <c r="AA9" i="8"/>
  <c r="AA8" i="8"/>
  <c r="E1" i="88"/>
  <c r="H8" i="97"/>
  <c r="E1" i="90" a="1"/>
  <c r="E1" i="90" s="1"/>
  <c r="N15" i="53"/>
  <c r="N7" i="53"/>
  <c r="N18" i="53"/>
  <c r="N10" i="53"/>
  <c r="N16" i="52"/>
  <c r="N7" i="51"/>
  <c r="N23" i="51"/>
  <c r="N13" i="50"/>
  <c r="N7" i="50"/>
  <c r="N21" i="50"/>
  <c r="N17" i="49"/>
  <c r="N25" i="49"/>
  <c r="M8" i="97"/>
  <c r="N22" i="53"/>
  <c r="N16" i="53"/>
  <c r="N2" i="53"/>
  <c r="N15" i="52"/>
  <c r="N11" i="50"/>
  <c r="N24" i="50"/>
  <c r="N19" i="50"/>
  <c r="N9" i="50"/>
  <c r="N27" i="50"/>
  <c r="N3" i="50"/>
  <c r="N3" i="49"/>
  <c r="N2" i="49"/>
  <c r="N10" i="49"/>
  <c r="N18" i="49"/>
  <c r="N8" i="49"/>
  <c r="N16" i="49"/>
  <c r="N24" i="49"/>
  <c r="N7" i="49"/>
  <c r="N15" i="49"/>
  <c r="N23" i="49"/>
  <c r="N14" i="49"/>
  <c r="N22" i="49"/>
  <c r="N4" i="49"/>
  <c r="N12" i="49"/>
  <c r="N20" i="49"/>
  <c r="N11" i="49"/>
  <c r="N19" i="49"/>
  <c r="N11" i="53"/>
  <c r="N3" i="53"/>
  <c r="N17" i="52"/>
  <c r="N24" i="52"/>
  <c r="N4" i="53"/>
  <c r="N13" i="52"/>
  <c r="N20" i="52"/>
  <c r="N23" i="52"/>
  <c r="N8" i="52"/>
  <c r="N17" i="53"/>
  <c r="N21" i="53"/>
  <c r="N20" i="53"/>
  <c r="N7" i="52"/>
  <c r="N14" i="52"/>
  <c r="N12" i="53"/>
  <c r="N24" i="53"/>
  <c r="N23" i="53"/>
  <c r="N25" i="53"/>
  <c r="N25" i="52"/>
  <c r="N5" i="52"/>
  <c r="E8" i="96"/>
  <c r="N5" i="50"/>
  <c r="E4" i="96"/>
  <c r="N9" i="52"/>
  <c r="N23" i="96" s="1"/>
  <c r="E23" i="96"/>
  <c r="N6" i="49"/>
  <c r="N3" i="96" s="1"/>
  <c r="E3" i="96"/>
  <c r="N5" i="49"/>
  <c r="E2" i="96"/>
  <c r="N5" i="51"/>
  <c r="E6" i="96"/>
  <c r="N6" i="53"/>
  <c r="N11" i="96" s="1"/>
  <c r="E11" i="96"/>
  <c r="N9" i="53"/>
  <c r="N24" i="96" s="1"/>
  <c r="E24" i="96"/>
  <c r="N10" i="51"/>
  <c r="N22" i="96" s="1"/>
  <c r="E22" i="96"/>
  <c r="N6" i="52"/>
  <c r="N9" i="96" s="1"/>
  <c r="E9" i="96"/>
  <c r="N6" i="51"/>
  <c r="N7" i="96" s="1"/>
  <c r="E7" i="96"/>
  <c r="N5" i="53"/>
  <c r="E10" i="96"/>
  <c r="N10" i="50"/>
  <c r="N21" i="96" s="1"/>
  <c r="E21" i="96"/>
  <c r="N9" i="49"/>
  <c r="N20" i="96" s="1"/>
  <c r="E20" i="96"/>
  <c r="N6" i="50"/>
  <c r="N5" i="96" s="1"/>
  <c r="E5" i="96"/>
  <c r="A2" i="88" a="1"/>
  <c r="A2" i="88" s="1"/>
  <c r="A2" i="89" a="1"/>
  <c r="A2" i="89" s="1"/>
  <c r="A2" i="90" a="1"/>
  <c r="A2" i="90" s="1"/>
  <c r="A5" i="57"/>
  <c r="A7" i="57" s="1"/>
  <c r="A9" i="57" s="1"/>
  <c r="A3" i="60" s="1"/>
  <c r="A5" i="60" s="1"/>
  <c r="A7" i="60" s="1"/>
  <c r="A9" i="60" s="1"/>
  <c r="A11" i="60" s="1"/>
  <c r="A13" i="60" s="1"/>
  <c r="A15" i="60" s="1"/>
  <c r="A17" i="60" s="1"/>
  <c r="A19" i="60" s="1"/>
  <c r="A21" i="60" s="1"/>
  <c r="A23" i="60" s="1"/>
  <c r="A25" i="60" s="1"/>
  <c r="A27" i="60" s="1"/>
  <c r="A29" i="60" s="1"/>
  <c r="A31" i="60" s="1"/>
  <c r="A33" i="60" s="1"/>
  <c r="A35" i="60" s="1"/>
  <c r="A37" i="60" s="1"/>
  <c r="A39" i="60" s="1"/>
  <c r="A3" i="70" s="1"/>
  <c r="A5" i="70" s="1"/>
  <c r="A3" i="77" s="1"/>
  <c r="A5" i="77" s="1"/>
  <c r="A7" i="77" s="1"/>
  <c r="A9" i="77" s="1"/>
  <c r="A11" i="77" s="1"/>
  <c r="A13" i="77" s="1"/>
  <c r="A3" i="84" s="1"/>
  <c r="A5" i="84" s="1"/>
  <c r="A7" i="84" s="1"/>
  <c r="A9" i="84" s="1"/>
  <c r="A11" i="84" s="1"/>
  <c r="A13" i="84" s="1"/>
  <c r="A15" i="84" s="1"/>
  <c r="A17" i="84" s="1"/>
  <c r="A19" i="84" s="1"/>
  <c r="A21" i="84" s="1"/>
  <c r="A3" i="85" s="1"/>
  <c r="A5" i="85" s="1"/>
  <c r="A7" i="85" s="1"/>
  <c r="A9" i="85" s="1"/>
  <c r="A11" i="85" s="1"/>
  <c r="A13" i="85" s="1"/>
  <c r="A15" i="85" s="1"/>
  <c r="A17" i="85" s="1"/>
  <c r="A19" i="85" s="1"/>
  <c r="A21" i="85" s="1"/>
  <c r="A23" i="85" s="1"/>
  <c r="A25" i="85" s="1"/>
  <c r="A3" i="87" s="1"/>
  <c r="A5" i="87" s="1"/>
  <c r="A7" i="87" s="1"/>
  <c r="A9" i="87" s="1"/>
  <c r="A3" i="101" s="1"/>
  <c r="A5" i="101" s="1"/>
  <c r="A7" i="101" s="1"/>
  <c r="A9" i="101" s="1"/>
  <c r="A11" i="101" s="1"/>
  <c r="A13" i="101" s="1"/>
  <c r="A15" i="101" s="1"/>
  <c r="A17" i="101" s="1"/>
  <c r="A19" i="101" s="1"/>
  <c r="A21" i="101" s="1"/>
  <c r="A23" i="101" s="1"/>
  <c r="A25" i="101" s="1"/>
  <c r="A3" i="103" s="1"/>
  <c r="A5" i="103" s="1"/>
  <c r="A7" i="103" s="1"/>
  <c r="A9" i="103" s="1"/>
  <c r="A11" i="103" s="1"/>
  <c r="A13" i="103" s="1"/>
  <c r="A15" i="103" s="1"/>
  <c r="A3" i="105" s="1"/>
  <c r="A5" i="105" s="1"/>
  <c r="A7" i="105" s="1"/>
  <c r="A9" i="105" s="1"/>
  <c r="A11" i="105" s="1"/>
  <c r="A13" i="105" s="1"/>
  <c r="A15" i="105" s="1"/>
  <c r="A17" i="105" s="1"/>
  <c r="A4" i="57"/>
  <c r="A6" i="57" s="1"/>
  <c r="A8" i="57" s="1"/>
  <c r="A2" i="60" s="1"/>
  <c r="A4" i="60" s="1"/>
  <c r="A6" i="60" s="1"/>
  <c r="A8" i="60" s="1"/>
  <c r="A10" i="60" s="1"/>
  <c r="A12" i="60" s="1"/>
  <c r="A14" i="60" s="1"/>
  <c r="A16" i="60" s="1"/>
  <c r="A18" i="60" s="1"/>
  <c r="A20" i="60" s="1"/>
  <c r="A22" i="60" s="1"/>
  <c r="A24" i="60" s="1"/>
  <c r="A26" i="60" s="1"/>
  <c r="A28" i="60" s="1"/>
  <c r="A30" i="60" s="1"/>
  <c r="A32" i="60" s="1"/>
  <c r="A34" i="60" s="1"/>
  <c r="A36" i="60" s="1"/>
  <c r="A38" i="60" s="1"/>
  <c r="A2" i="70" s="1"/>
  <c r="A4" i="70" s="1"/>
  <c r="A2" i="77" s="1"/>
  <c r="A4" i="77" s="1"/>
  <c r="A6" i="77" s="1"/>
  <c r="A8" i="77" s="1"/>
  <c r="A10" i="77" s="1"/>
  <c r="A12" i="77" s="1"/>
  <c r="A2" i="84" s="1"/>
  <c r="A4" i="84" s="1"/>
  <c r="A6" i="84" s="1"/>
  <c r="A8" i="84" s="1"/>
  <c r="A10" i="84" s="1"/>
  <c r="A12" i="84" s="1"/>
  <c r="A14" i="84" s="1"/>
  <c r="A16" i="84" s="1"/>
  <c r="A18" i="84" s="1"/>
  <c r="A20" i="84" s="1"/>
  <c r="A2" i="85" s="1"/>
  <c r="A4" i="85" s="1"/>
  <c r="A6" i="85" s="1"/>
  <c r="A8" i="85" s="1"/>
  <c r="A10" i="85" s="1"/>
  <c r="A12" i="85" s="1"/>
  <c r="A14" i="85" s="1"/>
  <c r="A16" i="85" s="1"/>
  <c r="A18" i="85" s="1"/>
  <c r="A20" i="85" s="1"/>
  <c r="A22" i="85" s="1"/>
  <c r="A24" i="85" s="1"/>
  <c r="A2" i="87" s="1"/>
  <c r="A4" i="87" s="1"/>
  <c r="A6" i="87" s="1"/>
  <c r="A8" i="87" s="1"/>
  <c r="A2" i="101" s="1"/>
  <c r="A4" i="101" s="1"/>
  <c r="A6" i="101" s="1"/>
  <c r="A8" i="101" s="1"/>
  <c r="A10" i="101" s="1"/>
  <c r="A12" i="101" s="1"/>
  <c r="A14" i="101" s="1"/>
  <c r="A16" i="101" s="1"/>
  <c r="A18" i="101" s="1"/>
  <c r="A20" i="101" s="1"/>
  <c r="A22" i="101" s="1"/>
  <c r="A24" i="101" s="1"/>
  <c r="A2" i="103" s="1"/>
  <c r="A4" i="103" s="1"/>
  <c r="A6" i="103" s="1"/>
  <c r="A8" i="103" s="1"/>
  <c r="A10" i="103" s="1"/>
  <c r="A12" i="103" s="1"/>
  <c r="A14" i="103" s="1"/>
  <c r="A2" i="105" s="1"/>
  <c r="A4" i="105" s="1"/>
  <c r="A6" i="105" s="1"/>
  <c r="A8" i="105" s="1"/>
  <c r="A10" i="105" s="1"/>
  <c r="A12" i="105" s="1"/>
  <c r="A14" i="105" s="1"/>
  <c r="A16" i="105" s="1"/>
  <c r="L13" i="97"/>
  <c r="L14" i="97"/>
  <c r="L15" i="97"/>
  <c r="L16" i="97"/>
  <c r="L17" i="97"/>
  <c r="L18" i="97"/>
  <c r="L19" i="97"/>
  <c r="L20" i="97"/>
  <c r="L21" i="97"/>
  <c r="L22" i="97"/>
  <c r="L23" i="97"/>
  <c r="L24" i="97"/>
  <c r="L8" i="97"/>
  <c r="E10" i="58"/>
  <c r="L11" i="96"/>
  <c r="L24" i="96"/>
  <c r="L10" i="96"/>
  <c r="L9" i="96"/>
  <c r="L23" i="96"/>
  <c r="L8" i="96"/>
  <c r="L7" i="96"/>
  <c r="L6" i="96"/>
  <c r="L22" i="96"/>
  <c r="L5" i="96"/>
  <c r="L21" i="96"/>
  <c r="L4" i="96"/>
  <c r="L3" i="96"/>
  <c r="L20" i="96"/>
  <c r="L2" i="96"/>
  <c r="AD10" i="8" a="1"/>
  <c r="AD9" i="8" a="1"/>
  <c r="AD8" i="8" a="1"/>
  <c r="AD12" i="8" a="1"/>
  <c r="AD7" i="8" a="1"/>
  <c r="AD7" i="8" l="1"/>
  <c r="C7" i="8" s="1"/>
  <c r="AD12" i="8"/>
  <c r="AD8" i="8"/>
  <c r="C8" i="8" s="1"/>
  <c r="AD9" i="8"/>
  <c r="C9" i="8" s="1"/>
  <c r="AD10" i="8"/>
  <c r="C12" i="8"/>
  <c r="C10" i="8"/>
  <c r="E1" i="89"/>
  <c r="N10" i="96"/>
  <c r="N6" i="96"/>
  <c r="N4" i="96"/>
  <c r="N2" i="96"/>
  <c r="N8" i="96"/>
  <c r="O39" i="46" l="1"/>
  <c r="O27" i="46" s="1"/>
  <c r="O8" i="46"/>
  <c r="O9" i="46" s="1"/>
  <c r="O5" i="46"/>
  <c r="N1" i="42" l="1"/>
  <c r="M1" i="42"/>
  <c r="K1" i="42"/>
  <c r="E1" i="42"/>
  <c r="L1" i="42"/>
  <c r="J1" i="42"/>
  <c r="I1" i="42"/>
  <c r="H1" i="42"/>
  <c r="G1" i="42"/>
  <c r="F1" i="42"/>
  <c r="C11" i="8"/>
  <c r="G12" i="42" l="1"/>
  <c r="G57" i="66"/>
  <c r="G22" i="67"/>
  <c r="G17" i="42"/>
  <c r="G56" i="66"/>
  <c r="I34" i="61"/>
  <c r="I35" i="61"/>
  <c r="I21" i="61"/>
  <c r="I20" i="61"/>
  <c r="I7" i="57"/>
  <c r="I2" i="61"/>
  <c r="I9" i="57"/>
  <c r="I2" i="57"/>
  <c r="I33" i="61"/>
  <c r="G24" i="97" s="1"/>
  <c r="I29" i="61"/>
  <c r="G22" i="97" s="1"/>
  <c r="I25" i="61"/>
  <c r="G20" i="97" s="1"/>
  <c r="I19" i="61"/>
  <c r="G18" i="97" s="1"/>
  <c r="I15" i="61"/>
  <c r="G16" i="97" s="1"/>
  <c r="I11" i="61"/>
  <c r="G14" i="97" s="1"/>
  <c r="I7" i="61"/>
  <c r="I4" i="57"/>
  <c r="I6" i="57"/>
  <c r="I30" i="61"/>
  <c r="I26" i="61"/>
  <c r="I22" i="61"/>
  <c r="I16" i="61"/>
  <c r="I12" i="61"/>
  <c r="I8" i="61"/>
  <c r="I4" i="61"/>
  <c r="I3" i="61"/>
  <c r="I8" i="57"/>
  <c r="I31" i="61"/>
  <c r="G23" i="97" s="1"/>
  <c r="I27" i="61"/>
  <c r="G21" i="97" s="1"/>
  <c r="I23" i="61"/>
  <c r="G19" i="97" s="1"/>
  <c r="I17" i="61"/>
  <c r="G17" i="97" s="1"/>
  <c r="I13" i="61"/>
  <c r="G15" i="97" s="1"/>
  <c r="I9" i="61"/>
  <c r="G13" i="97" s="1"/>
  <c r="I5" i="61"/>
  <c r="I39" i="60"/>
  <c r="I3" i="57"/>
  <c r="I38" i="60"/>
  <c r="I5" i="57"/>
  <c r="I32" i="61"/>
  <c r="I28" i="61"/>
  <c r="I24" i="61"/>
  <c r="I18" i="61"/>
  <c r="I14" i="61"/>
  <c r="I10" i="61"/>
  <c r="I6" i="61"/>
  <c r="G9" i="9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<sst xmlns="http://schemas.openxmlformats.org/spreadsheetml/2006/main" count="20040" uniqueCount="1675">
  <si>
    <t>Niveau d'aggrégation</t>
  </si>
  <si>
    <t>Liste des produits</t>
  </si>
  <si>
    <t>Contraintes de conservation de la masse</t>
  </si>
  <si>
    <t>Remarque</t>
  </si>
  <si>
    <t>Hypothèse</t>
  </si>
  <si>
    <t>Zone filière</t>
  </si>
  <si>
    <t>Liste des secteurs</t>
  </si>
  <si>
    <t>Débouchés</t>
  </si>
  <si>
    <t>Alimentation humaine</t>
  </si>
  <si>
    <t>Vente directe et autoconsommation</t>
  </si>
  <si>
    <t>GMS</t>
  </si>
  <si>
    <t>RHD</t>
  </si>
  <si>
    <t>Origine</t>
  </si>
  <si>
    <t>Destination</t>
  </si>
  <si>
    <t>Valeur</t>
  </si>
  <si>
    <t>Unité</t>
  </si>
  <si>
    <t>Incertitude</t>
  </si>
  <si>
    <t>Source</t>
  </si>
  <si>
    <t>kt</t>
  </si>
  <si>
    <t>Identifiant</t>
  </si>
  <si>
    <t>Equation d'égalité (eq = 0)</t>
  </si>
  <si>
    <t>Equation d'inégalité borne haute (eq &lt;= 0)</t>
  </si>
  <si>
    <t>Equation d'inégalité borne basse (eq &gt;= 0)</t>
  </si>
  <si>
    <t>Traduction</t>
  </si>
  <si>
    <t>Nom du groupe d'étiquette</t>
  </si>
  <si>
    <t>Type d'étiquette</t>
  </si>
  <si>
    <t>Etiquette</t>
  </si>
  <si>
    <t>Palette visible</t>
  </si>
  <si>
    <t>Palette de couleur</t>
  </si>
  <si>
    <t>Couleur</t>
  </si>
  <si>
    <t>Utilité</t>
  </si>
  <si>
    <t>nodeTags</t>
  </si>
  <si>
    <t>Type de matière</t>
  </si>
  <si>
    <t>dataTags</t>
  </si>
  <si>
    <t>Permet d'afficher le diagramme pour la période sélectionnée.</t>
  </si>
  <si>
    <t>fluxTags</t>
  </si>
  <si>
    <t>Usages alimentaires</t>
  </si>
  <si>
    <t>Alimentation animale</t>
  </si>
  <si>
    <t>Ménages</t>
  </si>
  <si>
    <t>Circuits généralistes</t>
  </si>
  <si>
    <t>Circuits spécialisés</t>
  </si>
  <si>
    <t>Autres IAA</t>
  </si>
  <si>
    <t>Alimentation animale rente</t>
  </si>
  <si>
    <t>Petfood</t>
  </si>
  <si>
    <t>Aquaculture</t>
  </si>
  <si>
    <t>Usages non-alimentaires</t>
  </si>
  <si>
    <t>Biomatériaux</t>
  </si>
  <si>
    <t>Energie</t>
  </si>
  <si>
    <t>Fertilisation</t>
  </si>
  <si>
    <t>Autres industries</t>
  </si>
  <si>
    <t>Statistique agricole annuelle par région administrative : séries 2010 - 2023</t>
  </si>
  <si>
    <t>Les superficies développées sont exprimées en hectare, les productions récoltées en quintal et les rendements en quintal par hectare.</t>
  </si>
  <si>
    <t>Données arrêtées au 22/10/2024. Données 2023 définitives.</t>
  </si>
  <si>
    <t>Source : Agreste - Statistique agricole annuelle - SSP/ Ministère en charge de l'agriculture</t>
  </si>
  <si>
    <t>LIB_REG2</t>
  </si>
  <si>
    <t>LIB_SAA</t>
  </si>
  <si>
    <t>PROD_2015</t>
  </si>
  <si>
    <t>PROD_2019</t>
  </si>
  <si>
    <t>PROD_2023</t>
  </si>
  <si>
    <t>FRANCE MÉTROPOLITAINE</t>
  </si>
  <si>
    <t>29 - Colza grain d'hiver</t>
  </si>
  <si>
    <t>30 - Colza grain de printemps et navette</t>
  </si>
  <si>
    <t>31 - Total colza grain et navette (29 + 30)</t>
  </si>
  <si>
    <t>32 - Tournesol</t>
  </si>
  <si>
    <t>33 - Soja</t>
  </si>
  <si>
    <t>34 - Lin oléagineux</t>
  </si>
  <si>
    <t>35 - Autres oléagineux (hors chanvre)</t>
  </si>
  <si>
    <t>36 - Total oléagineux (31 + … + 35)</t>
  </si>
  <si>
    <t>37 - Légumes à cosse d'origine tropicale</t>
  </si>
  <si>
    <t>38 - Féveroles et fèves</t>
  </si>
  <si>
    <t>39 - Haricots secs (y compris semences)</t>
  </si>
  <si>
    <t>40 - Lentilles (y compris semences)</t>
  </si>
  <si>
    <t>41 - Pois protéagineux</t>
  </si>
  <si>
    <t>42 - Mélange de pois</t>
  </si>
  <si>
    <t>43 - Pois chiches (y compris semences)</t>
  </si>
  <si>
    <t>44 - Lupin doux</t>
  </si>
  <si>
    <t>45 - Autres protéagineux</t>
  </si>
  <si>
    <t>46 - Total protéagineux et légumes secs cultivés pour leur graine (37 + … + 45)</t>
  </si>
  <si>
    <t>97 - DOM</t>
  </si>
  <si>
    <t>Produits étudiés dans la filière</t>
  </si>
  <si>
    <t>Colza</t>
  </si>
  <si>
    <t>Tournesol</t>
  </si>
  <si>
    <t>Soja</t>
  </si>
  <si>
    <t>Lin</t>
  </si>
  <si>
    <t>Féverole</t>
  </si>
  <si>
    <t>Haricots secs</t>
  </si>
  <si>
    <t>Lentilles</t>
  </si>
  <si>
    <t>Pois</t>
  </si>
  <si>
    <t>Pois chiches</t>
  </si>
  <si>
    <t>Lupin</t>
  </si>
  <si>
    <t>Série historique de la collecte,des stocks jusqu'à fin décembre 2024 par campagne</t>
  </si>
  <si>
    <t/>
  </si>
  <si>
    <t>Données arrêtées au 07/02/2025</t>
  </si>
  <si>
    <t>ESPECES</t>
  </si>
  <si>
    <t>ANNEE</t>
  </si>
  <si>
    <t>CAMPAGNE</t>
  </si>
  <si>
    <t>MOIS</t>
  </si>
  <si>
    <t>GRAINS
CONSOMMATION</t>
  </si>
  <si>
    <t>COLLECTE
SEMENCES</t>
  </si>
  <si>
    <t>TOTAL
COLLECTE</t>
  </si>
  <si>
    <t>STOCKS
CONSOMMATION</t>
  </si>
  <si>
    <t>STOCKS
SEMENCES</t>
  </si>
  <si>
    <t>TOTAL
STOCKS</t>
  </si>
  <si>
    <t>STOCKS
DEPOTS</t>
  </si>
  <si>
    <t>ENTREES
DEPOTS</t>
  </si>
  <si>
    <t>SORTIES
DEPOTS</t>
  </si>
  <si>
    <t>REPRISE
DEPOTS</t>
  </si>
  <si>
    <t>2000/01</t>
  </si>
  <si>
    <t>2003/04</t>
  </si>
  <si>
    <t>2008/09</t>
  </si>
  <si>
    <t>2001/02</t>
  </si>
  <si>
    <t>2002/03</t>
  </si>
  <si>
    <t>2004/05</t>
  </si>
  <si>
    <t>2005/06</t>
  </si>
  <si>
    <t>2006/07</t>
  </si>
  <si>
    <t>2007/08</t>
  </si>
  <si>
    <t>2009/10</t>
  </si>
  <si>
    <t>2010/11</t>
  </si>
  <si>
    <t>2011/12</t>
  </si>
  <si>
    <t>2012/13</t>
  </si>
  <si>
    <t>2013/14</t>
  </si>
  <si>
    <t>2014/15</t>
  </si>
  <si>
    <t>2015/16</t>
  </si>
  <si>
    <t>2016/17</t>
  </si>
  <si>
    <t>2017/18</t>
  </si>
  <si>
    <t>2018/19</t>
  </si>
  <si>
    <t>2019/20</t>
  </si>
  <si>
    <t>Pois chiche</t>
  </si>
  <si>
    <t>2020/21</t>
  </si>
  <si>
    <t>2021/22</t>
  </si>
  <si>
    <t>2022/23</t>
  </si>
  <si>
    <t>2023/24</t>
  </si>
  <si>
    <t>2024/25</t>
  </si>
  <si>
    <t xml:space="preserve">Collecte : grains achetés par les collecteurs aux producteurs, y compris semences et bio	</t>
  </si>
  <si>
    <t>Depuis 2012 la collecte départementale est déclarée à partir du département de la commune du siège de l''exploitation de production au lieu du département du silo de collecte.</t>
  </si>
  <si>
    <t>Stocks : propriété du collecteur, que les silos lui appartiennent ou non</t>
  </si>
  <si>
    <t>Sauf stocks dépôt : stocks de grains achetés aux producteurs dans les silos du collecteur et appartenant toujours au livreur</t>
  </si>
  <si>
    <t>Entrées dépôt : quantités de grains apportés en dépôt chez les collecteurs, mais restant la propriété du livreur</t>
  </si>
  <si>
    <t>Sorties dépôt : quantités de grains en dépôts qui deviennent la propriété du collecteur</t>
  </si>
  <si>
    <t>Campagnes n/n+1 : de juillet n à juin n+1 et Unité : en tonnes</t>
  </si>
  <si>
    <t>Juin : collecte et stocks de la récolte n uniquement (stock de fin de campagne) en cohérence avec les bilans de campagne</t>
  </si>
  <si>
    <t>Juillet : collecte de la récolte précoce n+1 réaliséee juin inclue en cohérence avec les bilans de campagne</t>
  </si>
  <si>
    <t>Chiffres provisoires arrêtés le 07/02/2025</t>
  </si>
  <si>
    <t>17 - Olive</t>
  </si>
  <si>
    <t>Série historique grains mis en oeuvre par les fabricants d'aliments du bétail pour animaux en France</t>
  </si>
  <si>
    <t>Données arrêtées au 21/01/2025</t>
  </si>
  <si>
    <t>LIB</t>
  </si>
  <si>
    <t>ESPECE</t>
  </si>
  <si>
    <t>GRAINS MIS OEUVRE</t>
  </si>
  <si>
    <t>STOCKS</t>
  </si>
  <si>
    <t>LEGUMINEUSES</t>
  </si>
  <si>
    <t>Unité : en tonnes</t>
  </si>
  <si>
    <t>Chiffres arrêtés le 21/01/2025</t>
  </si>
  <si>
    <t>Source : FranceAgriMer, Unité Système d'information économique - Etat-13</t>
  </si>
  <si>
    <t>OLEAGINEUX</t>
  </si>
  <si>
    <t>INFORMATIONS SOURCE</t>
  </si>
  <si>
    <t>Données</t>
  </si>
  <si>
    <t>Ratio issues de silo des oléoprotéagineux</t>
  </si>
  <si>
    <t>Période</t>
  </si>
  <si>
    <t>Territoire</t>
  </si>
  <si>
    <t>France</t>
  </si>
  <si>
    <t xml:space="preserve">Pertes alimentaires dans la filière protéagineuse - Gérard Duc, Marc Anton, Alain Baranger, Véronique Biarnès, Julia Buitink, et al.. Pertes alimentaires dans la filière protéagineuse. Innovations Agronomiques, INRAE, 2015, 48, pp.127-141. ET "Pertes alimentaires dans la filière oléagineuse" - F. Fine, J.L Lucas, Jean-Michel Chardigny, Barbara Redlingshofer, Michel M. Renard. </t>
  </si>
  <si>
    <t>Fournie par</t>
  </si>
  <si>
    <t>TerriFlux</t>
  </si>
  <si>
    <t>"Pertes alimentaires dans la filière protéagineuse" - Gérard Duc, Marc Anton, Alain Baranger, Véronique Biarnès, Julia Buitink, et al.. Pertes alimentaires dans la filière protéagineuse. Innovations Agronomiques, INRAE, 2015, 48, pp.127-141.
ff10.15454/1.4622740546392378E12ff. ffhal-02633195f</t>
  </si>
  <si>
    <t>Toutes années</t>
  </si>
  <si>
    <t>Ecarts tri collecte</t>
  </si>
  <si>
    <t>"Pertes alimentaires dans la filière oléagineuse" - F. Fine, J.L Lucas, Jean-Michel Chardigny, Barbara Redlingshofer, Michel M. Renard. Pertes alimentaires dans la filière oléagineuse. Innovations Agronomiques, 2015, 48, pp.97-114.
ff10.15454/1.4622709266161074E12ff. ffhal-02629820f</t>
  </si>
  <si>
    <t>Etude Pertes et gaspillages</t>
  </si>
  <si>
    <t>Part de surface utilisant des semences certifiées, fermières ou les 2</t>
  </si>
  <si>
    <t>Agreste - SSP</t>
  </si>
  <si>
    <t>Origine de la semence (ou du plant pour la pomme de terre)</t>
  </si>
  <si>
    <t>Part de surface, en %</t>
  </si>
  <si>
    <t>Espèce</t>
  </si>
  <si>
    <t>Semence certifiée</t>
  </si>
  <si>
    <t>Mélange dans le semoir de semences certifiées et de ferme</t>
  </si>
  <si>
    <t>Semence de ferme</t>
  </si>
  <si>
    <t>Blé tendre</t>
  </si>
  <si>
    <t>Blé dur</t>
  </si>
  <si>
    <t>Orge</t>
  </si>
  <si>
    <t>Triticale</t>
  </si>
  <si>
    <t>Pois protéagineux</t>
  </si>
  <si>
    <t>Maïs fourrage</t>
  </si>
  <si>
    <t>Maïs grain</t>
  </si>
  <si>
    <t>Pomme de terre</t>
  </si>
  <si>
    <t>Lin Oléagineux</t>
  </si>
  <si>
    <t>Source : SSP - Agreste - Enquête Pratiques culturales en grandes cultures 2017</t>
  </si>
  <si>
    <t>Données extraites le17/02/2025 12:51:58 depuis [ESTAT]</t>
  </si>
  <si>
    <t xml:space="preserve">Dataset: </t>
  </si>
  <si>
    <t>Production vendue, exportations et importations [ds-056120__custom_15447409]</t>
  </si>
  <si>
    <t>Dernière mise à jour:</t>
  </si>
  <si>
    <t>06/02/2025 11:00</t>
  </si>
  <si>
    <t>Fréquence</t>
  </si>
  <si>
    <t>Annual</t>
  </si>
  <si>
    <t>DECL</t>
  </si>
  <si>
    <t>INDICATORS</t>
  </si>
  <si>
    <t>PRODQNT</t>
  </si>
  <si>
    <t>TIME</t>
  </si>
  <si>
    <t>2015</t>
  </si>
  <si>
    <t>2019</t>
  </si>
  <si>
    <t>2023</t>
  </si>
  <si>
    <t>PRCCODE (Codes)</t>
  </si>
  <si>
    <t>PRCCODE (Libellés)</t>
  </si>
  <si>
    <t>10391770</t>
  </si>
  <si>
    <t>Olives, non congelées, conservées autrement qu’au vinaigre ou à l’acide acétique (à l’exclusion des plats préparés et des olives séchées)</t>
  </si>
  <si>
    <t>10412100</t>
  </si>
  <si>
    <t>Huile de soja brute et ses fractions (non chimiquement modifiées)</t>
  </si>
  <si>
    <t>:</t>
  </si>
  <si>
    <t>10412110</t>
  </si>
  <si>
    <t>Huile d’arachide brute et ses fractions (non chimiquement modifiées)</t>
  </si>
  <si>
    <t>10412200</t>
  </si>
  <si>
    <t>10412210</t>
  </si>
  <si>
    <t>Huile d’olive vierge et ses fractions (non chimiquement modifiées)</t>
  </si>
  <si>
    <t>10412220</t>
  </si>
  <si>
    <t>Huiles brutes et leurs fractions obtenues exclusivement à partir d’olives, y compris les mélanges de ces huiles avec des huiles d’olive vierges raffinées (à l’exclusion de l’huile d’olive vierge et des huiles chimiquement modifiées)</t>
  </si>
  <si>
    <t>10412221</t>
  </si>
  <si>
    <t>Huile de grignons d’olive brute et ses fractions non chimiquement modifiées, y compris les mélanges de cette huile avec de l’huile d’olive vierge ou ses fractions (à l’exclusion de l’huile d’olive vierge)</t>
  </si>
  <si>
    <t>10412300</t>
  </si>
  <si>
    <t>Huiles de tournesol et de carthame brutes et leurs fractions (non chimiquement modifiées)</t>
  </si>
  <si>
    <t>10412310</t>
  </si>
  <si>
    <t>10412330</t>
  </si>
  <si>
    <t>10412400</t>
  </si>
  <si>
    <t>10412410</t>
  </si>
  <si>
    <t>Huiles de navette, de colza et de moutarde brutes et leurs fractions (non chimiquement modifiées)</t>
  </si>
  <si>
    <t>10412500</t>
  </si>
  <si>
    <t>Huile de coton brute et ses fractions (non chimiquement modifiées)</t>
  </si>
  <si>
    <t>10412510</t>
  </si>
  <si>
    <t>Huile de palme brute et ses fractions (non chimiquement modifiées)</t>
  </si>
  <si>
    <t>10412600</t>
  </si>
  <si>
    <t>10412700</t>
  </si>
  <si>
    <t>10412800</t>
  </si>
  <si>
    <t>Huile de coco (coprah) brute et ses fractions (non chimiquement modifiées)</t>
  </si>
  <si>
    <t>10412900</t>
  </si>
  <si>
    <t>Autres huiles végétales brutes (non chimiquement modifiées)</t>
  </si>
  <si>
    <t>10412910</t>
  </si>
  <si>
    <t>10414130</t>
  </si>
  <si>
    <t>Tourteaux et autres résidus solides de l’extraction de l’huile de soja</t>
  </si>
  <si>
    <t>10414150</t>
  </si>
  <si>
    <t>Tourteaux et autres résidus solides de l’extraction de l’huile de tournesol</t>
  </si>
  <si>
    <t>10414170</t>
  </si>
  <si>
    <t>Tourteaux et autres résidus solides de l’extraction de l’huile de navette et de colza</t>
  </si>
  <si>
    <t>10414190</t>
  </si>
  <si>
    <t>Tourteaux et autres résidus solides de l’extraction de graisses et d’huiles végétales, y compris les graisses et huiles de coton, de lin, de noix de coco (coprah), de noix de palmiste et d’amande de palmiste, mais à l’exclusion des graisses et huiles de soja, de tournesol, de navette et de colza</t>
  </si>
  <si>
    <t>10414200</t>
  </si>
  <si>
    <t>Farines et poudres de graines ou de fruits oléagineux (à l’exclusion de la moutarde)</t>
  </si>
  <si>
    <t>10415100</t>
  </si>
  <si>
    <t>Huile de soja raffinée et ses fractions (non chimiquement modifiées)</t>
  </si>
  <si>
    <t>10415200</t>
  </si>
  <si>
    <t>Huile d’arachide raffinée et fractions (non chimiquement modifiées)</t>
  </si>
  <si>
    <t>10415310</t>
  </si>
  <si>
    <t>Huile d’olive raffinée et fractions (non chimiquement modifiées)</t>
  </si>
  <si>
    <t>10415330</t>
  </si>
  <si>
    <t>Huiles brutes et leurs fractions, obtenues exclusivement à partir d’olives, y compris les mélanges de ces huiles avec des huiles d’olive vierges raffinées (à l’exclusion des huiles brutes, de l’huile d’olive vierge et des huiles chimiquement modifiées)</t>
  </si>
  <si>
    <t>10415331</t>
  </si>
  <si>
    <t>Autres huiles et leurs fractions obtenues exclusivement à partir d’olives non chimiquement modifiées, y compris les mélanges de ces huiles avec de l’huile d’olive vierge ou ses fractions (à l’exclusion de l’huile de grignons d’olive brute et de l’huile d’olive vierge)</t>
  </si>
  <si>
    <t>10415400</t>
  </si>
  <si>
    <t>Huiles de tournesol et de carthame et leurs fractions, raffinées (non chimiquement modifiées)</t>
  </si>
  <si>
    <t>10415500</t>
  </si>
  <si>
    <t>Huile de coton et ses fractions, raffinées (non chimiquement modifiées)</t>
  </si>
  <si>
    <t>10415600</t>
  </si>
  <si>
    <t>Huile de navette, de colza, de moutarde et leurs fractions (non chimiquement modifiées)</t>
  </si>
  <si>
    <t>10415700</t>
  </si>
  <si>
    <t>Huile de palme et ses fractions, raffinées (non chimiquement modifiées)</t>
  </si>
  <si>
    <t>10415800</t>
  </si>
  <si>
    <t>Huile de coco (coprah) et ses fractions (non chimiquement modifiées)</t>
  </si>
  <si>
    <t>10415900</t>
  </si>
  <si>
    <t>Autres huiles et leurs fractions, raffinées, non chimiquement modifiées; autres graisses et huiles végétales fixes (à l’exclusion de l’huile de maïs) et leurs fractions n.c.a., raffinées, non chimiquement modifiées</t>
  </si>
  <si>
    <t>10416050</t>
  </si>
  <si>
    <t>Graisses et huiles végétales et leurs fractions, partiellement ou totalement hydrogénées, interestérifiées, réestérifiées ou élaïdinisées, même raffinées</t>
  </si>
  <si>
    <t>10417100</t>
  </si>
  <si>
    <t>Cires végétales, y compris raffinées (à l’exclusion des triglycérides)</t>
  </si>
  <si>
    <t>10417200</t>
  </si>
  <si>
    <t>Dégras; résidus provenant du traitement des corps gras ou des cires animales ou végétales</t>
  </si>
  <si>
    <t>10621119</t>
  </si>
  <si>
    <t>Autres amidons et fécules, y compris de riz, de manioc, d’arrow-root et de salep (à l’exclusion du froment {blé}, du maïs et des pommes de terre)</t>
  </si>
  <si>
    <t>10622000</t>
  </si>
  <si>
    <t>Résidus de l’amidonnerie et résidus similaires</t>
  </si>
  <si>
    <t>Valeur spéciale</t>
  </si>
  <si>
    <t>Non disponible</t>
  </si>
  <si>
    <t>17/02/2025 11:00</t>
  </si>
  <si>
    <t>REPORTER</t>
  </si>
  <si>
    <t>France (incl. Saint-Barthélemy 'BL' -&gt; 2012; incl. Guyane française 'GF', Guadeloupe 'GP', Martinique 'MQ', Réunion 'RE' depuis 1997; incl. Mayotte 'YT' depuis 2014)</t>
  </si>
  <si>
    <t>PARTNER</t>
  </si>
  <si>
    <t>Tous les pays du monde</t>
  </si>
  <si>
    <t>QUANTITY_IN_100KG</t>
  </si>
  <si>
    <t>FLOW (Libellés)</t>
  </si>
  <si>
    <t>IMPORTATION</t>
  </si>
  <si>
    <t>EXPORTATION</t>
  </si>
  <si>
    <t>PRODUCT (Codes)</t>
  </si>
  <si>
    <t>PRODUCT (Libellés)</t>
  </si>
  <si>
    <t>07099210</t>
  </si>
  <si>
    <t>Olives, à l’état frais ou réfrigéré (à l'excl. des olives pour la production de l’huile)</t>
  </si>
  <si>
    <t>07099290</t>
  </si>
  <si>
    <t>Olives, à l’état frais ou réfrigéré, pour la production de l’huile</t>
  </si>
  <si>
    <t>07112010</t>
  </si>
  <si>
    <t>Olives (autres que pour la production de l'huile), conservées provisoirement {p.ex. au moyen de gaz sulfureux ou dans de l'eau salée, soufrée ou additionnée d'autres substances servant à assurer provisoirement leur conservation}, mais impropres à l'alimentation en l'état</t>
  </si>
  <si>
    <t>07112090</t>
  </si>
  <si>
    <t>Olives destinées à la production de l'huile, conservées provisoirement {p.ex. au moyen de gaz sulfureux ou dans de l'eau salée, soufrée ou additionnée d'autres substances servant à assurer provisoirement leur conservation}, mais impropres à l'alimentation en l'état</t>
  </si>
  <si>
    <t>07131010</t>
  </si>
  <si>
    <t>Pois 'Pisum Sativum', secs, écossés, destinés à l'ensemencement</t>
  </si>
  <si>
    <t>07131011</t>
  </si>
  <si>
    <t>Pois fourragers 'pisum arvense l.', secs, écossés, destinés à l'ensemencement</t>
  </si>
  <si>
    <t>07131019</t>
  </si>
  <si>
    <t>Pois 'pisum sativum', secs, écossés, destinés à l'ensemencement (à l'excl. des pois fourragers)</t>
  </si>
  <si>
    <t>07131090</t>
  </si>
  <si>
    <t>Pois 'Pisum Sativum', secs, écossés, même décortiqués ou cassés (à l'excl. des pois destinés à l'ensemencement)</t>
  </si>
  <si>
    <t>07132000</t>
  </si>
  <si>
    <t>Pois chiches, secs, écossés, même décortiqués ou cassés</t>
  </si>
  <si>
    <t>07132010</t>
  </si>
  <si>
    <t>Pois chiches, secs, écossés, destinés à l'ensemencement</t>
  </si>
  <si>
    <t>07132090</t>
  </si>
  <si>
    <t>Pois chiches, secs, écossés, même décortiqués ou casses (à l'excl. des pois chiches destinés à l'ensemencement)</t>
  </si>
  <si>
    <t>07133100</t>
  </si>
  <si>
    <t>Haricots des espèces 'Vigna mungo L. Hepper ou Vigna radiata L. Wilczek', secs, écossés, même décortiqués ou cassés</t>
  </si>
  <si>
    <t>07133110</t>
  </si>
  <si>
    <t>Haricots des espèces 'vigna mungo l. hepper ou vigna radiata l. wilczek', secs, écossés, destinés à l'ensemencement</t>
  </si>
  <si>
    <t>07133190</t>
  </si>
  <si>
    <t>Haricots des espèces 'vigna mungo l. hepper ou vigna radiata l. wilczek', secs, écossés, même décortiqués ou casses (à l'excl. des haricots destinés à l'ensemencement)</t>
  </si>
  <si>
    <t>07133200</t>
  </si>
  <si>
    <t>Haricots 'petits rouges' {haricots Adzuki} 'Phaseolus ou Vigna angularis', secs, écossés, même décortiqués ou cassés</t>
  </si>
  <si>
    <t>07133210</t>
  </si>
  <si>
    <t>Haricots 'petits rouges' {haricots adzuki} 'phaseolus ou vigna angularis', secs, écossés, destinés à l'ensemencement</t>
  </si>
  <si>
    <t>07133290</t>
  </si>
  <si>
    <t>Haricots 'petits rouges' {haricots adzuki} 'phaseolus ou vigna angularis', secs, écossés, même décortiqués ou casses (à l'excl. des haricots destinés à l'ensemencement)</t>
  </si>
  <si>
    <t>07133310</t>
  </si>
  <si>
    <t>Haricots communs 'Phaseolus vulgaris', secs, écossés, destinés à l'ensemencement</t>
  </si>
  <si>
    <t>07133390</t>
  </si>
  <si>
    <t>Haricots communs 'Phaseolus vulgaris', secs, écossés, même décortiqués ou cassés (à l'excl. des haricots destinés à l'ensemencement)</t>
  </si>
  <si>
    <t>07133400</t>
  </si>
  <si>
    <t>Pois Bambara (pois de terre) {Vigna subterranea ou Voandzeia subterranea}, secs, écossés, même décortiqués ou cassés</t>
  </si>
  <si>
    <t>07133500</t>
  </si>
  <si>
    <t>Doliques à œil noir (pois du Brésil, Niébé) {Vigna unguiculata}, secs, écossés, même décortiqués ou cassés</t>
  </si>
  <si>
    <t>07133900</t>
  </si>
  <si>
    <t>Haricots {Vigna spp., Phaseolus spp.}, secs, écossés, même décortiqués ou cassés (à l'excl. des haricots des espèces {Vigna mungo (L.) Hepper} ou {Vigna radiata (L.) Wilczek}, haricots {petits rouges} {haricots Adzuki}, haricots communs {Phaseolus vulgaris}, pois Bambara (pois de terre) et doliques à œil noir (pois du Brésil, Niébé))(2012-2500);Haricots 'Vigna spp., Phaseolus spp.', secs, écossés, même décortiqués ou cassés (à l'excl. des haricots des espèces 'Vigna mungo L. Hepper ou Vigna radiata L. Wilczek', des haricots 'petits rouges' {haricots Adzuki} et des haricots communs)(1997-2011)</t>
  </si>
  <si>
    <t>07133910</t>
  </si>
  <si>
    <t>Haricots 'vigna spp., phaseolus spp.', secs, écossés, destinés à l'ensemencement (à l'excl. des haricots des espèces 'vigna mungo l. hepper ou vigna radiata l. wilczek', des haricots 'petits rouges' {haricots adzuki} et des haricots communs)</t>
  </si>
  <si>
    <t>07133990</t>
  </si>
  <si>
    <t>Haricots 'vigna spp., phaseolus spp.', secs, écossés, même décortiqués ou casses (à l'excl. des haricots destinés à l'ensemencement ainsi que des haricots des espèces 'vigna mungo l. hepper ou vigna radiata l. wilczek', des haricots 'petits rouges' {haricots adzuki} et des haricots communs)</t>
  </si>
  <si>
    <t>07134000</t>
  </si>
  <si>
    <t>Lentilles, séchées, écossées, même décortiquées ou cassées</t>
  </si>
  <si>
    <t>07134010</t>
  </si>
  <si>
    <t>Lentilles, séchées, écossées, destinées à l'ensemencement</t>
  </si>
  <si>
    <t>07134090</t>
  </si>
  <si>
    <t>Lentilles, séchées, écossées, même décortiquées ou cassées (à l'excl. des lentilles destinées à l'ensemencement)</t>
  </si>
  <si>
    <t>07135000</t>
  </si>
  <si>
    <t>Fèves 'Vicia faba var. major' et féveroles 'Vicia faba var. equina et Vicia faba var. minor', séchées, écossées, même décortiquées ou cassées</t>
  </si>
  <si>
    <t>07135010</t>
  </si>
  <si>
    <t>Fèves 'vicia faba var. major' et Fèveroles 'vicia faba var. equina et vicia faba var. minor', séchées, écossées, destinées à l'ensemencement</t>
  </si>
  <si>
    <t>07135090</t>
  </si>
  <si>
    <t>Fèves 'vicia faba var. major' et Fèveroles 'vicia faba var. equina et vicia faba var. minor', séchées, écossées, même décortiquées ou cassées (à l'excl. des Fèves et Fèveroles destinées à l'ensemencement)</t>
  </si>
  <si>
    <t>07136000</t>
  </si>
  <si>
    <t>Pois d’Ambrevade ou pois d’Angole {Cajanus cajan}, secs, écossés, même décortiqués ou cassés</t>
  </si>
  <si>
    <t>07139000</t>
  </si>
  <si>
    <t>Légumes à cosse secs, écossés, même décortiqués ou cassés (à l'excl. des pois, pois chiches, haricots, lentilles, fèves, féveroles et pois d’Ambrevade ou pois d’Angole)(2012-2500);Légumes à cosse secs, écossés, même décortiqués ou cassés (à l'excl. des pois, des pois chiches, des haricots, des lentilles, des fèves et des féveroles)(2004-2011)</t>
  </si>
  <si>
    <t>07139010</t>
  </si>
  <si>
    <t>Légumes à cosse secs, écossés, destinés à l'ensemencement (à l'excl. des pois, des pois chiches, des haricots, des lentilles, des fèves et des féveroles)</t>
  </si>
  <si>
    <t>07139090</t>
  </si>
  <si>
    <t>Légumes à cosse secs, écossés, même décortiqués ou cassés (à l'excl. des légumes destinés à l'ensemencement, des pois, des pois chiches, des haricots, des lentilles, des fèves et des féveroles)</t>
  </si>
  <si>
    <t>11061000</t>
  </si>
  <si>
    <t>Farines, semoules et poudres de légumes à cosse secs du n° 0713</t>
  </si>
  <si>
    <t>11081990</t>
  </si>
  <si>
    <t>Amidons et fécules (à l'excl. des amidons et fécules de froment {blé}, de maïs, de pommes de terre, de manioc et de riz)</t>
  </si>
  <si>
    <t>12011000</t>
  </si>
  <si>
    <t>Fèves de soja, destinées à l’ensemencement</t>
  </si>
  <si>
    <t>12019000</t>
  </si>
  <si>
    <t>Fèves de soja, même concassées (à l'excl. des fèves de soja destinées à l'ensemencement)</t>
  </si>
  <si>
    <t>12040010</t>
  </si>
  <si>
    <t>Graines de lin, destinées à l'ensemencement</t>
  </si>
  <si>
    <t>12040090</t>
  </si>
  <si>
    <t>Graines de lin, même concassées (à l'excl. des graines destinées à l'ensemencement)</t>
  </si>
  <si>
    <t>120500</t>
  </si>
  <si>
    <t>Graines de navette ou de colza, même concassées</t>
  </si>
  <si>
    <t>12050010</t>
  </si>
  <si>
    <t>Graines de navette ou de colza, destinées à l'ensemencement</t>
  </si>
  <si>
    <t>12050090</t>
  </si>
  <si>
    <t>Graines de navette ou de colza, même concassées (à l'excl. des graines destinées à l'ensemencement)</t>
  </si>
  <si>
    <t>12051010</t>
  </si>
  <si>
    <t>Graines de navette ou de colza à faible teneur en acide érucique "fournissant une huile fixe dont la teneur en acide érucique est &lt; 2% et un composant solide qui contient &lt; 30 micromoles/g de glucosinolates", destinées à l'ensemencement</t>
  </si>
  <si>
    <t>12051090</t>
  </si>
  <si>
    <t>Graines de navette ou de colza à faible teneur en acide érucique "fournissant une huile fixe dont la teneur en acide érucique est &lt; 2% et un composant solide qui contient &lt; 30 micromoles/g de glucosinolates", même concassées (à l'excl. des graines destinées à l'ensemencement)</t>
  </si>
  <si>
    <t>12059000</t>
  </si>
  <si>
    <t>Graines de navette ou de colza d'une teneur élevée en acide érucique "fournissant une huile fixe dont la teneur en acide érucique est &gt;= 2% et un composant solide qui contient &gt;= 30 micromoles/g de glucosinolates", même concassées</t>
  </si>
  <si>
    <t>12060010</t>
  </si>
  <si>
    <t>Graines de tournesol, destinées à l'ensemencement</t>
  </si>
  <si>
    <t>12060090</t>
  </si>
  <si>
    <t>Graines de tournesol, même concassées (à l'excl. des graines destinées à l'ensemencement)</t>
  </si>
  <si>
    <t>12060091</t>
  </si>
  <si>
    <t>Graines de tournesol, même concassées, décortiquées et graines de tournesol en coques striées gris et blanc (à l'excl. des graines destinées à l'ensemencement)</t>
  </si>
  <si>
    <t>12060099</t>
  </si>
  <si>
    <t>Graines de tournesol, même concassées (à l'excl. des graines destinées à l'ensemencement, des graines décortiquées et des graines en coques striées gris et blanc)</t>
  </si>
  <si>
    <t>12081000</t>
  </si>
  <si>
    <t>Farine de fèves de soja</t>
  </si>
  <si>
    <t>12089000</t>
  </si>
  <si>
    <t>Farines de graines ou de fruits oléagineux (à l'excl. des farines de moutarde et de fèves de soja)</t>
  </si>
  <si>
    <t>15071010</t>
  </si>
  <si>
    <t>Huile de soja, brute, même dégommée, destinée à des usages techniques ou industriels (autres que la fabrication de produits pour l'alimentation humaine)</t>
  </si>
  <si>
    <t>15071090</t>
  </si>
  <si>
    <t>Huile de soja, brute, même dégommée (à l'excl. de l'huile de soja destinée à des usages techniques ou industriels)</t>
  </si>
  <si>
    <t>15079010</t>
  </si>
  <si>
    <t>Huile de soja et ses fractions, même raffinées, mais non chimiquement modifiées, destinées à des usages techniques ou industriels (à l'excl. de l'huile de soja brute et de l'huile de soja destinée à la fabrication de produits pour l'alimentation humaine)</t>
  </si>
  <si>
    <t>15079090</t>
  </si>
  <si>
    <t>Huile de soja et ses fractions, même raffinées, mais non chimiquement modifiées (à l'excl. de l'huile de soja brute et de l'huile de soja destinée à des usages techniques ou industriels)</t>
  </si>
  <si>
    <t>15091010</t>
  </si>
  <si>
    <t>Huile d'olive vierge lampante</t>
  </si>
  <si>
    <t>15091020</t>
  </si>
  <si>
    <t>Huile d’olive vierge extra, obtenue, à partir des fruits de l’olivier, uniquement par des procédés mécaniques ou physiques, dans des conditions qui n’entraînent pas l’altération de l’huile, non traitée (à l’exclusion de l’huile lampante)</t>
  </si>
  <si>
    <t>15091080</t>
  </si>
  <si>
    <t>Huile d’olive vierge, obtenue, à partir des fruits de l’olivier, uniquement par des procédés mécaniques ou physiques, dans des conditions qui n’entraînent pas l’altération de l’huile, non traitée (à l’exclusion de l’huile lampante et de l’huile vierge extra)</t>
  </si>
  <si>
    <t>15091090</t>
  </si>
  <si>
    <t>Huile d'olive, obtenue, à partir des fruits de l'olivier, uniquement par des procédés mécaniques ou physiques, dans des conditions n'altérant pas l'huile (à l'excl. de l'huile vierge lampante)</t>
  </si>
  <si>
    <t>15092000</t>
  </si>
  <si>
    <t>Huile d’olive vierge extra de la catégorie 1 de l’UE, obtenue à partir du fruit de l’olivier, uniquement par des procédés mécaniques ou d’autres procédés physiques, dans des conditions qui n’entraînent pas d’altération de l’huile, non traitée</t>
  </si>
  <si>
    <t>15093000</t>
  </si>
  <si>
    <t>Huile d’olive vierge de la catégorie 2 de l’UE, obtenue à partir du fruit de l’olivier, uniquement par des procédés mécaniques ou d’autres procédés physiques, dans des conditions qui n’entraînent pas d’altération de l’huile, non traitée</t>
  </si>
  <si>
    <t>15094000</t>
  </si>
  <si>
    <t>Huile d’olive vierge de la catégorie 3 de l’UE, obtenue à partir du fruit de l’olivier, uniquement par des procédés mécaniques ou d’autres procédés physiques, dans des conditions qui n’entraînent pas d’altération de l’huile, non traitée</t>
  </si>
  <si>
    <t>15099000</t>
  </si>
  <si>
    <t>Huile d'olive et ses fractions, traitées mais non chimiquement modifiées, obtenues, à partir des fruits de l'olivier, uniquement par des procédés mécaniques ou physiques, dans des conditions n'altérant pas l'huile</t>
  </si>
  <si>
    <t>15100010</t>
  </si>
  <si>
    <t>Huiles brutes, obtenues exclusivement à partir d'olives et par des procédés autres que ceux mentionnés au n° 1509, et mélanges de ces huiles avec des huiles du n° 1509</t>
  </si>
  <si>
    <t>15100090</t>
  </si>
  <si>
    <t>Huiles et leurs fractions, obtenues exclusivement à partir d'olives et par des procédés autres que ceux mentionnés au n° 1509, même raffinées, mais non chimiquement modifiées et mélanges de ces huiles ou fractions avec des huiles ou fractions du n° 1509 (à l'excl. des huiles brutes)</t>
  </si>
  <si>
    <t>15101000</t>
  </si>
  <si>
    <t>Huile de grignons d’olive brute de la catégorie 6 de l’UE, obtenue exclusivement à partir d’olives, non traitée</t>
  </si>
  <si>
    <t>15109000</t>
  </si>
  <si>
    <t>Autres huiles et leurs fractions, des catégories 7 et 8 de l’UE, obtenues exclusivement à partir d’olives, même raffinées, mais non chimiquement modifiées, y compris mélanges de ces huiles ou fractions avec des huiles ou fractions du nº 1509</t>
  </si>
  <si>
    <t>15111010</t>
  </si>
  <si>
    <t>Huile de palme, brute, destinée à des usages techniques ou industriels (autres que la fabrication de produits pour l'alimentation humaine)</t>
  </si>
  <si>
    <t>15111090</t>
  </si>
  <si>
    <t>Huile de palme, brute (à l'excl. de l'huile destinée à des usages techniques ou industriels)</t>
  </si>
  <si>
    <t>15119011</t>
  </si>
  <si>
    <t>Fractions solides de l'huile de palme, même raffinées, mais non chimiquement modifiées, présentées en emballages immédiats d'un contenu net &lt;= 1 kg</t>
  </si>
  <si>
    <t>15119019</t>
  </si>
  <si>
    <t>Fractions solides de l'huile de palme, même raffinées, mais non chimiquement modifiées, présentées en emballages immédiats d'un contenu net &gt; 1 kg</t>
  </si>
  <si>
    <t>15119091</t>
  </si>
  <si>
    <t>Huile de palme et ses fractions fluides, même raffinées, mais non chimiquement modifiées, destinées à des usages techniques ou industriels (à l'excl. de l'huile de palme brute et de l'huile destinée à la fabrication de produits pour l'alimentation humaine)</t>
  </si>
  <si>
    <t>15119099</t>
  </si>
  <si>
    <t>Huile de palme et ses fractions fluides, même raffinées, mais non chimiquement modifiées (à l'excl. de l'huile de palme brute et de l'huile destinée à des usages techniques ou industriels)</t>
  </si>
  <si>
    <t>15121110</t>
  </si>
  <si>
    <t>Huiles de tournesol ou de carthame, brutes, destinées à des usages techniques ou industriels (autres que la fabrication de produits pour l'alimentation humaine)</t>
  </si>
  <si>
    <t>15121191</t>
  </si>
  <si>
    <t>Huile de tournesol, brute (à l'excl. de l'huile destinée à des usages techniques ou industriels)</t>
  </si>
  <si>
    <t>15121199</t>
  </si>
  <si>
    <t>Huile de carthame, brute (à l'excl. de l'huile destinée à des usages techniques ou industriels)</t>
  </si>
  <si>
    <t>15121910</t>
  </si>
  <si>
    <t>Huiles de tournesol ou de carthame et leurs fractions, même raffinées, mais non chimiquement modifiées, destinées à des usages techniques ou industriels (à l'excl. des huiles brutes et des huiles destinées à la fabrication de produits pour l'alimentation humaine)</t>
  </si>
  <si>
    <t>15121990</t>
  </si>
  <si>
    <t>Huiles de tournesol ou de carthame et leurs fractions, même raffinées, mais non chimiquement modifiées (à l'excl. des huiles brutes et des huiles destinées à des usages techniques ou industriels)</t>
  </si>
  <si>
    <t>15121991</t>
  </si>
  <si>
    <t>Huile de tournesol et ses fractions, même raffinées, mais non chimiquement modifiées (à l'excl. de l'huile de tournesol brute et de l'huile destinée à des usages techniques ou industriels)</t>
  </si>
  <si>
    <t>15121999</t>
  </si>
  <si>
    <t>Huile de carthame et ses fractions, même raffinées, mais non chimiquement modifiées (à l'excl. de l'huile de carthame brute et de l'huile destinée à des usages techniques ou industriels)</t>
  </si>
  <si>
    <t>15122110</t>
  </si>
  <si>
    <t>Huile de coton, brute, même dépourvue de gossipol, destinée à des usages techniques ou industriels (autres que la fabrication de produits pour l'alimentation humaine)</t>
  </si>
  <si>
    <t>15122190</t>
  </si>
  <si>
    <t>Huile de coton, brute, même dépourvue de gossipol (à l'excl. de l'huile destinée à des usages techniques ou industriels)</t>
  </si>
  <si>
    <t>15122910</t>
  </si>
  <si>
    <t>Huile de coton et ses fractions, même dépourvues de gossipol ou raffinées, mais non chimiquement modifiées, destinées à des usages techniques ou industriels (à l'excl. de l'huile de coton brute et de l'huile destinée à la fabrication de produits pour l'alimentation humaine)</t>
  </si>
  <si>
    <t>15122990</t>
  </si>
  <si>
    <t>Huile de coton et ses fractions, même dépourvues de gossipol ou raffinées, mais non chimiquement modifiées (à l'excl. de l'huile de coton brute et de l'huile destinée à des usages techniques ou industriels)</t>
  </si>
  <si>
    <t>15131110</t>
  </si>
  <si>
    <t>Huile de coco {coprah}, brute, destinée à des usages techniques ou industriels (autres que la fabrication de produits pour l'alimentation humaine)</t>
  </si>
  <si>
    <t>15131191</t>
  </si>
  <si>
    <t>Huile de coco {coprah}, brute, présentée en emballages immédiats d'un contenu net &lt;= 1 kg (à l'excl. de l'huile destinée à des usages techniques ou industriels)</t>
  </si>
  <si>
    <t>15131199</t>
  </si>
  <si>
    <t>Huile de coco {coprah}, brute, présentée en emballages immédiats d'un contenu net &gt; 1 kg (à l'excl. de l'huile destinée à des usages techniques ou industriels)</t>
  </si>
  <si>
    <t>15131911</t>
  </si>
  <si>
    <t>Fractions solides de l'huile de coco {coprah}, même raffinées, mais non chimiquement modifiées, présentées en emballages immédiats d'un contenu net &lt;= 1 kg</t>
  </si>
  <si>
    <t>15131919</t>
  </si>
  <si>
    <t>Fractions solides de l'huile de coco {coprah}, même raffinées, mais non chimiquement modifiées, présentées en emballages immédiats d'un contenu net &gt; 1 kg</t>
  </si>
  <si>
    <t>15131930</t>
  </si>
  <si>
    <t>Huile de coco {coprah} et ses fractions fluides, même raffinées, mais non chimiquement modifiées, destinées à des usages techniques ou industriels (à l'excl. de l'huile de coco brute et de l'huile destinée à la fabrication de produits pour l'alimentation humaine)</t>
  </si>
  <si>
    <t>15131991</t>
  </si>
  <si>
    <t>Huile de coco {coprah} et ses fractions fluides, même raffinées, mais non chimiquement modifiées, présentées en emballages immédiats d'un contenu net &lt;= 1 kg (à l'excl. de l'huile de coco brute et de l'huile destinée à des usages techniques ou industriels)</t>
  </si>
  <si>
    <t>15131999</t>
  </si>
  <si>
    <t>Huile de coco {coprah} et ses fractions fluides, même raffinées, mais non chimiquement modifiées, présentées en emballages immédiats d'un contenu net &gt; 1 kg (à l'excl. de l'huile de coco brute et de l'huile destinée à des usages techniques ou industriels)</t>
  </si>
  <si>
    <t>15132110</t>
  </si>
  <si>
    <t>Huiles de palmiste ou de babassu, brutes, destinées à des usages techniques ou industriels (autres que la fabrication de produits pour l'alimentation humaine)</t>
  </si>
  <si>
    <t>15132111</t>
  </si>
  <si>
    <t>Huile de palmiste, brute, destinée à des usages techniques ou industriels (autres que la fabrication de produits pour l'alimentation humaine)</t>
  </si>
  <si>
    <t>15132119</t>
  </si>
  <si>
    <t>Huile de babassu, brute, destinée à des usages techniques ou industriels (autres que la fabrication de produits pour l'alimentation humaine)</t>
  </si>
  <si>
    <t>15132130</t>
  </si>
  <si>
    <t>Huiles de palmiste ou de babassu, brutes, présentées en emballages immédiats d'un contenu net &lt;= 1 kg (à l'excl. des huiles destinées à des usages techniques ou industriels)</t>
  </si>
  <si>
    <t>15132190</t>
  </si>
  <si>
    <t>Huiles de palmiste ou de babassu, brutes, présentées en emballages immédiats d'un contenu net &gt; 1 kg (à l'excl. des huiles destinées à des usages techniques ou industriels)</t>
  </si>
  <si>
    <t>15132191</t>
  </si>
  <si>
    <t>Huile de palmiste, brute, présentée en emballages immédiats d'un contenu net &gt; 1 kg (à l'excl. de l'huile destinée à des usages techniques ou industriels)</t>
  </si>
  <si>
    <t>15132199</t>
  </si>
  <si>
    <t>Huile de babassu, brute, présentée en emballages immédiats d'un contenu net &gt; 1 kg (à l'excl. de l'huile destinée à des usages techniques ou industriels)</t>
  </si>
  <si>
    <t>15132911</t>
  </si>
  <si>
    <t>Fractions solides des huiles de palmiste ou de babassu, même raffinées, mais non chimiquement modifiées, présentées en emballages immédiats d'un contenu net &lt;= 1 kg</t>
  </si>
  <si>
    <t>15132919</t>
  </si>
  <si>
    <t>Fractions solides des huiles de palmiste ou de babassu, même raffinées, mais non chimiquement modifiées, présentées en emballages immédiats d'un contenu net &gt; 1 kg</t>
  </si>
  <si>
    <t>15132930</t>
  </si>
  <si>
    <t>Huiles de palmiste ou de babassu et leurs fractions fluides, même raffinées, mais non chimiquement modifiées, destinées à des usages techniques ou industriels (à l'excl. des huiles brutes et des huiles destinées à la fabrication de produits pour l'alimentation humaine)</t>
  </si>
  <si>
    <t>15132950</t>
  </si>
  <si>
    <t>Huiles de palmiste ou de babassu et leurs fractions fluides, même raffinées, mais non chimiquement modifiées, présentées en emballages immédiats d'un contenu net &lt;= 1 kg (à l'excl. des huiles brutes et des huiles destinées à des usages techniques ou industriels)</t>
  </si>
  <si>
    <t>15132990</t>
  </si>
  <si>
    <t>Huiles de palmiste ou de babassu et leurs fractions fluides, même raffinées, mais non chimiquement modifiées, présentées en emballages immédiats d'un contenu net &gt; 1 kg (à l'excl. de l'huile brute et de l'huile destinée à des usages techniques ou industriels)</t>
  </si>
  <si>
    <t>15132991</t>
  </si>
  <si>
    <t>Huile de palmiste et ses fractions fluides, même raffinées, mais non chimiquement modifiées, présentées en emballages immédiats d'un contenu net &gt; 1 kg (à l'excl. de l'huile brute et de l'huile destinée à des usages techniques ou industriels)</t>
  </si>
  <si>
    <t>15132999</t>
  </si>
  <si>
    <t>Huile de babassu et ses fractions fluides, même raffinées, mais non chimiquement modifiées, présentées en emballages immédiats d'un contenu net &gt; 1 kg (à l'excl. de l'huile brute et de l'huile destinée à des usages techniques ou industriels)</t>
  </si>
  <si>
    <t>15141010</t>
  </si>
  <si>
    <t>Huiles de navette, de colza ou de moutarde, brutes, destinées à des usages techniques ou industriels (autres que la fabrication de produits pour l'alimentation humaine)</t>
  </si>
  <si>
    <t>15141090</t>
  </si>
  <si>
    <t>Huiles de navette, de colza ou de moutarde, brutes (à l'excl. des huiles destinées à des usages techniques ou industriels)</t>
  </si>
  <si>
    <t>15141110</t>
  </si>
  <si>
    <t>Huiles de navette ou de colza à faible teneur en acide érucique "huiles fixes dont la teneur en acide érucique est &lt; 2%", brutes, destinées à des usages techniques ou industriels (à l'excl. pour la fabrication de produits pour l'alimentation humaine)</t>
  </si>
  <si>
    <t>15141190</t>
  </si>
  <si>
    <t>Huiles de navette ou de colza à faible teneur en acide érucique "huiles fixes dont la teneur en acide érucique est &lt; 2%", brutes (à l'excl. des huiles destinées à des usages techniques ou industriels)</t>
  </si>
  <si>
    <t>15141910</t>
  </si>
  <si>
    <t>Huiles de navette ou de colza à faible teneur en acide érucique "huiles fixes dont la teneur en acide érucique est &lt; 2%" et leurs fractions, même raffinées, mais non chimiquement modifiées, destinées à des usages techniques ou industriels (à l'excl. des huiles brutes et des huiles destinées à la fabrication de produits pour l'alimentation humaine)</t>
  </si>
  <si>
    <t>15141990</t>
  </si>
  <si>
    <t>Huiles de navette ou de colza à faible teneur en acide érucique "huiles fixes dont la teneur en acide érucique est &lt; 2%" et leurs fractions, même raffinées, mais non chimiquement modifiées (à l'excl. des huiles brutes et des huiles destinées à des usages techniques ou industriels)</t>
  </si>
  <si>
    <t>15149010</t>
  </si>
  <si>
    <t>Huiles de navette, de colza ou de moutarde et leurs fractions, même raffinées, mais non chimiquement modifiées, destinées à des usages techniques ou industriels (à l'excl. des huiles brutes et des huiles destinées à la fabrication de produits pour l'alimentation humaine)</t>
  </si>
  <si>
    <t>15149090</t>
  </si>
  <si>
    <t>Huiles de navette, de colza ou de moutarde et leurs fractions, même raffinées, mais non chimiquement modifiées (à l'excl. des huiles brutes et des huiles destinées à des usages techniques ou industriels)</t>
  </si>
  <si>
    <t>15149110</t>
  </si>
  <si>
    <t>Huiles de navette ou de colza d'une teneur élevée en acide érucique "huiles fixes dont la teneur en acide érucique est &gt;= 2%" et huiles de moutarde, brutes, destinées à des usages techniques ou industriels (autres que la fabrication de produits pour l'alimentation humaine)</t>
  </si>
  <si>
    <t>15149190</t>
  </si>
  <si>
    <t>Huiles de navette ou de colza d'une teneur élevée en acide érucique "huiles fixes dont la teneur en acide érucique est &gt;= 2%" et huiles de moutarde, brutes (à l'excl. des huiles destinées à des usages techniques ou industriels)</t>
  </si>
  <si>
    <t>15149910</t>
  </si>
  <si>
    <t>Huiles de navette ou de colza d'une teneur élevée en acide érucique "huiles fixes dont la teneur en acide érucique est &gt;= 2%" et huiles de moutarde, et leurs fractions, même raffinées, mais non chimiquement modifiées, destinées à des usages techniques ou industriels (à l'excl. des huiles brutes et des huiles destinées à la fabrication de produits pour l'alimentation humaine)</t>
  </si>
  <si>
    <t>15149990</t>
  </si>
  <si>
    <t>Huiles de navette ou de colza d'une teneur élevée en acide érucique "huiles fixes dont la teneur en acide érucique est &gt;= 2%" et huiles de moutarde, et leurs fractions, même raffinées, mais non chimiquement modifiées (à l'excl. des huiles brutes et des huiles destinées à des usages techniques ou industriels)</t>
  </si>
  <si>
    <t>15151100</t>
  </si>
  <si>
    <t>Huile de lin, brute</t>
  </si>
  <si>
    <t>15151910</t>
  </si>
  <si>
    <t>Huile de lin et ses fractions, même raffinées, mais non chimiquement modifiées, destinées à des usages techniques ou industriels (à l'excl. de l'huile brute et de l'huile destinée à la fabrication de produits pour l'alimentation humaine)</t>
  </si>
  <si>
    <t>15151990</t>
  </si>
  <si>
    <t>Huile de lin et ses fractions, même raffinées, mais non chimiquement modifiées (à l'excl. de l'huile brute et de l'huile destinée à des usages techniques ou industriels)</t>
  </si>
  <si>
    <t>15153010</t>
  </si>
  <si>
    <t>Huile de ricin et ses fractions, même raffinées, mais non chimiquement modifiées, destinées à la production de l'acide amino-undécanoïque pour la fabrication soit de fibres synthétiques, soit de matières plastiques</t>
  </si>
  <si>
    <t>15153090</t>
  </si>
  <si>
    <t>Huile de ricin et ses fractions, même raffinées, mais non chimiquement modifiées (à l'excl. de l'huile destinée à la production de l'acide amino-undécanoïque pour la fabrication soit de fibres synthétiques, soit de matières plastiques)</t>
  </si>
  <si>
    <t>15154000</t>
  </si>
  <si>
    <t>Huile de tung {abrasin} et ses fractions, même raffinées, mais non chimiquement modifiées</t>
  </si>
  <si>
    <t>15155011</t>
  </si>
  <si>
    <t>Huile de sésame, brute, destinée à des usages techniques ou industriels (autres que la fabrication de produits pour l'alimentation humaine)</t>
  </si>
  <si>
    <t>15155019</t>
  </si>
  <si>
    <t>Huile de sésame, brute (à l'excl. de l'huile destinée à des usages techniques ou industriels)</t>
  </si>
  <si>
    <t>15155091</t>
  </si>
  <si>
    <t>Huile de sésame et ses fractions, même raffinées, mais non chimiquement modifiées, destinées à des usages techniques ou industriels (à l'excl. de l'huile brute)</t>
  </si>
  <si>
    <t>15155099</t>
  </si>
  <si>
    <t>Huile de sésame et ses fractions, même raffinées, mais non chimiquement modifiées (à l'excl. de l'huile brute et de l'huile destinée à des usages techniques ou industriels)</t>
  </si>
  <si>
    <t>15156000</t>
  </si>
  <si>
    <t>Huile de jojoba et ses fractions, même raffinées, mais non chimiquement modifiées</t>
  </si>
  <si>
    <t>15156010</t>
  </si>
  <si>
    <t>Huile de jojoba, brute</t>
  </si>
  <si>
    <t>15156011</t>
  </si>
  <si>
    <t>Huiles brutes d’origine microbienne, destinées à des usages techniques ou industriels (autres que la fabrication de denrées alimentaires)</t>
  </si>
  <si>
    <t>15156051</t>
  </si>
  <si>
    <t>Huiles brutes d’origine microbienne, concrètes, présentées en emballages immédiats d’un contenu net ≤ 1 kg (à l’exclusion des huiles destinées à des usages techniques ou industriels)</t>
  </si>
  <si>
    <t>15156059</t>
  </si>
  <si>
    <t>Huiles brutes d’origine microbienne, concrètes, présentées en emballages immédiats d’un contenu net &gt; 1 kg (à l’exclusion des huiles destinées à des usages techniques ou industriels)</t>
  </si>
  <si>
    <t>15156060</t>
  </si>
  <si>
    <t>Graisses et huiles d’origine microbienne et leurs fractions, même raffinées, mais non chimiquement modifiées, destinées à des usages techniques ou industriels (à l’exclusion des graisses et huiles destinées à la fabrication de denrées alimentaires, ainsi que des huiles brutes)</t>
  </si>
  <si>
    <t>15156090</t>
  </si>
  <si>
    <t>Huile de jojoba et ses fractions, même raffinées, mais non chimiquement modifiées (à l'excl. de l'huile brute)</t>
  </si>
  <si>
    <t>15156091</t>
  </si>
  <si>
    <t>Graisses et huiles d’origine microbienne et leurs fractions, même raffinées, mais non chimiquement modifiées, concrètes, présentées en emballages immédiats d’un contenu net ≤ 1 kg, (à l’exclusion des graisses et huiles destinées à des usages techniques ou industriels, ainsi que des huiles brutes)</t>
  </si>
  <si>
    <t>15156099</t>
  </si>
  <si>
    <t>Graisses et huiles d’origine microbienne et leurs fractions, même raffinées, mais non chimiquement modifiées, concrètes, présentées en emballages immédiats d’un contenu net &gt; 1 kg, et liquides (à l’exclusion des graisses et huiles destinées à des usages techniques ou industriels, ainsi que des huiles brutes)</t>
  </si>
  <si>
    <t>15159010</t>
  </si>
  <si>
    <t>Huiles d'oléococca et d'oïticica et cires de myrica et du Japon et leurs fractions, même raffinées, mais non chimiquement modifiées</t>
  </si>
  <si>
    <t>15159011</t>
  </si>
  <si>
    <t>Huiles de tung {abrasin}, de jojoba et d'oïticica et cires de myrica et du Japon et leurs fractions, même raffinées, mais non chimiquement modifiées</t>
  </si>
  <si>
    <t>15159015</t>
  </si>
  <si>
    <t>Huiles de jojoba et d'oïticica et cires de myrica et du Japon et leurs fractions, même raffinées, mais non chimiquement modifiées</t>
  </si>
  <si>
    <t>15159021</t>
  </si>
  <si>
    <t>Huile de graines de tabac, brute, destinée à des usages techniques ou industriels (autres que la fabrication de produits pour l'alimentation humaine)</t>
  </si>
  <si>
    <t>15159029</t>
  </si>
  <si>
    <t>Huile de graines de tabac, brute (à l'excl. de l'huile destinée à des usages techniques ou industriels)</t>
  </si>
  <si>
    <t>15159031</t>
  </si>
  <si>
    <t>Huile de graines de tabac et ses fractions, même raffinées, mais non chimiquement modifiées, destinées à des usages techniques ou industriels (à l'excl. de l'huile brute et de l'huile destinée à la fabrication de produits pour l'alimentation humaine)</t>
  </si>
  <si>
    <t>15159039</t>
  </si>
  <si>
    <t>Huile de graines de tabac et ses fractions, même raffinées, mais non chimiquement modifiées (à l'excl. de l'huile brute et de l'huile destinée à des usages techniques ou industriels)</t>
  </si>
  <si>
    <t>15159040</t>
  </si>
  <si>
    <t>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Japon)(2022-2500);Graisses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Japon)(1988-2021)</t>
  </si>
  <si>
    <t>15159051</t>
  </si>
  <si>
    <t>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Japon)(2022-2500);Graisses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Japon)(1988-2021)</t>
  </si>
  <si>
    <t>15159059</t>
  </si>
  <si>
    <t>Graisses et huiles végétales fixes, brutes, concrètes, présentées en emballages immédiats d'un contenu net &gt; 1 kg, et graisses et huiles végétales fixes, brutes, fluides (sauf produits destinés à usages techniques ou industriels; cires de myrica ou du Japon; huiles reprises entre le n°1507 et le n° 1515 90 39)(2022-2500);Graisses et huiles végétales fixes, brutes, concrètes, présentées en emballages immédiats d'un contenu net &gt; 1 kg, et graisses et huiles végétales fixes, brutes, fluides (sauf produits destinés à usages techniques ou industriels; cires de myrica ou du Japon; huiles reprises entre le n°1507 et le n° 1515 90 39)(1988-2021)</t>
  </si>
  <si>
    <t>15159060</t>
  </si>
  <si>
    <t>Graisses et huiles végétales et leurs fractions, fixes, même raffinées, mais non chimiquement modifiées, destinées à des usages techniques ou industriels (sauf produits destinés à la fabrication de produits pour l'alimentation humaine; graisses et huiles brutes; des huiles de soja, d'arachide, d'olive, de palme, de babassu, de navette, de colza, de moutarde, de lin, de maïs, de ricin, de tung {abrasin}, de sésame, de jojoba, d'oïticica ou de graines de tabac ainsi que des cires de myrica et du Japon)(2022-2500);Graisses et huiles végétales et leurs fractions, fixes, même raffinées, mais non chimiquement modifiées, destinées à des usages techniques ou industriels (sauf produits destinés à la fabrication de produits pour l'alimentation humaine; graisses et huiles brutes; des huiles de soja, d'arachide, d'olive, de palme, de babassu, de navette, de colza, de moutarde, de lin, de maïs, de ricin, de tung {abrasin}, de sésame, de jojoba, d'oïticica ou de graines de tabac ainsi que des cires de myrica et du Japon)(1988-2021)</t>
  </si>
  <si>
    <t>15159091</t>
  </si>
  <si>
    <t>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industriels)(2022-2500);Graisses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industriels)(1988-2021)</t>
  </si>
  <si>
    <t>15159099</t>
  </si>
  <si>
    <t>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industriels)(2022-2500);Graisses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industriels)(1988-2021)</t>
  </si>
  <si>
    <t>15162010</t>
  </si>
  <si>
    <t>Huiles de ricin hydrogénées, dites 'opalwax'</t>
  </si>
  <si>
    <t>15162091</t>
  </si>
  <si>
    <t>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hydrogénées)(2022-2500);Graisses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hydrogénées)(1988-2021)</t>
  </si>
  <si>
    <t>15162095</t>
  </si>
  <si>
    <t>Huiles de navette, de colza, de lin, de tournesol, d'illipé, de karité, de makoré, de touloucouna ou de babassu ainsi que leurs fractions, partiellement ou totalement hydrogénées, interestérifiées, réestérifiées ou élaïdinisées, même raffinées, destinées à des usages techniques ou industriels, présentées en emballages immédiats d'un contenu net &gt; 1 kg ou autrement présentées (à l'excl. des huiles destinées à la fabrication de produits pour l'alimentation humaine)</t>
  </si>
  <si>
    <t>15162096</t>
  </si>
  <si>
    <t>Huiles d'arachide, de coton, de soja ou de tournesol ainsi que leurs fractions (à l'excl. des produits du nº 1516 20 95); autres huiles ainsi que leurs fractions d'une teneur en acides gras libres &lt; 50% en poids, en emballages immédiats d'un contenu net &gt; 1 kg ou autrement présentées (à l'excl. des huiles de palmiste, d'illipé, de coco, de navette, de colza ou de copaïba ainsi que des huiles du nº 1516 20 95)</t>
  </si>
  <si>
    <t>15162098</t>
  </si>
  <si>
    <t>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1516.20.96)(2022-2500);Graisses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1516.20.96)(1995-2021)</t>
  </si>
  <si>
    <t>15162099</t>
  </si>
  <si>
    <t>Graisses et huiles végétales et leurs fractions, partiellement ou totalement hydrogénées, inter estérifiées, ré estérifiées ou élaïdinisées, même raffinées, mais non autrement préparées, présentées en emballages immédiats d'un contenu net &gt; 1 kg (à l'excl. des huiles de ricin hydrogénées)</t>
  </si>
  <si>
    <t>20054000</t>
  </si>
  <si>
    <t>Pois {Pisum sativum}, préparés ou conservés autrement qu'au vinaigre ou à l'acide acétique, non congelés</t>
  </si>
  <si>
    <t>20055100</t>
  </si>
  <si>
    <t>Haricots {Vigna spp., Phaseolus spp.}, en grains, préparés ou conservés autrement qu'au vinaigre ou à l'acide acétique, non congelés</t>
  </si>
  <si>
    <t>21031000</t>
  </si>
  <si>
    <t>Sauce de soja</t>
  </si>
  <si>
    <t>23025000</t>
  </si>
  <si>
    <t>Résidus, même agglomérés sous forme de pellets, du criblage, de la mouture ou d'autres traitements des légumineuses</t>
  </si>
  <si>
    <t>23040000</t>
  </si>
  <si>
    <t>Tourteaux et autres résidus solides, même broyés ou agglomérés sous forme de pellets, de l'extraction de l'huile de soja</t>
  </si>
  <si>
    <t>23061000</t>
  </si>
  <si>
    <t>Tourteaux et autres résidus solides, même broyés ou agglomérés sous forme de pellets, de l'extraction des graisses ou huiles de coton</t>
  </si>
  <si>
    <t>23062000</t>
  </si>
  <si>
    <t>Tourteaux et autres résidus solides, même broyés ou agglomérés sous forme de pellets, de l'extraction des graisses ou huiles de lin</t>
  </si>
  <si>
    <t>23063000</t>
  </si>
  <si>
    <t>Tourteaux et autres résidus solides, même broyés ou agglomérés sous forme de pellets, de l'extraction des graisses ou huiles de tournesol</t>
  </si>
  <si>
    <t>23064000</t>
  </si>
  <si>
    <t>Tourteaux et autres résidus solides, même broyés ou agglomérés sous forme de pellets, de l'extraction des graisses ou huiles de navette ou de colza</t>
  </si>
  <si>
    <t>23064100</t>
  </si>
  <si>
    <t>Tourteaux et autres résidus solides, même broyés ou agglomérés sous forme de pellets, de l'extraction des graisses ou huiles de navette ou de colza à faible teneur en acide érucique "fournissant une huile fixe dont la teneur en acide érucique est &lt; 2% et un composant solide qui contient &lt; 30 micromoles/g de glucosinolates"</t>
  </si>
  <si>
    <t>23064900</t>
  </si>
  <si>
    <t>Tourteaux et autres résidus solides, même broyés ou agglomérés sous forme de pellets, de l'extraction des graisses ou huiles de navette ou de colza d'une teneur élevée en acide érucique "fournissant une huile fixe dont la teneur en acide érucique est &gt;= 2% et un composant solide qui contient &gt;= 30 micromoles/g de glucosinolates"</t>
  </si>
  <si>
    <t>23065000</t>
  </si>
  <si>
    <t>Tourteaux et autres résidus solides, même broyés ou agglomérés sous forme de pellets, de l'extraction des graisses ou huiles de noix de coco ou de coprah</t>
  </si>
  <si>
    <t>23066000</t>
  </si>
  <si>
    <t>Tourteaux et autres résidus solides, même broyés ou agglomérés sous forme de pellets, de l'extraction des graisses ou huiles de noix ou d'amandes de palmiste</t>
  </si>
  <si>
    <t>23067000</t>
  </si>
  <si>
    <t>Tourteaux et autres résidus solides, même broyés ou agglomérés sous forme de pellets, de l'extraction des graisses ou huiles de germes de maïs</t>
  </si>
  <si>
    <t>23069011</t>
  </si>
  <si>
    <t>Grignons d'olives et autres résidus, même broyés ou agglomérés sous forme de pellets, de l'extraction de l'huile d'olive, ayant une teneur en poids d'huile d'olive &lt;= 3%</t>
  </si>
  <si>
    <t>23069019</t>
  </si>
  <si>
    <t>Grignons d'olives et autres résidus, même broyés ou agglomérés sous forme de pellets, de l'extraction de l'huile d'olive, ayant une teneur en poids d'huile d'olive &gt; 3%</t>
  </si>
  <si>
    <t>23069090</t>
  </si>
  <si>
    <t>Tourteaux et autres résidus solides, mêmes broyés ou agglomérés sous forme de pellets, de l'extraction de graisses ou huiles végétales (à l'excl. des tourteaux et autres résidus solides de l'extraction des graisses ou huiles de coton, de lin, de tournesol, de graines de navette ou de colza, de noix de coco ou de coprah, de noix ou d'amandes de palmiste, de germes de maïs ainsi que de l'extraction de l'huile d'olive, de l'huile de soja et de l'huile d'arachide)</t>
  </si>
  <si>
    <t>23069091</t>
  </si>
  <si>
    <t>Tourteaux et autres résidus solides, même broyés ou agglomérés sous forme de pellets, de l'extraction des graisses ou huiles de germes de mais</t>
  </si>
  <si>
    <t>23069093</t>
  </si>
  <si>
    <t>Tourteaux et autres résidus solides, même broyés ou agglomérés sous forme de pellets, de l'extraction des graisses ou huiles de sésame</t>
  </si>
  <si>
    <t>23069099</t>
  </si>
  <si>
    <t>Tourteaux et autres résidus solides, mêmes broyés ou agglomérés sous forme de pellets, de l'extraction de graisses ou huiles végétales (à l'excl. des tourteaux et autres résidus solides de l'extraction des graisses ou huiles de soja, d'arachide, de coton, de lin, de tournesol, de navette ou de colza, de noix de coco ou de coprah, de noix ou d'amandes de palmiste, d'olive, de germes de maïs et de sésame)</t>
  </si>
  <si>
    <t>Bio</t>
  </si>
  <si>
    <t>Usages</t>
  </si>
  <si>
    <t>MP trituration</t>
  </si>
  <si>
    <t>Production d'huile brute</t>
  </si>
  <si>
    <t>Production de tourteaux</t>
  </si>
  <si>
    <t>Consommation d'autres huiles</t>
  </si>
  <si>
    <t>Consommation d'autres tourteaux</t>
  </si>
  <si>
    <t>Production/consommation de coproduits</t>
  </si>
  <si>
    <t>MP biodiesel (ou peut-être plutôt consommation de biodiesel)</t>
  </si>
  <si>
    <t>Conso huile GMS</t>
  </si>
  <si>
    <t>Production/consommation d'olives et huile d'olive</t>
  </si>
  <si>
    <t>Utilisations pois, féverole</t>
  </si>
  <si>
    <t>bio protéagineux</t>
  </si>
  <si>
    <t>utilisations bio</t>
  </si>
  <si>
    <t>Fourrages déshydratés</t>
  </si>
  <si>
    <t>légumes secs Bruts -&gt; RHD</t>
  </si>
  <si>
    <t>légumes secs Appertisés -&gt; RHD</t>
  </si>
  <si>
    <t>légumes secs Surgelés -&gt; RHD</t>
  </si>
  <si>
    <t>Produits au soja -&gt; RHD</t>
  </si>
  <si>
    <t>Alternatives végétales -&gt; RHD</t>
  </si>
  <si>
    <t>Produits au soja -&gt; GMS</t>
  </si>
  <si>
    <t>Légumes secs Appertisés -&gt; GMS</t>
  </si>
  <si>
    <t>Légumes secs Bruts -&gt; GMS</t>
  </si>
  <si>
    <t>Répartition GMS/Spécialisés (en valeur)</t>
  </si>
  <si>
    <t>Plats cuisinés Appertisés, contenant des légumineuses (&gt; 10 %) -&gt; GMS</t>
  </si>
  <si>
    <t>Plats traiteurs libre-service, contenant des légumineuses (&gt; 10 %) -&gt; GMS</t>
  </si>
  <si>
    <t>Alternatives végétales, contenant des légumineuses (&gt; 10 %) -&gt; GMS</t>
  </si>
  <si>
    <t>Produits surgelés salés, contenant des légumineuses (&gt; 10 %) -&gt; GMS</t>
  </si>
  <si>
    <t>Pâtes alimentaires sèches, contenant des légumineuses (&gt; 10 %) -&gt; GMS</t>
  </si>
  <si>
    <t>Snacks apéritifs salés, contenant des légumineuses (&gt; 10 %) -&gt; GMS</t>
  </si>
  <si>
    <t>Farines, contenant des légumineuses (&gt; 10 %) -&gt; GMS</t>
  </si>
  <si>
    <t>Autres produits (houmous et vrac), contenant des légumineuses -&gt; GMS</t>
  </si>
  <si>
    <t>Données extraites le18/02/2025 11:18:27 depuis [ESTAT]</t>
  </si>
  <si>
    <t>Commerce UE depuis 1988 par SH2,4,6 et NC8 [ds-045409__custom_15453478]</t>
  </si>
  <si>
    <t>07108010</t>
  </si>
  <si>
    <t>Olives, non cuites ou cuites à l'eau ou à la vapeur, congelées</t>
  </si>
  <si>
    <t>20019065</t>
  </si>
  <si>
    <t>Olives, préparées ou conservées au vinaigre ou à l'acide acétique</t>
  </si>
  <si>
    <t>20049030</t>
  </si>
  <si>
    <t>Choucroute, câpres et olives, préparées ou conservées autrement qu'au vinaigre ou à l'acide acétique, congelées</t>
  </si>
  <si>
    <t>20057000</t>
  </si>
  <si>
    <t>Olives, préparées ou conservées autrement qu'au vinaigre ou à l'acide acétique, non congelées(2008-2500);Olives, préparées ou conservées autrement qu'au vinaigre ou à l'acide acétique, non-congelées(1988-1993)</t>
  </si>
  <si>
    <t>20057010</t>
  </si>
  <si>
    <t>Olives, préparées ou conservées autrement qu'au vinaigre ou à l'acide acétique, non-congelées, en emballages immédiats d'un contenu net &lt;= 5 kg</t>
  </si>
  <si>
    <t>20057090</t>
  </si>
  <si>
    <t>Olives, préparées ou conservées autrement qu'au vinaigre ou à l'acide acétique, non-congelées, en emballages immédiats d'un contenu net &gt; 5 kg</t>
  </si>
  <si>
    <t>Volume collecté, hors volume d'échange</t>
  </si>
  <si>
    <t>Rendement, répartition ou volume d'échange collecté</t>
  </si>
  <si>
    <t>Type de donnée collectée</t>
  </si>
  <si>
    <t>Onglet fichier Excel</t>
  </si>
  <si>
    <t>Incohérence données collectées</t>
  </si>
  <si>
    <t>Matière première</t>
  </si>
  <si>
    <t>Produit</t>
  </si>
  <si>
    <t>Coproduit</t>
  </si>
  <si>
    <t>2015-16</t>
  </si>
  <si>
    <t>2019-20</t>
  </si>
  <si>
    <t>2023-24</t>
  </si>
  <si>
    <t>Maïs</t>
  </si>
  <si>
    <t>Sorgho</t>
  </si>
  <si>
    <t>Ecart statistique</t>
  </si>
  <si>
    <t>#FF0000</t>
  </si>
  <si>
    <t>Volume</t>
  </si>
  <si>
    <t>Rendement</t>
  </si>
  <si>
    <t>Répartition</t>
  </si>
  <si>
    <t>Import</t>
  </si>
  <si>
    <t>Export</t>
  </si>
  <si>
    <t>Stock initial</t>
  </si>
  <si>
    <t>Stock initial à la ferme</t>
  </si>
  <si>
    <t>Stock initial collecteurs</t>
  </si>
  <si>
    <t>Stock final</t>
  </si>
  <si>
    <t>Stock final à la ferme</t>
  </si>
  <si>
    <t>Stock final collecteurs</t>
  </si>
  <si>
    <t>Issues de silo</t>
  </si>
  <si>
    <t>Farine</t>
  </si>
  <si>
    <t>Sons</t>
  </si>
  <si>
    <t>Amidon</t>
  </si>
  <si>
    <t>Huile</t>
  </si>
  <si>
    <t>Tourteaux</t>
  </si>
  <si>
    <t>Récolte</t>
  </si>
  <si>
    <t>Ferme</t>
  </si>
  <si>
    <t>OS</t>
  </si>
  <si>
    <t>Semences</t>
  </si>
  <si>
    <t>Semences fermières</t>
  </si>
  <si>
    <t>Semences certifiées</t>
  </si>
  <si>
    <t>Meunerie</t>
  </si>
  <si>
    <t>FAB</t>
  </si>
  <si>
    <t>Hors FAB</t>
  </si>
  <si>
    <t>FAF</t>
  </si>
  <si>
    <t>Direct élevage</t>
  </si>
  <si>
    <t>Litière</t>
  </si>
  <si>
    <t>Autres biomatériaux</t>
  </si>
  <si>
    <t>Biocarburants</t>
  </si>
  <si>
    <t>Méthanisation</t>
  </si>
  <si>
    <t>Combustion</t>
  </si>
  <si>
    <t>Epandage</t>
  </si>
  <si>
    <t>Compostage</t>
  </si>
  <si>
    <t>Elimination/Pertes</t>
  </si>
  <si>
    <t>Bilans par campagne - FranceAgriMer</t>
  </si>
  <si>
    <t>Autoconsommation à la ferme</t>
  </si>
  <si>
    <t>Collecte</t>
  </si>
  <si>
    <t>Production de semences certifiées</t>
  </si>
  <si>
    <t>Production d'issues de silo</t>
  </si>
  <si>
    <t>Ratio d'issues de silo</t>
  </si>
  <si>
    <t>Débouchés d'issues de silo</t>
  </si>
  <si>
    <t>Part d'issues de silo consommées par les FAF</t>
  </si>
  <si>
    <t>Part d'issues de silo consommées comme litière</t>
  </si>
  <si>
    <t>Part d'issues de silo compostées</t>
  </si>
  <si>
    <t>Part d'issues de silo consommées comme autres biomatériaux</t>
  </si>
  <si>
    <t>Part d'issues de silo consommées en méthanisation</t>
  </si>
  <si>
    <t>Part d'issues de silo brûlées</t>
  </si>
  <si>
    <t>Part d'issues de silo éliminées</t>
  </si>
  <si>
    <t>BILAN COLZA</t>
  </si>
  <si>
    <t>En milliers de tonnes</t>
  </si>
  <si>
    <t xml:space="preserve">2008/09 </t>
  </si>
  <si>
    <t xml:space="preserve">2009/10  </t>
  </si>
  <si>
    <r>
      <t xml:space="preserve">2010/11      </t>
    </r>
    <r>
      <rPr>
        <sz val="8"/>
        <rFont val="Arial"/>
        <family val="2"/>
      </rPr>
      <t xml:space="preserve">         </t>
    </r>
  </si>
  <si>
    <t xml:space="preserve">2011/12 </t>
  </si>
  <si>
    <r>
      <t>2013/14</t>
    </r>
    <r>
      <rPr>
        <b/>
        <sz val="8"/>
        <rFont val="Arial"/>
        <family val="2"/>
      </rPr>
      <t xml:space="preserve"> </t>
    </r>
  </si>
  <si>
    <t xml:space="preserve">2014/15 </t>
  </si>
  <si>
    <t>Provisoire 01/02/18</t>
  </si>
  <si>
    <t>Prev. 23/05/19</t>
  </si>
  <si>
    <t xml:space="preserve">Surfaces (1000 ha) </t>
  </si>
  <si>
    <t xml:space="preserve">Rendement (qx/ha)     </t>
  </si>
  <si>
    <t xml:space="preserve">Production (1000 t)  </t>
  </si>
  <si>
    <t>Autoconsommation et stock à la ferme</t>
  </si>
  <si>
    <t xml:space="preserve">en % de la production </t>
  </si>
  <si>
    <t>Collecte réalisée au 1er avril</t>
  </si>
  <si>
    <t>en % de la production prév</t>
  </si>
  <si>
    <t>% réalisation par rapport à la collecte prévue</t>
  </si>
  <si>
    <t>Ressources pour le marché</t>
  </si>
  <si>
    <t>Stock de report</t>
  </si>
  <si>
    <t xml:space="preserve">Collecte </t>
  </si>
  <si>
    <t>% par rapport à la production</t>
  </si>
  <si>
    <t>ajustement</t>
  </si>
  <si>
    <t>Importations</t>
  </si>
  <si>
    <r>
      <t>UE</t>
    </r>
    <r>
      <rPr>
        <vertAlign val="superscript"/>
        <sz val="10"/>
        <color indexed="8"/>
        <rFont val="Arial"/>
        <family val="2"/>
      </rPr>
      <t xml:space="preserve"> (1)</t>
    </r>
  </si>
  <si>
    <t>pays tiers</t>
  </si>
  <si>
    <t>Total des ressources</t>
  </si>
  <si>
    <t>Utilisations par le marché</t>
  </si>
  <si>
    <t>Utilisations intérieures</t>
  </si>
  <si>
    <t>trituration</t>
  </si>
  <si>
    <t>incorporation</t>
  </si>
  <si>
    <t>semences</t>
  </si>
  <si>
    <t>freinte</t>
  </si>
  <si>
    <t>autres</t>
  </si>
  <si>
    <t>Exportations</t>
  </si>
  <si>
    <t>UE</t>
  </si>
  <si>
    <t>Total des utilisations</t>
  </si>
  <si>
    <r>
      <t xml:space="preserve">Stocks au 30 juin </t>
    </r>
    <r>
      <rPr>
        <b/>
        <vertAlign val="superscript"/>
        <sz val="14"/>
        <rFont val="Arial"/>
        <family val="2"/>
      </rPr>
      <t>(2)</t>
    </r>
  </si>
  <si>
    <t>dont stock dépôt</t>
  </si>
  <si>
    <t>dont stock FAB</t>
  </si>
  <si>
    <t>dont stock Triturateurs</t>
  </si>
  <si>
    <t>Sources: Estimations FranceAgriMer- Commission bilans- Douanes- GNIS</t>
  </si>
  <si>
    <r>
      <t>(1)</t>
    </r>
    <r>
      <rPr>
        <sz val="11"/>
        <color theme="1"/>
        <rFont val="Calibri"/>
        <family val="2"/>
      </rPr>
      <t xml:space="preserve"> Méthodologie douanière : "Dans les échanges intracommunautaires, si le pays d'origine n'est pas connu, le pays de provenance de la marchandise est privilégié".</t>
    </r>
  </si>
  <si>
    <r>
      <t>(2)</t>
    </r>
    <r>
      <rPr>
        <sz val="11"/>
        <color theme="1"/>
        <rFont val="Calibri"/>
        <family val="2"/>
      </rPr>
      <t xml:space="preserve"> Stock physique d'équilibre, qui peut ne pas être intégralement disponible sur le marché (stock outil, engagements à la vente…).</t>
    </r>
  </si>
  <si>
    <t>vérification</t>
  </si>
  <si>
    <t>BILAN TOURNESOL</t>
  </si>
  <si>
    <t xml:space="preserve">2009/10 </t>
  </si>
  <si>
    <r>
      <t xml:space="preserve">2010/11       </t>
    </r>
    <r>
      <rPr>
        <sz val="8"/>
        <rFont val="Arial"/>
        <family val="2"/>
      </rPr>
      <t/>
    </r>
  </si>
  <si>
    <r>
      <t>2012/13</t>
    </r>
    <r>
      <rPr>
        <b/>
        <sz val="8"/>
        <rFont val="Arial"/>
        <family val="2"/>
      </rPr>
      <t/>
    </r>
  </si>
  <si>
    <r>
      <t>2013/14</t>
    </r>
    <r>
      <rPr>
        <b/>
        <sz val="8"/>
        <rFont val="Arial"/>
        <family val="2"/>
      </rPr>
      <t/>
    </r>
  </si>
  <si>
    <t xml:space="preserve">2015/16 </t>
  </si>
  <si>
    <t>Provisoire 01/02/2019</t>
  </si>
  <si>
    <t>Prév. 23/5/19</t>
  </si>
  <si>
    <t xml:space="preserve">en % de la production prév </t>
  </si>
  <si>
    <t>utilisation humaine et animale</t>
  </si>
  <si>
    <t>BILAN SOJA</t>
  </si>
  <si>
    <t xml:space="preserve">2010/11        </t>
  </si>
  <si>
    <t xml:space="preserve">2013/14 </t>
  </si>
  <si>
    <r>
      <t>2014/15</t>
    </r>
    <r>
      <rPr>
        <b/>
        <sz val="8"/>
        <rFont val="Arial"/>
        <family val="2"/>
      </rPr>
      <t/>
    </r>
  </si>
  <si>
    <r>
      <t>2015/16</t>
    </r>
    <r>
      <rPr>
        <b/>
        <sz val="8"/>
        <rFont val="Arial"/>
        <family val="2"/>
      </rPr>
      <t/>
    </r>
  </si>
  <si>
    <t>provisoire 01/02/18</t>
  </si>
  <si>
    <t xml:space="preserve">Rendement (qxha)     </t>
  </si>
  <si>
    <r>
      <t>UE</t>
    </r>
    <r>
      <rPr>
        <vertAlign val="superscript"/>
        <sz val="10"/>
        <color indexed="8"/>
        <rFont val="Arial"/>
        <family val="2"/>
      </rPr>
      <t xml:space="preserve"> (1)  </t>
    </r>
  </si>
  <si>
    <t>extrusion</t>
  </si>
  <si>
    <t>divers alimentation humaine</t>
  </si>
  <si>
    <r>
      <t xml:space="preserve">(1) </t>
    </r>
    <r>
      <rPr>
        <sz val="11"/>
        <color theme="1"/>
        <rFont val="Calibri"/>
        <family val="2"/>
      </rPr>
      <t xml:space="preserve">Méthodologie douanière : "Dans les échanges intracommunautaires, si le pays d'origine n'est pas connu, le pays de provenance de la marchandise est privilégié". </t>
    </r>
  </si>
  <si>
    <t>Au cas particulier, il s'agit de marchandises originaires de pays tiers transitant par un autre Etat membre de l'UE.</t>
  </si>
  <si>
    <t>(1) Méthodologie douanière : "Dans les échanges intracommunautaires</t>
  </si>
  <si>
    <t xml:space="preserve"> si le pays d'origine n'est pas connu</t>
  </si>
  <si>
    <t xml:space="preserve"> le pays de provenance de la marchandise est privilégié". Au cas particulier</t>
  </si>
  <si>
    <t xml:space="preserve"> il s'agit de marchandises originaires de pays tiers transitant par un autre Etat membre de l'UE.</t>
  </si>
  <si>
    <t>BILAN POIS</t>
  </si>
  <si>
    <r>
      <t>2011/12</t>
    </r>
    <r>
      <rPr>
        <b/>
        <sz val="8"/>
        <rFont val="Arial"/>
        <family val="2"/>
      </rPr>
      <t xml:space="preserve"> </t>
    </r>
  </si>
  <si>
    <r>
      <t>2012/13</t>
    </r>
    <r>
      <rPr>
        <b/>
        <sz val="8"/>
        <rFont val="Arial"/>
        <family val="2"/>
      </rPr>
      <t xml:space="preserve"> </t>
    </r>
  </si>
  <si>
    <t xml:space="preserve">2014/15  </t>
  </si>
  <si>
    <r>
      <t>2015/16</t>
    </r>
    <r>
      <rPr>
        <b/>
        <sz val="8"/>
        <rFont val="Arial"/>
        <family val="2"/>
      </rPr>
      <t xml:space="preserve"> </t>
    </r>
  </si>
  <si>
    <t>TOTAL des ressources</t>
  </si>
  <si>
    <r>
      <t xml:space="preserve">incorporation </t>
    </r>
    <r>
      <rPr>
        <vertAlign val="superscript"/>
        <sz val="11"/>
        <rFont val="Arial"/>
        <family val="2"/>
      </rPr>
      <t>(2)</t>
    </r>
  </si>
  <si>
    <t>alimentation humaine</t>
  </si>
  <si>
    <r>
      <t>autres</t>
    </r>
    <r>
      <rPr>
        <vertAlign val="superscript"/>
        <sz val="11"/>
        <rFont val="Arial"/>
        <family val="2"/>
      </rPr>
      <t xml:space="preserve"> (3)</t>
    </r>
  </si>
  <si>
    <r>
      <t>STOCKS au 30 juin</t>
    </r>
    <r>
      <rPr>
        <b/>
        <vertAlign val="superscript"/>
        <sz val="14"/>
        <rFont val="Arial"/>
        <family val="2"/>
      </rPr>
      <t xml:space="preserve"> (4)</t>
    </r>
  </si>
  <si>
    <r>
      <t>(1)</t>
    </r>
    <r>
      <rPr>
        <sz val="11"/>
        <color theme="1"/>
        <rFont val="Calibri"/>
        <family val="2"/>
      </rPr>
      <t xml:space="preserve"> Méthodologie douanière : "Dans les échanges intracommunautaries, si le pays d'origine n'est pas connu, le pays de provenance de la marchandise est privilégié".</t>
    </r>
  </si>
  <si>
    <r>
      <t>(2)</t>
    </r>
    <r>
      <rPr>
        <sz val="11"/>
        <color theme="1"/>
        <rFont val="Calibri"/>
        <family val="2"/>
      </rPr>
      <t xml:space="preserve"> Chiffres issus des déclarations des FAB - état 13</t>
    </r>
  </si>
  <si>
    <r>
      <t xml:space="preserve">(3) </t>
    </r>
    <r>
      <rPr>
        <sz val="11"/>
        <color theme="1"/>
        <rFont val="Calibri"/>
        <family val="2"/>
      </rPr>
      <t>Y compris achats directs des éleveurs auprès des collecteurs</t>
    </r>
  </si>
  <si>
    <r>
      <t>(4)</t>
    </r>
    <r>
      <rPr>
        <sz val="11"/>
        <color theme="1"/>
        <rFont val="Calibri"/>
        <family val="2"/>
      </rPr>
      <t xml:space="preserve"> Stock physique d'équilibre, qui peut ne pas être intégralement disponible sur le marché (stock outil, engagements à la vente…).</t>
    </r>
  </si>
  <si>
    <t>BILAN FEVEROLE</t>
  </si>
  <si>
    <t>Milliers de tonnes</t>
  </si>
  <si>
    <r>
      <t xml:space="preserve">2011/12    </t>
    </r>
    <r>
      <rPr>
        <sz val="11"/>
        <rFont val="Arial"/>
        <family val="2"/>
      </rPr>
      <t xml:space="preserve"> </t>
    </r>
  </si>
  <si>
    <t xml:space="preserve">2012/13 </t>
  </si>
  <si>
    <r>
      <t>2013/14</t>
    </r>
    <r>
      <rPr>
        <sz val="9"/>
        <rFont val="Arial"/>
        <family val="2"/>
      </rPr>
      <t/>
    </r>
  </si>
  <si>
    <t>Prov 1/2/19</t>
  </si>
  <si>
    <t>Prév. 23/05/19</t>
  </si>
  <si>
    <r>
      <t>UE</t>
    </r>
    <r>
      <rPr>
        <vertAlign val="superscript"/>
        <sz val="11"/>
        <color indexed="8"/>
        <rFont val="Arial"/>
        <family val="2"/>
      </rPr>
      <t xml:space="preserve"> (1)  </t>
    </r>
  </si>
  <si>
    <r>
      <t>incorporation</t>
    </r>
    <r>
      <rPr>
        <vertAlign val="superscript"/>
        <sz val="11"/>
        <rFont val="Arial"/>
        <family val="2"/>
      </rPr>
      <t xml:space="preserve"> (2)</t>
    </r>
  </si>
  <si>
    <r>
      <t>STOCKS au 30 juin</t>
    </r>
    <r>
      <rPr>
        <b/>
        <vertAlign val="superscript"/>
        <sz val="11"/>
        <rFont val="Arial"/>
        <family val="2"/>
      </rPr>
      <t>(4)</t>
    </r>
  </si>
  <si>
    <r>
      <t>(1)</t>
    </r>
    <r>
      <rPr>
        <sz val="11"/>
        <rFont val="Arial"/>
        <family val="2"/>
      </rPr>
      <t xml:space="preserve"> Méthodologie douanière : "Dans les échanges intracommunautaries, si le pays d'origine n'est pas connu, le pays de provenance de la marchandise est privilégié".</t>
    </r>
  </si>
  <si>
    <r>
      <t>(2)</t>
    </r>
    <r>
      <rPr>
        <sz val="11"/>
        <rFont val="Arial"/>
        <family val="2"/>
      </rPr>
      <t xml:space="preserve"> Chiffres issus des déclarations des FAB - "états 13".</t>
    </r>
  </si>
  <si>
    <r>
      <t xml:space="preserve">(3) </t>
    </r>
    <r>
      <rPr>
        <sz val="11"/>
        <rFont val="Arial"/>
        <family val="2"/>
      </rPr>
      <t>Y compris achats directs des éleveurs auprès des collecteurs.</t>
    </r>
  </si>
  <si>
    <r>
      <t>(3)</t>
    </r>
    <r>
      <rPr>
        <sz val="11"/>
        <rFont val="Arial"/>
        <family val="2"/>
      </rPr>
      <t xml:space="preserve"> Stock physique d'équilibre, qui peut ne pas être intégralement disponible sur le marché (stock outil, engagements à la vente…).</t>
    </r>
  </si>
  <si>
    <t>PROV 06/03/25</t>
  </si>
  <si>
    <t>PREV 13/11/24</t>
  </si>
  <si>
    <t>PREV 06/03/25</t>
  </si>
  <si>
    <t xml:space="preserve">
2022/23</t>
  </si>
  <si>
    <t xml:space="preserve">
2024/25</t>
  </si>
  <si>
    <t>BILAN POIS PROTEAGINEUX</t>
  </si>
  <si>
    <t>Le stock à la ferme est négligé</t>
  </si>
  <si>
    <t>Trituration</t>
  </si>
  <si>
    <t>Correspond à la catégorie "utilisation humaine et animale" : on néglige les utilisations animales (petfood ?)</t>
  </si>
  <si>
    <t>Correspond à la somme des catégories "incorporation" et "extrusion"</t>
  </si>
  <si>
    <t>Pas de trituration</t>
  </si>
  <si>
    <t>Création de flux désagrégés</t>
  </si>
  <si>
    <t>Organisme de publication</t>
  </si>
  <si>
    <t>FranceAgriMer</t>
  </si>
  <si>
    <t>Outil</t>
  </si>
  <si>
    <t>Visionet</t>
  </si>
  <si>
    <t>Onglet</t>
  </si>
  <si>
    <t>rep:Données et chiffres\multi-filières\Observatoire de la biomasse\agriculture\issues de silos</t>
  </si>
  <si>
    <t>Fichier</t>
  </si>
  <si>
    <t>Ratio d'issues</t>
  </si>
  <si>
    <t>Taux d'humidité</t>
  </si>
  <si>
    <t>tMS</t>
  </si>
  <si>
    <t>tMB</t>
  </si>
  <si>
    <t>%</t>
  </si>
  <si>
    <r>
      <t>Sources</t>
    </r>
    <r>
      <rPr>
        <sz val="8"/>
        <rFont val="Marianne"/>
        <family val="3"/>
      </rPr>
      <t xml:space="preserve"> :</t>
    </r>
    <r>
      <rPr>
        <sz val="10"/>
        <rFont val="Arial"/>
        <family val="2"/>
      </rPr>
      <t/>
    </r>
  </si>
  <si>
    <r>
      <rPr>
        <u/>
        <sz val="8"/>
        <rFont val="Marianne"/>
        <family val="3"/>
      </rPr>
      <t>Collecte</t>
    </r>
    <r>
      <rPr>
        <sz val="8"/>
        <rFont val="Marianne"/>
        <family val="3"/>
      </rPr>
      <t xml:space="preserve"> : FranceAgriMer, Collecte grandes cultures, </t>
    </r>
    <r>
      <rPr>
        <i/>
        <sz val="8"/>
        <rFont val="Marianne"/>
        <family val="3"/>
      </rPr>
      <t>Visionet</t>
    </r>
    <r>
      <rPr>
        <sz val="8"/>
        <rFont val="Marianne"/>
        <family val="3"/>
      </rPr>
      <t>, campagne 2022/23</t>
    </r>
  </si>
  <si>
    <r>
      <rPr>
        <u/>
        <sz val="8"/>
        <rFont val="Marianne"/>
        <family val="3"/>
      </rPr>
      <t>Ratios d'issues et taux d'humidité</t>
    </r>
    <r>
      <rPr>
        <sz val="8"/>
        <rFont val="Marianne"/>
        <family val="3"/>
      </rPr>
      <t xml:space="preserve"> : FRCA et Chambre Régionale d’Agriculture d’île de France, « Cartographie et de la quantification des agro-ressources en Île de France », 2007, citée dans l'étude "PANORAMA DES COPRODUITS ET RESIDUS BIOMASSE A USAGE DES FILIERES CHIMIE ET MATERIAUX BIOSOURCES EN FRANCE", Tech2Market, CVG et FRD pour l'Ademe, 2015</t>
    </r>
  </si>
  <si>
    <t>VU0103</t>
  </si>
  <si>
    <t>VU0202</t>
  </si>
  <si>
    <t>VU0204</t>
  </si>
  <si>
    <t>VU0503</t>
  </si>
  <si>
    <t>VU0501</t>
  </si>
  <si>
    <t>Volumes d'usage alimentation animale - FAF (*)</t>
  </si>
  <si>
    <t>Région administrative</t>
  </si>
  <si>
    <t>Volumes d'usage Litière animale</t>
  </si>
  <si>
    <t>Volumes d'usage compostage</t>
  </si>
  <si>
    <t>Volumes d'usage Matériaux biosourcés - Autres (appâts de chasse)</t>
  </si>
  <si>
    <t>Volumes d'usage méthanisation</t>
  </si>
  <si>
    <t>Volumes d'usage combustion</t>
  </si>
  <si>
    <r>
      <t xml:space="preserve">Volumes d'usages </t>
    </r>
    <r>
      <rPr>
        <b/>
        <sz val="9"/>
        <color indexed="9"/>
        <rFont val="Calibri"/>
        <family val="2"/>
      </rPr>
      <t>É</t>
    </r>
    <r>
      <rPr>
        <b/>
        <sz val="9"/>
        <color indexed="9"/>
        <rFont val="Marianne"/>
        <family val="3"/>
      </rPr>
      <t>limination</t>
    </r>
  </si>
  <si>
    <t>(*) FAF = Fabrication à la ferme d'aliments pour animaux de rente</t>
  </si>
  <si>
    <r>
      <rPr>
        <b/>
        <sz val="8"/>
        <rFont val="Marianne"/>
        <family val="3"/>
      </rPr>
      <t>Source</t>
    </r>
    <r>
      <rPr>
        <sz val="8"/>
        <rFont val="Marianne"/>
        <family val="3"/>
      </rPr>
      <t xml:space="preserve"> : Coop de France, "Maîtrise de la qualité des issues de silos et de leurs débouchés", </t>
    </r>
    <r>
      <rPr>
        <i/>
        <sz val="8"/>
        <rFont val="Marianne"/>
        <family val="3"/>
      </rPr>
      <t>Les enquêtes de Coop de France</t>
    </r>
    <r>
      <rPr>
        <sz val="8"/>
        <rFont val="Marianne"/>
        <family val="3"/>
      </rPr>
      <t>, Septembre 2019</t>
    </r>
  </si>
  <si>
    <r>
      <rPr>
        <b/>
        <sz val="8"/>
        <rFont val="Marianne"/>
        <family val="3"/>
      </rPr>
      <t xml:space="preserve">Source </t>
    </r>
    <r>
      <rPr>
        <sz val="8"/>
        <rFont val="Marianne"/>
        <family val="3"/>
      </rPr>
      <t xml:space="preserve">: Coop de France, "Maîtrise de la qualité des issues de silos et de leurs débouchés", </t>
    </r>
    <r>
      <rPr>
        <i/>
        <sz val="8"/>
        <rFont val="Marianne"/>
        <family val="3"/>
      </rPr>
      <t>Les enquêtes de Coop de France</t>
    </r>
    <r>
      <rPr>
        <sz val="8"/>
        <rFont val="Marianne"/>
        <family val="3"/>
      </rPr>
      <t>, Septembre 2019</t>
    </r>
  </si>
  <si>
    <r>
      <t xml:space="preserve">Source : Coop de France, "Maîtrise de la qualité des issues de silos et de leurs débouchés", </t>
    </r>
    <r>
      <rPr>
        <i/>
        <sz val="8"/>
        <rFont val="Marianne"/>
        <family val="3"/>
      </rPr>
      <t>Les enquêtes de Coop de France</t>
    </r>
    <r>
      <rPr>
        <sz val="8"/>
        <rFont val="Marianne"/>
        <family val="3"/>
      </rPr>
      <t>, Septembre 2019</t>
    </r>
  </si>
  <si>
    <r>
      <t>Le ratio d'usage combustion est calculé au prorata des ratios d'usages recensés dans l'enquête "</t>
    </r>
    <r>
      <rPr>
        <i/>
        <sz val="8"/>
        <rFont val="Marianne"/>
        <family val="3"/>
      </rPr>
      <t>Maîtrise de la qualité des issues de silos et de leurs débouchés</t>
    </r>
    <r>
      <rPr>
        <sz val="8"/>
        <rFont val="Marianne"/>
        <family val="3"/>
      </rPr>
      <t xml:space="preserve">" menée par La Coopérative Agricole en 2017, en tenant compte de l'exclusivité des issues de maïs, parmi les issues de silos, sur l'usage compostage : </t>
    </r>
  </si>
  <si>
    <r>
      <t xml:space="preserve">Selon l'enquête source, seule les issues de </t>
    </r>
    <r>
      <rPr>
        <u/>
        <sz val="8"/>
        <rFont val="Marianne"/>
        <family val="3"/>
      </rPr>
      <t>maïs</t>
    </r>
    <r>
      <rPr>
        <sz val="8"/>
        <rFont val="Marianne"/>
        <family val="3"/>
      </rPr>
      <t xml:space="preserve"> sont valorisées en compostage </t>
    </r>
    <r>
      <rPr>
        <i/>
        <sz val="8"/>
        <rFont val="Marianne"/>
        <family val="3"/>
      </rPr>
      <t>==&gt; voir tableau ressource "Issues de maïs"</t>
    </r>
  </si>
  <si>
    <r>
      <t>Le ratio d'usage méthanisation est calculé au prorata des ratios d'usages recensés dans l'enquête "</t>
    </r>
    <r>
      <rPr>
        <i/>
        <sz val="8"/>
        <rFont val="Marianne"/>
        <family val="3"/>
      </rPr>
      <t>Maîtrise de la qualité des issues de silos et de leurs débouchés</t>
    </r>
    <r>
      <rPr>
        <sz val="8"/>
        <rFont val="Marianne"/>
        <family val="3"/>
      </rPr>
      <t xml:space="preserve">" menée par La Coopérative Agricole en 2017, en tenant compte de l'exclusivité des issues de maïs, parmi les issues de silos, sur l'usage compostage : </t>
    </r>
  </si>
  <si>
    <r>
      <t>Le ratio d'usages divers est calculé au prorata des ratios d'usages recensés dans l'enquête "</t>
    </r>
    <r>
      <rPr>
        <i/>
        <sz val="8"/>
        <rFont val="Marianne"/>
        <family val="3"/>
      </rPr>
      <t>Maîtrise de la qualité des issues de silos et de leurs débouchés</t>
    </r>
    <r>
      <rPr>
        <sz val="8"/>
        <rFont val="Marianne"/>
        <family val="3"/>
      </rPr>
      <t xml:space="preserve">" menée par La Coopérative Agricole en 2017, en tenant compte de l'exclusivité des issues de maïs, parmi les issues de silos, sur l'usage compostage : </t>
    </r>
  </si>
  <si>
    <r>
      <t>Le ratio d'usage alimentation animale est calculé au prorata des ratios d'usages recensés dans l'enquête "</t>
    </r>
    <r>
      <rPr>
        <i/>
        <sz val="8"/>
        <rFont val="Marianne"/>
        <family val="3"/>
      </rPr>
      <t>Maîtrise de la qualité des issues de silos et de leurs débouchés</t>
    </r>
    <r>
      <rPr>
        <sz val="8"/>
        <rFont val="Marianne"/>
        <family val="3"/>
      </rPr>
      <t xml:space="preserve">" menée par La Coopérative Agricole en 2017, en tenant compte de l'exclusivité des issues de maïs, parmi les issues de silos, sur l'usage compostage : </t>
    </r>
  </si>
  <si>
    <r>
      <rPr>
        <sz val="8"/>
        <rFont val="Marianne"/>
        <family val="3"/>
      </rPr>
      <t>Donc le</t>
    </r>
    <r>
      <rPr>
        <b/>
        <sz val="8"/>
        <rFont val="Marianne"/>
        <family val="3"/>
      </rPr>
      <t xml:space="preserve"> ratio d'usage combustion = (ratio d'usage combustion des issues de silos selon l'enquête / (100 - ratio d'usage compostage des issues de silos selon l'enquête) * (100 - ratio d'usage compostage issues de céréales déduit (*) )</t>
    </r>
  </si>
  <si>
    <r>
      <t xml:space="preserve">Donc le </t>
    </r>
    <r>
      <rPr>
        <b/>
        <sz val="8"/>
        <rFont val="Marianne"/>
        <family val="3"/>
      </rPr>
      <t>ratio d'usage méthanisation = (ratio d'usage méthanisation des issues de silos selon l'enquête / (100 - ratio d'usage compostage des issues de silos selon l'enquête) * (100 - ratio d'usage compostage issues de céréales déduit (*) )</t>
    </r>
  </si>
  <si>
    <r>
      <rPr>
        <sz val="8"/>
        <rFont val="Marianne"/>
        <family val="3"/>
      </rPr>
      <t>Donc le</t>
    </r>
    <r>
      <rPr>
        <b/>
        <sz val="8"/>
        <rFont val="Marianne"/>
        <family val="3"/>
      </rPr>
      <t xml:space="preserve"> ratio d'usages divers = (ratio d'usages divers des issues de silos selon l'enquête / (100 - ratio d'usage compostage des issues de silos selon l'enquête) * (100 - ratio d'usage compostage issues de céréales déduit (*) )</t>
    </r>
  </si>
  <si>
    <r>
      <t xml:space="preserve">Donc le </t>
    </r>
    <r>
      <rPr>
        <b/>
        <sz val="8"/>
        <rFont val="Marianne"/>
        <family val="3"/>
      </rPr>
      <t>ratio d'usage alimentation animale = (ratio d'usage alimentation animale des issues de silos selon l'enquête / (100 - ratio d'usage compostage des issues de silos selon l'enquête) * (100 - ratio d'usage compostage issues de céréales déduit (*) )</t>
    </r>
  </si>
  <si>
    <t>(*) voir onglet "VU0202-Compostage"</t>
  </si>
  <si>
    <t>Issues d'oléagineux (VTP)</t>
  </si>
  <si>
    <t>Collecte de lin oléagineux, colza, tournesol et soja</t>
  </si>
  <si>
    <t>STA-MUL-ONRBAgriSissuesOleagineux-A22-23 et STA-MUL-ONRBAgriSissuesProteagineux-A22-23</t>
  </si>
  <si>
    <t>Ratios d'issues des oléagineux et protéagineux et ventilation de leurs débouchés</t>
  </si>
  <si>
    <t>ONRB - FAM</t>
  </si>
  <si>
    <t>Issues de protéagineux (VTP)</t>
  </si>
  <si>
    <t>Collecte de pois, fèves et fèverolles</t>
  </si>
  <si>
    <t>Colza:Tournesol:Soja:Lin</t>
  </si>
  <si>
    <t>Pois:Féverole</t>
  </si>
  <si>
    <t>Colza:Tournesol:Soja:Lin:Pois:Fèverole</t>
  </si>
  <si>
    <t>Même ratio d'issues de silo que les pois et fèveroles</t>
  </si>
  <si>
    <t>Mêmes usages que les issues de silo de pois et fèveroles</t>
  </si>
  <si>
    <t>Pertes à la ferme</t>
  </si>
  <si>
    <t>Proposition de Terres Univia, d'après ORIFLAAM</t>
  </si>
  <si>
    <t>Colza et tournesol</t>
  </si>
  <si>
    <t>entre 0 et 0,1 % d'après ORIFLAAM</t>
  </si>
  <si>
    <t>entre 1 et 2,6 % d'après ORIFLAAM</t>
  </si>
  <si>
    <t>Soja, pois et féverole</t>
  </si>
  <si>
    <t>Ratio de pertes à la ferme</t>
  </si>
  <si>
    <t>Même ratio de pertes à la ferme que soja, pois et féverole</t>
  </si>
  <si>
    <t>Même ratio de pertes à la ferme que colza et tournesol</t>
  </si>
  <si>
    <t>Colza:Tournesol</t>
  </si>
  <si>
    <t>Soja:Pois:Féverole</t>
  </si>
  <si>
    <t>Esrimation de la part de semences fermières</t>
  </si>
  <si>
    <t>2017, 2021</t>
  </si>
  <si>
    <t>SSP - Agreste - Enquête Pratiques culturales en grandes cultures</t>
  </si>
  <si>
    <t>Part de semences fermières par rapport aux semences certifiées</t>
  </si>
  <si>
    <t>2015 (=2017)</t>
  </si>
  <si>
    <t>2019 (=moy 2017, 2021)</t>
  </si>
  <si>
    <t>2023 (=2021)</t>
  </si>
  <si>
    <t>Remarque : On fait l'hypothèse que les semences mélangées contiennent 50 % de semences certifiées et 50 % de semences fermières.</t>
  </si>
  <si>
    <t>ns</t>
  </si>
  <si>
    <t>Orge de printemps</t>
  </si>
  <si>
    <t>Orge d'hiver</t>
  </si>
  <si>
    <t>Avoine de printemps</t>
  </si>
  <si>
    <t>Avoine d'hiver</t>
  </si>
  <si>
    <t>Mélange de céréales avec protéagineux</t>
  </si>
  <si>
    <t>Source : SSP - Agreste - Enquête Pratiques culturales en grandes cultures 2021</t>
  </si>
  <si>
    <t>Autres</t>
  </si>
  <si>
    <t>Part de semences fermières (par rapport aux semences certifiées)</t>
  </si>
  <si>
    <t>Autant de semences fermières que de semences certifiées sont produites</t>
  </si>
  <si>
    <t>Enquête Pratiques culturales en grandes cultures - SSP</t>
  </si>
  <si>
    <t>Production de semences fermières</t>
  </si>
  <si>
    <t>Hyp : même répartition pour 2021 que pour 2017</t>
  </si>
  <si>
    <t>Ca fait une erreur si je renseigne 100 % des usages (alors que pourtant ça marchait dans le fichier Céréales)</t>
  </si>
  <si>
    <t>Les issues de silo sont éliminées</t>
  </si>
  <si>
    <t>Données extraites le14/04/2025 13:35:21 depuis [ESTAT]</t>
  </si>
  <si>
    <t>Commerce UE depuis 1988 par SH2,4,6 et NC8 [ds-045409__custom_16253793]</t>
  </si>
  <si>
    <t>18/03/2025 11:00</t>
  </si>
  <si>
    <t>Monthly</t>
  </si>
  <si>
    <t>2015-07</t>
  </si>
  <si>
    <t>2015-08</t>
  </si>
  <si>
    <t>2015-09</t>
  </si>
  <si>
    <t>2015-10</t>
  </si>
  <si>
    <t>2015-11</t>
  </si>
  <si>
    <t>2015-12</t>
  </si>
  <si>
    <t>2016-01</t>
  </si>
  <si>
    <t>2016-02</t>
  </si>
  <si>
    <t>2016-03</t>
  </si>
  <si>
    <t>2016-04</t>
  </si>
  <si>
    <t>2016-05</t>
  </si>
  <si>
    <t>2016-06</t>
  </si>
  <si>
    <t>2019-07</t>
  </si>
  <si>
    <t>2019-08</t>
  </si>
  <si>
    <t>2019-09</t>
  </si>
  <si>
    <t>2019-10</t>
  </si>
  <si>
    <t>2019-11</t>
  </si>
  <si>
    <t>2019-12</t>
  </si>
  <si>
    <t>2020-01</t>
  </si>
  <si>
    <t>2020-02</t>
  </si>
  <si>
    <t>2020-03</t>
  </si>
  <si>
    <t>2020-04</t>
  </si>
  <si>
    <t>2020-05</t>
  </si>
  <si>
    <t>2020-06</t>
  </si>
  <si>
    <t>2023-07</t>
  </si>
  <si>
    <t>2023-08</t>
  </si>
  <si>
    <t>2023-09</t>
  </si>
  <si>
    <t>2023-10</t>
  </si>
  <si>
    <t>2023-11</t>
  </si>
  <si>
    <t>2023-12</t>
  </si>
  <si>
    <t>2024-01</t>
  </si>
  <si>
    <t>2024-02</t>
  </si>
  <si>
    <t>2024-03</t>
  </si>
  <si>
    <t>2024-04</t>
  </si>
  <si>
    <t>2024-05</t>
  </si>
  <si>
    <t>2024-06</t>
  </si>
  <si>
    <t>Haricots {Vigna spp., Phaseolus spp.}, préparés ou conservés autrement qu'au vinaigre ou à l'acide acétique, non congelés (à l'excl. des haricots en grains)</t>
  </si>
  <si>
    <t>Tourteaux et autres résidus solides, même broyés ou agglomérés sous forme de pellets, de l'extraction de l'huile d'arachide</t>
  </si>
  <si>
    <t>Tourteaux et autres résidus solides, même broyés ou agglomérés sous forme de pellets, de l'extraction de graisses ou huiles végétales (à l'excl. des tourteaux et autres résidus solides de l'extraction des graisses ou huiles de soja, d'arachide, de coton, de lin, de tournesol, de graines de navette ou de colza, de noix de coco ou de coprah et de noix ou d'amandes de palmiste)</t>
  </si>
  <si>
    <t>Echanges (kt)</t>
  </si>
  <si>
    <t>RefFlux</t>
  </si>
  <si>
    <t>NC8</t>
  </si>
  <si>
    <t>Filière</t>
  </si>
  <si>
    <t>Graine</t>
  </si>
  <si>
    <t>Graines récoltées</t>
  </si>
  <si>
    <t>Graines autoconsommées</t>
  </si>
  <si>
    <t>Graines collectées</t>
  </si>
  <si>
    <t>Consommation de graines à la ferme directement</t>
  </si>
  <si>
    <t>Le reste des graines autoconsommées est consommé en alimentation animale rente hors FAB</t>
  </si>
  <si>
    <t>Pas de consommation de graines en alimentation humaine</t>
  </si>
  <si>
    <t>Consommation de graines en alimentation humaine</t>
  </si>
  <si>
    <t>Consommation de graines par la Trituration</t>
  </si>
  <si>
    <t>Pour relier les graines récoltées à la ferme</t>
  </si>
  <si>
    <t>Consommation de graines par les FAB</t>
  </si>
  <si>
    <t>Olive</t>
  </si>
  <si>
    <t>Olives préparées</t>
  </si>
  <si>
    <t>Légumes préparés</t>
  </si>
  <si>
    <t>Sauce soja</t>
  </si>
  <si>
    <t>Résidus de transformation</t>
  </si>
  <si>
    <t>Tourteaux et grignons</t>
  </si>
  <si>
    <t>Arachide</t>
  </si>
  <si>
    <t>Coton</t>
  </si>
  <si>
    <t>Noix de coco</t>
  </si>
  <si>
    <t>Noix ou palmiste</t>
  </si>
  <si>
    <t>Soja, brute</t>
  </si>
  <si>
    <t>Soja, raffinée</t>
  </si>
  <si>
    <t>Olive, brute</t>
  </si>
  <si>
    <t>Olive, raffinée</t>
  </si>
  <si>
    <t>Palme, brute</t>
  </si>
  <si>
    <t>Palme, raffinée</t>
  </si>
  <si>
    <t>Tournesol, brute</t>
  </si>
  <si>
    <t>Tournesol, raffinée</t>
  </si>
  <si>
    <t>Coton, brute</t>
  </si>
  <si>
    <t>Coton, raffinée</t>
  </si>
  <si>
    <t>Coco, brute</t>
  </si>
  <si>
    <t>Coco, raffinée</t>
  </si>
  <si>
    <t>Palmiste, brute</t>
  </si>
  <si>
    <t>Palmiste, raffinée</t>
  </si>
  <si>
    <t>Colza, brute</t>
  </si>
  <si>
    <t>Colza, raffinée</t>
  </si>
  <si>
    <t>Lin, brute</t>
  </si>
  <si>
    <t>Lin, raffinée</t>
  </si>
  <si>
    <t>Ricin, raffinée</t>
  </si>
  <si>
    <t>Sésame, brute</t>
  </si>
  <si>
    <t>Sésame, raffinée</t>
  </si>
  <si>
    <t>Haricot sec</t>
  </si>
  <si>
    <t>Lentille</t>
  </si>
  <si>
    <t>#fac55c:#f7c7ac:#c15940:#996633:#deddc2:#698763:#ffd757:#cb9763:#ffcc99:#81e3c5:#8e8e8e</t>
  </si>
  <si>
    <t>Oléoprotéagineux</t>
  </si>
  <si>
    <t>Importation de graines</t>
  </si>
  <si>
    <t>Exportation de graines</t>
  </si>
  <si>
    <t>Douanes françaises - Eurostat</t>
  </si>
  <si>
    <t>Les échanges de lupin sont négligés</t>
  </si>
  <si>
    <t>2019-20:2023-24</t>
  </si>
  <si>
    <t>Ecart statistique constaté dans les données collectées, demandant une réconciliation</t>
  </si>
  <si>
    <t>Pas d'écart stat les autres années</t>
  </si>
  <si>
    <t>2015-16:2019-20</t>
  </si>
  <si>
    <t>Pas d'écart stat pour les autres oléoprotéagineux</t>
  </si>
  <si>
    <t>FEDIOL</t>
  </si>
  <si>
    <t>Copra</t>
  </si>
  <si>
    <t>Palmiste</t>
  </si>
  <si>
    <t>Graines de lin</t>
  </si>
  <si>
    <t>Ricin</t>
  </si>
  <si>
    <t>Sésame</t>
  </si>
  <si>
    <t>Germes de maïs</t>
  </si>
  <si>
    <t>Pépins de raisin</t>
  </si>
  <si>
    <t>Palme</t>
  </si>
  <si>
    <t>Tourteau</t>
  </si>
  <si>
    <t>Graines</t>
  </si>
  <si>
    <t>Rendement de production d'huile brute</t>
  </si>
  <si>
    <t>Rendement de production de tourteaux</t>
  </si>
  <si>
    <t>Moyenne des rendements de 2019 et 2023</t>
  </si>
  <si>
    <t>Rendement de trituration</t>
  </si>
  <si>
    <t>m3</t>
  </si>
  <si>
    <t>Matières premières utilisées dans la production des biocarburants incorporés dans la filière gazole</t>
  </si>
  <si>
    <t xml:space="preserve">Les volumes paraissent trop élevés par rapport au disponible (surtout pour le colza, et j'ai le même problème pour le maïs et le blé pour le bioéthanol) </t>
  </si>
  <si>
    <t>2 sources d'erreurs éventuelles :</t>
  </si>
  <si>
    <t>Le rendement de transformation de l'huile en biodiesel serait supérieur à 100 % (en masse)</t>
  </si>
  <si>
    <t>Il n'y aurait pas toutes les importations d'huile dans la filière : pas celles pour produire du biodiesel notemment</t>
  </si>
  <si>
    <t>Carbure</t>
  </si>
  <si>
    <t>kg/m3</t>
  </si>
  <si>
    <t>Huile alimentaire usagée</t>
  </si>
  <si>
    <t>Huile de palme</t>
  </si>
  <si>
    <t>Autre</t>
  </si>
  <si>
    <t>Gazole</t>
  </si>
  <si>
    <t>Essence</t>
  </si>
  <si>
    <t>Betterave</t>
  </si>
  <si>
    <t>Blé</t>
  </si>
  <si>
    <t>Résidus viniques</t>
  </si>
  <si>
    <t>Déchets industriels</t>
  </si>
  <si>
    <t>Huiles ou graisses animales (catégorie III)</t>
  </si>
  <si>
    <t>Canne à sucre</t>
  </si>
  <si>
    <t>Egouts peuvres de 2ème extraction</t>
  </si>
  <si>
    <t>Marc de raisin</t>
  </si>
  <si>
    <t>Tournesol:Soja:Lin</t>
  </si>
  <si>
    <t>La consommation d'huile pour la fabrication de biodiesel est négligée</t>
  </si>
  <si>
    <t>Consommation d'huile pour la fabrication de biodiesel</t>
  </si>
  <si>
    <t>Tournesol:Lin</t>
  </si>
  <si>
    <t>Soja:Lin</t>
  </si>
  <si>
    <t>L'huile peut être autoconsommée</t>
  </si>
  <si>
    <t>L'huile peut être consommée par des circuits spécialisés</t>
  </si>
  <si>
    <t>L'huile est consommée en RHD</t>
  </si>
  <si>
    <t>L'huile est consommée par les autres IAA</t>
  </si>
  <si>
    <t>L'huile est consommée pour des usages techniques</t>
  </si>
  <si>
    <t>Pépins de raisins</t>
  </si>
  <si>
    <t>Pour friture</t>
  </si>
  <si>
    <t>Combinées/Mélanges</t>
  </si>
  <si>
    <t>en Ml</t>
  </si>
  <si>
    <t>Masse volumique de l'huile moyenne</t>
  </si>
  <si>
    <t>en kt</t>
  </si>
  <si>
    <t>En kt</t>
  </si>
  <si>
    <t>SAA - SSP</t>
  </si>
  <si>
    <t>Olives de table</t>
  </si>
  <si>
    <t>France Olive</t>
  </si>
  <si>
    <t>Fiche Oléiculture, 2025 - FAM</t>
  </si>
  <si>
    <t>Marché de l'huile d'olive Monde, Europe, France, Campagne 2019-20 - FAM</t>
  </si>
  <si>
    <t>Ventes huile française</t>
  </si>
  <si>
    <t>Variation de stock</t>
  </si>
  <si>
    <t>Market Olea, 2016 - FAM</t>
  </si>
  <si>
    <t>Ventes d'huile en GMS</t>
  </si>
  <si>
    <t>Rapport d'activités 2015, AFIDOL</t>
  </si>
  <si>
    <t>Rapport d'activités 2019, AFIDOL</t>
  </si>
  <si>
    <t>Rapport d'activités 2020, AFIDOL</t>
  </si>
  <si>
    <t>Ventes d'olives en GMS</t>
  </si>
  <si>
    <t>AFIDOL</t>
  </si>
  <si>
    <t>Rapport d'activités 2023, AFIDOL</t>
  </si>
  <si>
    <t>Consommation totale</t>
  </si>
  <si>
    <t>Rapport d'activités 2016, AFIDOL</t>
  </si>
  <si>
    <t>Huile d'olive</t>
  </si>
  <si>
    <t>Grignons d'olive</t>
  </si>
  <si>
    <t>Olives</t>
  </si>
  <si>
    <t>Moulin</t>
  </si>
  <si>
    <t>Conservation ou préparation d'olives</t>
  </si>
  <si>
    <t>Consommation d'olives par les moulins</t>
  </si>
  <si>
    <t>Statistique Agricole Annuelle - SSP</t>
  </si>
  <si>
    <t>Nielsen</t>
  </si>
  <si>
    <t>Production d'huile d'olive</t>
  </si>
  <si>
    <t>Consommation d'huile d'olive par les GMS</t>
  </si>
  <si>
    <t>Consommation totale d'huile d'olive</t>
  </si>
  <si>
    <t>Production d'olives de table</t>
  </si>
  <si>
    <t>Consommation d'olives de table par les GMS</t>
  </si>
  <si>
    <t>Consommation totale d'olives de table</t>
  </si>
  <si>
    <t>Pour relier les olives de table</t>
  </si>
  <si>
    <t>Colza:Tournesol:Soja:Lin:Pois:Féverole:Lupin:Lentille:Pois chiche:Haricot sec</t>
  </si>
  <si>
    <t>Pas d'olives dans les autres filières</t>
  </si>
  <si>
    <t>Les grignons d'olive sont valorisés en alimentation animale</t>
  </si>
  <si>
    <t>Production de grignons d'olive</t>
  </si>
  <si>
    <t>Consommation de grignons d'olive en alimentation animale</t>
  </si>
  <si>
    <t>Importation d'huile</t>
  </si>
  <si>
    <t>Exportation d'huile</t>
  </si>
  <si>
    <t>Importation d'olives</t>
  </si>
  <si>
    <t>Exportation d'olives</t>
  </si>
  <si>
    <t>Importation d'huile d'olive</t>
  </si>
  <si>
    <t>Exportation d'huile d'olive</t>
  </si>
  <si>
    <t>Olives, huile d'olive, olives de table et grignons d'olive</t>
  </si>
  <si>
    <t>Importation d'olives de table</t>
  </si>
  <si>
    <t>Exportation d'olives de table</t>
  </si>
  <si>
    <t>Importation de grignons d'olive</t>
  </si>
  <si>
    <t>Exportation de grignons d'olive</t>
  </si>
  <si>
    <t>Ecart stat sur les olives</t>
  </si>
  <si>
    <t>2015-16:2023-24</t>
  </si>
  <si>
    <t>Importation de tourteaux</t>
  </si>
  <si>
    <t>Exportation de tourteaux</t>
  </si>
  <si>
    <t>VU0102- Fabrication industrielle d'aliments pour animaux de rente - FAB</t>
  </si>
  <si>
    <r>
      <rPr>
        <b/>
        <sz val="10"/>
        <rFont val="Arial"/>
        <family val="2"/>
      </rPr>
      <t>Source :</t>
    </r>
    <r>
      <rPr>
        <sz val="10"/>
        <rFont val="Arial"/>
        <family val="2"/>
      </rPr>
      <t xml:space="preserve"> Enquête sur les "Gisements et valorisations des coproduits des industries agroalimentaires", Reseda pour le compte de l'Institut de l'élevage, FranceAgriMer et Valoria, 2017 (données collectées auprès de la FNCG et Terres Univia en 2016)</t>
    </r>
  </si>
  <si>
    <t>VU0103- Fabrication à la ferme d'aliments pour animaux de rente  - FAF</t>
  </si>
  <si>
    <t>Tournsesol + Soja</t>
  </si>
  <si>
    <t>Usages des tourteaux</t>
  </si>
  <si>
    <t>ONRB - FranceAgriMer</t>
  </si>
  <si>
    <t>Part de tourteaux consommés par les FAB</t>
  </si>
  <si>
    <t>Tournesol:Soja</t>
  </si>
  <si>
    <t>Mêmes usages que les tourteaux de tournesol et de soja</t>
  </si>
  <si>
    <t>#B5E6A2:#B5E6A2:#B5E6A2:#94DCF8:#94DCF8:#94DCF8</t>
  </si>
  <si>
    <t>Consommation d'huile par les GMS</t>
  </si>
  <si>
    <t>Récolte (Agreste)</t>
  </si>
  <si>
    <t>Collecte (FAM)</t>
  </si>
  <si>
    <t>Stock initial (FAM)</t>
  </si>
  <si>
    <t>Stock final (FAM)</t>
  </si>
  <si>
    <t>Semences certifiées (FAM)</t>
  </si>
  <si>
    <t>Utilisation de la donnée 2015</t>
  </si>
  <si>
    <t>Utilisation de la donnée 2019</t>
  </si>
  <si>
    <t>Utilisation de la donnée 2023</t>
  </si>
  <si>
    <t>FAB (FAM)</t>
  </si>
  <si>
    <t>IAA</t>
  </si>
  <si>
    <t>Légumes secs bruts</t>
  </si>
  <si>
    <t>2023/2019</t>
  </si>
  <si>
    <t>Légumes secs appertisés</t>
  </si>
  <si>
    <t>Légumes secs surgelés</t>
  </si>
  <si>
    <t>Produits au soja</t>
  </si>
  <si>
    <t>Boissons au soja</t>
  </si>
  <si>
    <t>Desserts au soja</t>
  </si>
  <si>
    <t>Alternatives végétales</t>
  </si>
  <si>
    <t>Mentionne au moins une légumineuse</t>
  </si>
  <si>
    <t>nd</t>
  </si>
  <si>
    <t>Aides culinaires</t>
  </si>
  <si>
    <t>Circuits spécialisés/GMS</t>
  </si>
  <si>
    <t>Fève</t>
  </si>
  <si>
    <t>Plats cuisinés appertisés (&gt; 10 %)</t>
  </si>
  <si>
    <t>Plats traiteurs libre-service (&gt; 10 %)</t>
  </si>
  <si>
    <t>Alternatives végétales (&gt; 10 %)</t>
  </si>
  <si>
    <t>Produits surgelés salés (&gt; 10 %)</t>
  </si>
  <si>
    <t>Pâtes alimentaires sèches (&gt; 10 %)</t>
  </si>
  <si>
    <t>Snacks apéritifs salés (&gt; 10 %)</t>
  </si>
  <si>
    <t>Farines (&gt; 10 %)</t>
  </si>
  <si>
    <t>Houmous</t>
  </si>
  <si>
    <t>Vrac</t>
  </si>
  <si>
    <t>2023 (min)</t>
  </si>
  <si>
    <t>2023 (max)</t>
  </si>
  <si>
    <t>Minimum 10 %</t>
  </si>
  <si>
    <t>Moyenne 20 % (arbitraire)</t>
  </si>
  <si>
    <t>2023 (moy)</t>
  </si>
  <si>
    <t>Maximum 100 %</t>
  </si>
  <si>
    <t>Hyp : 50 % de pois chiches dans le houmous</t>
  </si>
  <si>
    <t>Spécialisés</t>
  </si>
  <si>
    <t>Total</t>
  </si>
  <si>
    <t>Remarque : Les parts de marché RHD/GMS semblent être sensiblement les mêmes entre 2023 et 2019 pour les produits pour lesquels des volumes 2019 étaient connus (légumes secs bruts et appertisés)</t>
  </si>
  <si>
    <t>Hypothèse : Même répartition des circuits de distribution en 2015 et 2019 qu'en 2023</t>
  </si>
  <si>
    <t>OléoProtéines - Terres Univia</t>
  </si>
  <si>
    <t>Produits alimentaires</t>
  </si>
  <si>
    <t>Fabrication de produits alimentaires</t>
  </si>
  <si>
    <t>Pour relier les produits alimentaires</t>
  </si>
  <si>
    <t>Consommation de produits alimentaires par les circuits spécialisés (en volume de matière première)</t>
  </si>
  <si>
    <t>Consommation de produits alimentaires par les GMS (en volume de matière première)</t>
  </si>
  <si>
    <t>Consommation de produits alimentaires par la RHD (en volume de matière première)</t>
  </si>
  <si>
    <t>Consommation de produits alimentaires par les autres IAA (en volume de matière première)</t>
  </si>
  <si>
    <t>Collectes, stocks - FranceAgriMer</t>
  </si>
  <si>
    <t>Etat 13 - FranceAgriMer</t>
  </si>
  <si>
    <t>Lentille:Pois chiche:Haricot sec</t>
  </si>
  <si>
    <t>Les graines ne sont pas consommées en alimentation animale</t>
  </si>
  <si>
    <t>Colza:Tournesol:Soja:Lin:Pois:Féverole:Lupin</t>
  </si>
  <si>
    <t>Lin:Lentille:Pois chiche:Haricot sec</t>
  </si>
  <si>
    <t>Colza:Pois:Féverole:Lupin:Lentille:Pois chiche:Haricot sec:Olive</t>
  </si>
  <si>
    <t>Consommation de graines pour la fabrication de produits alimentaires</t>
  </si>
  <si>
    <t>Le reste des graines collectées est consommé pour la fabrication de produits alimentaires</t>
  </si>
  <si>
    <t>Pas de fabrication de produits alimentaires</t>
  </si>
  <si>
    <t>Pas de consommation de graines en alimentation animale</t>
  </si>
  <si>
    <t>Lentille:Pois chiche:Haricot sec:Olive</t>
  </si>
  <si>
    <t>Le reste des graines autoconsommées est consommé en alimentation humaine</t>
  </si>
  <si>
    <t>50 % de la récolte</t>
  </si>
  <si>
    <t>10 % de la récolte</t>
  </si>
  <si>
    <t>Reconstitution filières sans données</t>
  </si>
  <si>
    <t>Part de la collecte</t>
  </si>
  <si>
    <t>Part du stock initial</t>
  </si>
  <si>
    <t>Part du stock final</t>
  </si>
  <si>
    <t>Part de la production de semences certifiées</t>
  </si>
  <si>
    <t>50 % de la récolte est collectée</t>
  </si>
  <si>
    <t>10 % de la récolte est stockée</t>
  </si>
  <si>
    <t>10 % de la récolte est déstockée</t>
  </si>
  <si>
    <t>10 % de la récolte sont des semences certifiées</t>
  </si>
  <si>
    <t>Pour relier les graines collectées</t>
  </si>
  <si>
    <t>Pois:Féverole:Lupin:Lentille:Pois chiche:Haricot sec:Olive</t>
  </si>
  <si>
    <t>Lupin:Lentille:Pois chiche:Haricot sec</t>
  </si>
  <si>
    <t>Amidonnerie</t>
  </si>
  <si>
    <t>USIPA</t>
  </si>
  <si>
    <t>Fabrication d'ingrédients</t>
  </si>
  <si>
    <t>Colza:Tournesol:Soja:Lin:Féverole:Lupin:Lentille:Pois chiche:Haricot sec:Olive</t>
  </si>
  <si>
    <t>Colza:Tournesol:Soja:Lin:Pois:Lupin:Lentille:Pois chiche:Haricot sec:Olive</t>
  </si>
  <si>
    <t>Colza:Tournesol:Soja:Lin:Pois:Féverole:Lentille:Pois chiche:Haricot sec:Olive</t>
  </si>
  <si>
    <t>Concerne seulement le pois</t>
  </si>
  <si>
    <t>Concerne seulement la féverole</t>
  </si>
  <si>
    <t>Concerne seulement le lupin</t>
  </si>
  <si>
    <t>Consommation de graines pour la fabrication d'ingrédients</t>
  </si>
  <si>
    <t>Le reste des graines est utilisée pour la fabrication de MPV</t>
  </si>
  <si>
    <t>Protéine</t>
  </si>
  <si>
    <t>Fibres, lipides et sons</t>
  </si>
  <si>
    <t>MPV</t>
  </si>
  <si>
    <t>Amidon, fibres, lipides et sons</t>
  </si>
  <si>
    <t>Feedtables</t>
  </si>
  <si>
    <t>ONRB</t>
  </si>
  <si>
    <t>Rendement de meunerie</t>
  </si>
  <si>
    <t>Meunerie (Féverole)</t>
  </si>
  <si>
    <t>Amidonnerie (Pois)</t>
  </si>
  <si>
    <t>Fabrication d'ingrédients (Lupin)</t>
  </si>
  <si>
    <t>Protéines de lupin</t>
  </si>
  <si>
    <t>Remarque : il n'est pas possible d'en extraire la totalité</t>
  </si>
  <si>
    <t>Chiffres clés - USIPA</t>
  </si>
  <si>
    <t>Composition - Feedtables</t>
  </si>
  <si>
    <t>Rendement de production d'amidon</t>
  </si>
  <si>
    <t>Rendement de production de protéine</t>
  </si>
  <si>
    <t>Rendement de production de farine</t>
  </si>
  <si>
    <t>Production de coproduits de l'Amidonnerie</t>
  </si>
  <si>
    <t>Production de coproduits de la Meunerie</t>
  </si>
  <si>
    <t>Production de coproduits de la fabrication de MPV</t>
  </si>
  <si>
    <t>Même consommation de produits alimentaires en GMS qu'en 2023</t>
  </si>
  <si>
    <t>Part de consommation de produits alimentaires par les GMS (en volume de matière première)</t>
  </si>
  <si>
    <t>Part de consommation de produits alimentaires par les circuits spécialisés (en volume de matière première)</t>
  </si>
  <si>
    <t>Part de consommation de produits alimentaires par la RHD (en volume de matière première)</t>
  </si>
  <si>
    <t>Part de consommation de produits alimentaires par les autres IAA (en volume de matière première)</t>
  </si>
  <si>
    <t>Pas de consommation de graines en vente directe</t>
  </si>
  <si>
    <t>Pas de consommation de graines en GMS</t>
  </si>
  <si>
    <t>Pas de consommation de graines en RHD</t>
  </si>
  <si>
    <t>Pas de consommation de graines en circuits spécialisés</t>
  </si>
  <si>
    <t>Pois:Lentille:Pois chiche:Haricot sec</t>
  </si>
  <si>
    <t>Colza:Tournesol:Soja:Lin:Féverole:Lupin:Olive</t>
  </si>
  <si>
    <t>#8e8e8e:#81e3c5:#ffcc99:#cb9763:#ffd757:#698763:#deddc2:#996633:#c15940:#f7c7ac:#fac55c</t>
  </si>
  <si>
    <t>Remarque : plus d'extrusion à partir de la campagne 2022-23 (ce qui diminue fortement le volume)</t>
  </si>
  <si>
    <t>Même consommation de produits alimentaires en circuits spécialisés qu'en 2023</t>
  </si>
  <si>
    <t>Même consommation de produits alimentaires en RHD qu'en 2023</t>
  </si>
  <si>
    <t>Même consommation de produits alimentaires par les autres IAA qu'en 2023</t>
  </si>
  <si>
    <t>Même répartition des circuits de distribution des produits alimentaires qu'en 2023</t>
  </si>
  <si>
    <t>Etiquettes de flux pour flux agrégés</t>
  </si>
  <si>
    <t>Utilisation du volume de 2015</t>
  </si>
  <si>
    <t>Utilisation du volume de 2019</t>
  </si>
  <si>
    <t>Utilisation du volume de 2023</t>
  </si>
  <si>
    <t>Campagne</t>
  </si>
  <si>
    <t>Rendements trituration par type de graine</t>
  </si>
  <si>
    <t>Campagne 22_23 Répartion consommation de tourteaux</t>
  </si>
  <si>
    <t>Fab</t>
  </si>
  <si>
    <t>hors fab</t>
  </si>
  <si>
    <t>TOURTEAUX</t>
  </si>
  <si>
    <t>Tourteaux de colza</t>
  </si>
  <si>
    <t>Tourteaux de soja</t>
  </si>
  <si>
    <t>Tourteaux de tournesol</t>
  </si>
  <si>
    <t>Tourteaux hors colza/tns/soja</t>
  </si>
  <si>
    <t>Usage des huiles :</t>
  </si>
  <si>
    <t>Huile de tournesol (2023):</t>
  </si>
  <si>
    <t>Huile brute Export</t>
  </si>
  <si>
    <t>Huile brute AH conso des ménages</t>
  </si>
  <si>
    <t>Huile brute AH IAA</t>
  </si>
  <si>
    <t>Huile brute cosmétiques et chimie verte</t>
  </si>
  <si>
    <t>Huile brute biocarburants</t>
  </si>
  <si>
    <t>Huile de colza (2023) :</t>
  </si>
  <si>
    <t>Huile brute AH</t>
  </si>
  <si>
    <t>Huile brute Biocarburants</t>
  </si>
  <si>
    <t>Huile brute autres usages nons alimentaires</t>
  </si>
  <si>
    <t>Huile brute exportée</t>
  </si>
  <si>
    <t>Huile de soja (2023) :</t>
  </si>
  <si>
    <t>Pas d'huile de soja en biocarburants et pas beaucoup d'infos sur cette partie.</t>
  </si>
  <si>
    <t>Pertes (coques + eau), plutôt valorisées en alimentation animale</t>
  </si>
  <si>
    <t>Pertes (coques + eau), plutôt valorisées en chaudière cogénération (Energie)</t>
  </si>
  <si>
    <t>Coques (+ eau)</t>
  </si>
  <si>
    <t>Rendement de production d'huile</t>
  </si>
  <si>
    <t>Rendement de production de tourteau</t>
  </si>
  <si>
    <t>Rendement de production de coques (+ eau)</t>
  </si>
  <si>
    <t>Part de la consommation des coques (+ eau) par les FAB</t>
  </si>
  <si>
    <t>Terres Univia</t>
  </si>
  <si>
    <t>Rapport méthodo Ademe calcul ACV - Terres Univia</t>
  </si>
  <si>
    <t>Part de la consommation des coques (+ eau) pour la combustion</t>
  </si>
  <si>
    <t>Usages des coques (+ eau)</t>
  </si>
  <si>
    <t>Répartition hors export</t>
  </si>
  <si>
    <t>Part de consommation d'huile par les ménages</t>
  </si>
  <si>
    <t>Part de consommation d'huile par les autres IAA</t>
  </si>
  <si>
    <t>Part de consommation d'huile par les autres industries</t>
  </si>
  <si>
    <t>Part de consommation d'huile en biocarburants</t>
  </si>
  <si>
    <t>Part de consommation d'huile en alimentation humaine</t>
  </si>
  <si>
    <t>Part de consommation d'huile pour des usages non-alimentaires</t>
  </si>
  <si>
    <t>Même répartition des usages d'huile qu'en 2023</t>
  </si>
  <si>
    <t>Campagne 21_22 Répartion consommation de tourteaux</t>
  </si>
  <si>
    <t>Part de consommation de tourteaux en FAB</t>
  </si>
  <si>
    <t>Part de consommation de tourteaux en hors FAB</t>
  </si>
  <si>
    <t>Même répartition des usages de tourteaux qu'en 2022-23</t>
  </si>
  <si>
    <t>Même répartition des usages de tourteaux qu'en 2022-23 et pour les tourteaux autres que colza, tournesol et soja</t>
  </si>
  <si>
    <t>ORIFLAAM</t>
  </si>
  <si>
    <t>Usages des huiles</t>
  </si>
  <si>
    <t>Permet de filtrer par oléoprotéagineux.</t>
  </si>
  <si>
    <r>
      <t xml:space="preserve">Ventes Volume = </t>
    </r>
    <r>
      <rPr>
        <b/>
        <sz val="11"/>
        <color rgb="FFFF0000"/>
        <rFont val="Aptos Narrow"/>
        <family val="2"/>
        <scheme val="minor"/>
      </rPr>
      <t>GMS</t>
    </r>
  </si>
  <si>
    <t>Source : NIELSEN</t>
  </si>
  <si>
    <t>En litres</t>
  </si>
  <si>
    <t>2005</t>
  </si>
  <si>
    <t>2006</t>
  </si>
  <si>
    <t>2007</t>
  </si>
  <si>
    <t>2008</t>
  </si>
  <si>
    <t>2009</t>
  </si>
  <si>
    <t>2010</t>
  </si>
  <si>
    <t>2011</t>
  </si>
  <si>
    <t>2012</t>
  </si>
  <si>
    <t>2013</t>
  </si>
  <si>
    <t>2014</t>
  </si>
  <si>
    <t>2016</t>
  </si>
  <si>
    <t>2017</t>
  </si>
  <si>
    <t>2018</t>
  </si>
  <si>
    <t>2020</t>
  </si>
  <si>
    <t>2021</t>
  </si>
  <si>
    <t>2022</t>
  </si>
  <si>
    <t>2024</t>
  </si>
  <si>
    <t>COLZA</t>
  </si>
  <si>
    <t>TOURNESOL</t>
  </si>
  <si>
    <t>Masse volumique colza</t>
  </si>
  <si>
    <t>916x10^-9 kt/L</t>
  </si>
  <si>
    <t>920x10^-9 kt/L</t>
  </si>
  <si>
    <r>
      <t>Vente volume en</t>
    </r>
    <r>
      <rPr>
        <sz val="11"/>
        <color rgb="FFFF0000"/>
        <rFont val="Calibri"/>
        <family val="2"/>
      </rPr>
      <t xml:space="preserve"> kt</t>
    </r>
  </si>
  <si>
    <t>Masse volumique tournesol</t>
  </si>
  <si>
    <t>Tableau fournit par Terres Univia</t>
  </si>
  <si>
    <t>Comparaison estimation des consommations de produits alimentaires à base de lentilles (en équivalent lentille pour Terres Univia VS kt de produit pour SOCLE actuel)</t>
  </si>
  <si>
    <t>SOCLE (kt produits)</t>
  </si>
  <si>
    <t>Terres Univia (kt lentilles)</t>
  </si>
  <si>
    <t>=3,886*0,5</t>
  </si>
  <si>
    <t>Calcul SOCLE</t>
  </si>
  <si>
    <t>Calcul Terres Univia</t>
  </si>
  <si>
    <t>/</t>
  </si>
  <si>
    <t>Lentilles (2023), source OléoProtéines</t>
  </si>
  <si>
    <t>=35,474*0,5</t>
  </si>
  <si>
    <t>0,5 étant le coefficient de cuisson (= autant d'eau que de grazines dans le produit final)</t>
  </si>
  <si>
    <t>Fabrication de plats préparés (Autres IAA)</t>
  </si>
  <si>
    <t>=13,5*0,2</t>
  </si>
  <si>
    <t>=2,3*0,2</t>
  </si>
  <si>
    <t>=0,18*0,2</t>
  </si>
  <si>
    <t>=0,24*0,2</t>
  </si>
  <si>
    <t>=0,52*0,2</t>
  </si>
  <si>
    <t>=0,16*0,2</t>
  </si>
  <si>
    <t>=51,54*0,05</t>
  </si>
  <si>
    <t>5% étant la répartition Circuits spécialisés/GMS pour l'ensemble des espèces</t>
  </si>
  <si>
    <t>Les produits contenant des lentilles en contiennent en moyenne 20 % (hypothèse personnelle)</t>
  </si>
  <si>
    <t>Récolte de pois (hors mélanges de pois)</t>
  </si>
  <si>
    <t>Pois (on néglige les mélanges avec les céréales et les pois de casserie, d'après OléoPro)</t>
  </si>
  <si>
    <t>Estimation Terres Univia</t>
  </si>
  <si>
    <t>Estimation - Terres Univia</t>
  </si>
  <si>
    <t>Graines autoconsommées en hors FAB</t>
  </si>
  <si>
    <t>On applique le même écart statistique qu'en 23/24 pour les autres campagnes afin de déterminer le volume de graines autoconsommées en hors FAB : cela traduit la faible fiabilité des données concernant les volumes de graines autoconsommées</t>
  </si>
  <si>
    <t>Ecart statistique vers graines autoconsommées</t>
  </si>
  <si>
    <t>Graines autoconsommées vers écart statistique</t>
  </si>
  <si>
    <t>Consommation de graines autoconsommées en hors FAB</t>
  </si>
  <si>
    <t>Ecart statistique relatif</t>
  </si>
  <si>
    <t>Même écart statistique qu'en 23-24</t>
  </si>
  <si>
    <t>Consommation de grains en Petfood</t>
  </si>
  <si>
    <t>Même volume qu'en 21-21 et 22-23</t>
  </si>
  <si>
    <t>Pas de débouchés vers le Petfood pour les autres oléoprotéagineux</t>
  </si>
  <si>
    <t>Fiabilité des données</t>
  </si>
  <si>
    <t>Fiable</t>
  </si>
  <si>
    <t>Robuste</t>
  </si>
  <si>
    <t>Probable</t>
  </si>
  <si>
    <t>Approximative</t>
  </si>
  <si>
    <t>Indicative</t>
  </si>
  <si>
    <t>Correction du volume exporté vers le Portugal pas des experts</t>
  </si>
  <si>
    <t>Tableau fourni par Terres Univia</t>
  </si>
  <si>
    <t>Détail</t>
  </si>
  <si>
    <t>LS bruts</t>
  </si>
  <si>
    <t>LS appertisés &amp; surgelés</t>
  </si>
  <si>
    <t>LS appertisés</t>
  </si>
  <si>
    <t>Coeffcient eq. graine sèche (appertisé)</t>
  </si>
  <si>
    <t>Légumes secs appertisés et surgelés</t>
  </si>
  <si>
    <t>Eau</t>
  </si>
  <si>
    <t>Pas de conso d'eau pour les autres oléoprotéagineux</t>
  </si>
  <si>
    <t>Consommation de LS bruts par la RHD</t>
  </si>
  <si>
    <t>Consommation de LS appertisés et surgelés par la RHD</t>
  </si>
  <si>
    <t>Consommation de LS bruts par les ménages</t>
  </si>
  <si>
    <t>Consommation de LS appertisés et surgelés par les ménages</t>
  </si>
  <si>
    <t>Même consommation de produits alimentaires par les ménages qu'en 2023</t>
  </si>
  <si>
    <t>Consommation par les autres IAA négligeable</t>
  </si>
  <si>
    <t>Consommation de LS bruts par les autres IAA</t>
  </si>
  <si>
    <t>Consommation de LS appertisés et surgelés par les autres IAA</t>
  </si>
  <si>
    <t>Lentille:Pois chiche</t>
  </si>
  <si>
    <t>Consommation d'eau pour la fabrication de produits appertisés</t>
  </si>
  <si>
    <t>Lin:Lupin:Haricot sec:Olive</t>
  </si>
  <si>
    <t>I</t>
  </si>
  <si>
    <t>P</t>
  </si>
  <si>
    <t>E</t>
  </si>
  <si>
    <t>C</t>
  </si>
  <si>
    <t>biocar</t>
  </si>
  <si>
    <t>autres industries</t>
  </si>
  <si>
    <t>alim hum</t>
  </si>
  <si>
    <t>Répartition corrigée</t>
  </si>
  <si>
    <t>ménages</t>
  </si>
  <si>
    <t>autres IAA</t>
  </si>
  <si>
    <t>Veille concurrentielle biocarburants - FranceAgriMer</t>
  </si>
  <si>
    <t>(données isuues rapport méthodo Ademe calcul ACV)</t>
  </si>
  <si>
    <t>Matière première:Produit:Coproduit:Intrant externe:Rejet</t>
  </si>
  <si>
    <t>#b5e6a2:#94dcf8:#ffdc6d:#f2ceef:#f7c7ac</t>
  </si>
  <si>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</si>
  <si>
    <t>Intrant externe</t>
  </si>
  <si>
    <t>Rejet</t>
  </si>
  <si>
    <t>=JOINDRE.TEXTE(":";VRAI;H9:CS9)</t>
  </si>
  <si>
    <t>=TEXTE.APRES(LIRE.CLASSEUR(1);"]")</t>
  </si>
  <si>
    <t>#b5e6a2:#94dcf8:#f7c7ac</t>
  </si>
  <si>
    <t>Fiable:Robuste:Probable:Approximative:Indicative</t>
  </si>
  <si>
    <t>#808080:#a6a6a6:#bfbfbf:#d9d9d9:#f2f2f2</t>
  </si>
  <si>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</si>
  <si>
    <t>Méthode</t>
  </si>
  <si>
    <t>Données collectées:Complétion des flux:Données réconciliées:Données déterminées:Données indéterminées</t>
  </si>
  <si>
    <t>#ffdc6d:#cb97ff:#ffb7b7:#a7ffa7:#b3e2ff</t>
  </si>
  <si>
    <t>Données collectées</t>
  </si>
  <si>
    <t>Complétion des flux</t>
  </si>
  <si>
    <t>Données réconciliées</t>
  </si>
  <si>
    <t>Données déterminées</t>
  </si>
  <si>
    <t>Données indéterminées</t>
  </si>
  <si>
    <t>Analyse des résultats</t>
  </si>
  <si>
    <t>#ffdc6d:#ffb7b7:#a7ffa7:#b3e2ff</t>
  </si>
  <si>
    <t>Donnée collectée (valeur du flux ou coefficient)</t>
  </si>
  <si>
    <t>Donnée déterminée (par bilan matière)</t>
  </si>
  <si>
    <t>Donnée indéterminée (seules une borne minimale et une borne maximale sont déterminées)</t>
  </si>
  <si>
    <t>Indéterminé - Approvisionnement</t>
  </si>
  <si>
    <t>Indéterminé - Débouchés</t>
  </si>
  <si>
    <t>Bilans Colza - FAM</t>
  </si>
  <si>
    <t>BIlans Tournesol - FAM</t>
  </si>
  <si>
    <t>Bilans Soja - FAM</t>
  </si>
  <si>
    <t>Récoltes - AGRESTE</t>
  </si>
  <si>
    <t>Bilans Pois - FAM</t>
  </si>
  <si>
    <t>Bilans Féverole - FAM</t>
  </si>
  <si>
    <t>Issues de silo - ONRB</t>
  </si>
  <si>
    <t>Pertes ferme - TERRES UNIVIA</t>
  </si>
  <si>
    <t>Semences fermières - AGRESTE</t>
  </si>
  <si>
    <t>Comext mensuel - EUROSTAT</t>
  </si>
  <si>
    <t>Comext annuel - EUROSTAT</t>
  </si>
  <si>
    <t>Huiles et tourteaux - FEDIOL</t>
  </si>
  <si>
    <t>Usages tourteaux - ONRB</t>
  </si>
  <si>
    <t>Biocarburants - CARBURE</t>
  </si>
  <si>
    <t>Conso huile GMS -NIELSEN</t>
  </si>
  <si>
    <t>Marché olive - AFIDOL, FAM</t>
  </si>
  <si>
    <t>Récoltes olive - AGRESTE</t>
  </si>
  <si>
    <t>FAB - FAM</t>
  </si>
  <si>
    <t>FAB protéagineux - FAM</t>
  </si>
  <si>
    <t>Collectes, stocks - FAM</t>
  </si>
  <si>
    <t>Collectes, stocks protéa - FAM</t>
  </si>
  <si>
    <t>Prétraitement récolte, collecte</t>
  </si>
  <si>
    <t>Consommation - OléoProtéines</t>
  </si>
  <si>
    <t>Fab. ingrédients - Diverses</t>
  </si>
  <si>
    <t>Rend. trituration-TERRES UNIVIA</t>
  </si>
  <si>
    <t>Usages huiles - TERRES UNIVIA</t>
  </si>
  <si>
    <t>Usages tourteaux -TERRES UNIVIA</t>
  </si>
  <si>
    <t>Complétion des flux:Données déterminées</t>
  </si>
  <si>
    <t>Complétion des flux:Données indéterminées</t>
  </si>
  <si>
    <t>Données collectées:Données déterminées</t>
  </si>
  <si>
    <t>France entière</t>
  </si>
  <si>
    <t>Informations générales</t>
  </si>
  <si>
    <t>Projet :</t>
  </si>
  <si>
    <t>SOCLE</t>
  </si>
  <si>
    <t>Collaborateurs :</t>
  </si>
  <si>
    <t>Filière :</t>
  </si>
  <si>
    <t>Période étudiée :</t>
  </si>
  <si>
    <t>2015-16, 2019-20, 2023-24</t>
  </si>
  <si>
    <t>Zone géographique :</t>
  </si>
  <si>
    <t>Unité :</t>
  </si>
  <si>
    <t>Dernière mise à jour :</t>
  </si>
  <si>
    <t>SOMMAIRE</t>
  </si>
  <si>
    <t>Description</t>
  </si>
  <si>
    <t>Présentation du fichier et de l'AFM</t>
  </si>
  <si>
    <t>Lecture du fichier</t>
  </si>
  <si>
    <t>Modélisation de l'AFM</t>
  </si>
  <si>
    <t>Etiquettes</t>
  </si>
  <si>
    <t>Liste des étiquettes</t>
  </si>
  <si>
    <t>Produits</t>
  </si>
  <si>
    <t>Secteurs</t>
  </si>
  <si>
    <t xml:space="preserve">Données </t>
  </si>
  <si>
    <t xml:space="preserve">Données  </t>
  </si>
  <si>
    <t xml:space="preserve">Données   </t>
  </si>
  <si>
    <t xml:space="preserve">Données    </t>
  </si>
  <si>
    <t>Contraintes</t>
  </si>
  <si>
    <t xml:space="preserve">Contraintes </t>
  </si>
  <si>
    <t xml:space="preserve">Données     </t>
  </si>
  <si>
    <t xml:space="preserve">Contraintes  </t>
  </si>
  <si>
    <t xml:space="preserve">Données      </t>
  </si>
  <si>
    <t xml:space="preserve">Contraintes   </t>
  </si>
  <si>
    <t xml:space="preserve">Données        </t>
  </si>
  <si>
    <t xml:space="preserve">Contraintes    </t>
  </si>
  <si>
    <t xml:space="preserve">Données         </t>
  </si>
  <si>
    <t>Sources et prétraitements des données</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</si>
  <si>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</si>
  <si>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</si>
  <si>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</si>
  <si>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</si>
  <si>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Méthodologie</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</si>
  <si>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</si>
  <si>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</si>
  <si>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</si>
  <si>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</si>
  <si>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</si>
  <si>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Echanges territoires</t>
  </si>
  <si>
    <t>Liste des territoires extérieurs à la zone géographique étudiée.</t>
  </si>
  <si>
    <t>Définition des flux :</t>
  </si>
  <si>
    <t>Table emplois ressources</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</si>
  <si>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</si>
  <si>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</si>
  <si>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</si>
  <si>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</si>
  <si>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Min Max</t>
  </si>
  <si>
    <t>Liste de toutes les bornes min et max de flux connues.</t>
  </si>
  <si>
    <t>Coefficients :</t>
  </si>
  <si>
    <t>Liste de toutes les contraintes entre plusieurs flux (ex : rendements ou répartitions).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</si>
  <si>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</si>
  <si>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</si>
  <si>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</si>
  <si>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</si>
  <si>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</si>
  <si>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</si>
  <si>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</si>
  <si>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</si>
  <si>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</si>
  <si>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</si>
  <si>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</si>
  <si>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</si>
  <si>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</si>
  <si>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</si>
  <si>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</si>
  <si>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</si>
  <si>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</si>
  <si>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</si>
  <si>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</si>
  <si>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</si>
  <si>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Structure des flux</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</si>
  <si>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</si>
  <si>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</si>
  <si>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</si>
  <si>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</si>
  <si>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</si>
  <si>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</si>
  <si>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</si>
  <si>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</si>
  <si>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</si>
  <si>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</si>
  <si>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</si>
  <si>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</si>
  <si>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 xml:space="preserve">Colonne C (ou D et E) : </t>
  </si>
  <si>
    <t>Valeur du flux (pour "Données") ou bornes minimales et maximales du flux (pour "Min Max").</t>
  </si>
  <si>
    <t>Colonne D (ou C) :</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</si>
  <si>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</si>
  <si>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Colonne "Incertitude" :</t>
  </si>
  <si>
    <t>Incertitude relative de la valeur. Remarque : pour les minimums et maximums, il n'est pas possible de leur attribuer une incertitude : ceux-ci seront donc strictement respectés lors de la réconciliation.</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</si>
  <si>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</si>
  <si>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</si>
  <si>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</si>
  <si>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</si>
  <si>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</si>
  <si>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</si>
  <si>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</si>
  <si>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Colonne E :</t>
  </si>
  <si>
    <r>
      <t>Coefficients devant les termes (valeurs des flux) dans l'équation d'égalité : la somme de tous les termes multipliés par leurs coefficients vaut 0. Sert à renseigner : le</t>
    </r>
    <r>
      <rPr>
        <i/>
        <sz val="11"/>
        <color theme="1"/>
        <rFont val="Calibri"/>
        <family val="2"/>
      </rPr>
      <t>/les</t>
    </r>
    <r>
      <rPr>
        <sz val="11"/>
        <color theme="1"/>
        <rFont val="Calibri"/>
        <family val="2"/>
      </rPr>
      <t xml:space="preserve"> flux … vaut</t>
    </r>
    <r>
      <rPr>
        <i/>
        <sz val="11"/>
        <color theme="1"/>
        <rFont val="Calibri"/>
        <family val="2"/>
      </rPr>
      <t>/valent</t>
    </r>
    <r>
      <rPr>
        <sz val="11"/>
        <color theme="1"/>
        <rFont val="Calibri"/>
        <family val="2"/>
      </rPr>
      <t xml:space="preserve"> X % du</t>
    </r>
    <r>
      <rPr>
        <i/>
        <sz val="11"/>
        <color theme="1"/>
        <rFont val="Calibri"/>
        <family val="2"/>
      </rPr>
      <t>/des</t>
    </r>
    <r>
      <rPr>
        <sz val="11"/>
        <color theme="1"/>
        <rFont val="Calibri"/>
        <family val="2"/>
      </rPr>
      <t xml:space="preserve"> flux … .</t>
    </r>
  </si>
  <si>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</si>
  <si>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</si>
  <si>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</si>
  <si>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</si>
  <si>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</si>
  <si>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</si>
  <si>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</si>
  <si>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</si>
  <si>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</si>
  <si>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</si>
  <si>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</si>
  <si>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</si>
  <si>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</si>
  <si>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</si>
  <si>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</si>
  <si>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Colonne F :</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</si>
  <si>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</si>
  <si>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</si>
  <si>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</si>
  <si>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</si>
  <si>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</si>
  <si>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</si>
  <si>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</si>
  <si>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</si>
  <si>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</si>
  <si>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</si>
  <si>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</si>
  <si>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</si>
  <si>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Les étiquettes des dataTags auxquels appartient la valeur du flux (il n'y a, pour le moment, qu'un dataTags maximum).</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</si>
  <si>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</si>
  <si>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</si>
  <si>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</si>
  <si>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</si>
  <si>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</si>
  <si>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</si>
  <si>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</si>
  <si>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</si>
  <si>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</si>
  <si>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</si>
  <si>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</si>
  <si>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</si>
  <si>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</si>
  <si>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Analyse de Flux de Matière (AFM) de la filière française oléoprotéagineux</t>
  </si>
  <si>
    <t>TerriFlux (Alexandre Pannier, Julien Alapetite), Terres Univia (Isabelle de la Borde, Lucile Finot, Anne-Hélène Leroy)</t>
  </si>
  <si>
    <t xml:space="preserve"> Données</t>
  </si>
  <si>
    <t xml:space="preserve">Données          </t>
  </si>
  <si>
    <t xml:space="preserve">Données           </t>
  </si>
  <si>
    <t xml:space="preserve">Contraintes     </t>
  </si>
  <si>
    <t xml:space="preserve">Données            </t>
  </si>
  <si>
    <t xml:space="preserve">Contraintes      </t>
  </si>
  <si>
    <t xml:space="preserve">Contraintes       </t>
  </si>
  <si>
    <t xml:space="preserve">Contraintes        </t>
  </si>
  <si>
    <t xml:space="preserve">Contraintes         </t>
  </si>
  <si>
    <t xml:space="preserve">Contraintes          </t>
  </si>
  <si>
    <t xml:space="preserve">Données              </t>
  </si>
  <si>
    <t>Colza:Tournesol:Soja:Lin:Pois:Féverole:Lupin:Haricot sec:Olive</t>
  </si>
  <si>
    <t>Colza:Tournesol:Soja:Lin:Pois:Féverole</t>
  </si>
  <si>
    <t>Lin:Lupin:Lentille:Pois chiche:Haricot sec</t>
  </si>
  <si>
    <t>Ecart statistique (ne permet pas de respecter un bilan matière)</t>
  </si>
  <si>
    <t>Donnée collectée (valeur du flux ou coefficient):Ecart statistique (ne permet pas de respecter un bilan matière):Donnée déterminée (par bilan matière):Donnée indéterminée (seules une borne minimale et une borne maximale sont déterminées)</t>
  </si>
  <si>
    <t>La France entière comprend la France métropolitaine et les cinq départements et régions d'outre-mer (DROM : Guyane, Martinique, Guadeloupe, Mayotte et La Réunion).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</si>
</sst>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_-* #,##0_-;\-* #,##0_-;_-* &quot;-&quot;??_-;_-@_-"/>
    <numFmt numFmtId="165" formatCode="_-* #,##0.000_-;\-* #,##0.000_-;_-* &quot;-&quot;??_-;_-@_-"/>
    <numFmt numFmtId="166" formatCode="#\ ###\ ##0"/>
    <numFmt numFmtId="167" formatCode="####0"/>
    <numFmt numFmtId="168" formatCode="##0"/>
    <numFmt numFmtId="169" formatCode="#,##0.00&quot; &quot;[$€-40C];[Red]&quot;-&quot;#,##0.00&quot; &quot;[$€-40C]"/>
    <numFmt numFmtId="170" formatCode="#,##0.##########"/>
    <numFmt numFmtId="171" formatCode="0.0"/>
    <numFmt numFmtId="172" formatCode="#,##0.0"/>
    <numFmt numFmtId="173" formatCode="0.0%"/>
    <numFmt numFmtId="174" formatCode="_-* #,##0.00\ _€_-;\-* #,##0.00\ _€_-;_-* &quot;-&quot;??\ _€_-;_-@_-"/>
    <numFmt numFmtId="175" formatCode="_-* #,##0\ _€_-;\-* #,##0\ _€_-;_-* &quot;-&quot;??\ _€_-;_-@_-"/>
    <numFmt numFmtId="176" formatCode="\ #,##0"/>
    <numFmt numFmtId="177" formatCode="0.000"/>
    <numFmt numFmtId="178" formatCode="_(* #,##0_);_(* \(#,##0\);_(* &quot;-&quot;??_);_(@_)"/>
    <numFmt numFmtId="179" formatCode="#,##0.0000000000"/>
  </numFmts>
  <fonts count="147">
    <font>
      <sz val="11"/>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Calibri"/>
      <family val="2"/>
    </font>
    <font>
      <b/>
      <sz val="10"/>
      <color rgb="FFFFFFFF"/>
      <name val="Verdana"/>
      <family val="2"/>
    </font>
    <font>
      <b/>
      <sz val="11"/>
      <color theme="1"/>
      <name val="Calibri"/>
      <family val="2"/>
    </font>
    <font>
      <b/>
      <sz val="10"/>
      <color theme="0"/>
      <name val="Verdana"/>
      <family val="2"/>
    </font>
    <font>
      <sz val="11"/>
      <name val="Calibri"/>
      <family val="2"/>
    </font>
    <font>
      <b/>
      <sz val="11"/>
      <color theme="1"/>
      <name val="Arial"/>
      <family val="2"/>
    </font>
    <font>
      <sz val="11"/>
      <color theme="1"/>
      <name val="Arial1"/>
      <family val="2"/>
    </font>
    <font>
      <sz val="11"/>
      <color indexed="8"/>
      <name val="Aptos Narrow"/>
      <family val="2"/>
      <scheme val="minor"/>
    </font>
    <font>
      <sz val="11"/>
      <color theme="1"/>
      <name val="Liberation Sans"/>
    </font>
    <font>
      <sz val="11"/>
      <color rgb="FF000000"/>
      <name val="Aptos Narrow"/>
      <family val="2"/>
      <scheme val="minor"/>
    </font>
    <font>
      <b/>
      <sz val="15"/>
      <color rgb="FF000000"/>
      <name val="Calibri"/>
      <family val="2"/>
    </font>
    <font>
      <sz val="11"/>
      <color rgb="FF000000"/>
      <name val="Calibri"/>
      <family val="2"/>
    </font>
    <font>
      <b/>
      <sz val="12"/>
      <color rgb="FF000000"/>
      <name val="Calibri"/>
      <family val="2"/>
    </font>
    <font>
      <sz val="9.5"/>
      <color rgb="FF003399"/>
      <name val="Helvetica"/>
    </font>
    <font>
      <b/>
      <sz val="12.5"/>
      <color rgb="FF000000"/>
      <name val="Helvetica"/>
    </font>
    <font>
      <b/>
      <sz val="10"/>
      <color rgb="FF000000"/>
      <name val="Helvetica"/>
    </font>
    <font>
      <b/>
      <sz val="10"/>
      <color rgb="FF808080"/>
      <name val="Helvetica"/>
    </font>
    <font>
      <b/>
      <sz val="7"/>
      <color rgb="FFFFFFFF"/>
      <name val="Helvetica"/>
    </font>
    <font>
      <sz val="7"/>
      <color rgb="FF000000"/>
      <name val="Helvetica"/>
    </font>
    <font>
      <sz val="8"/>
      <color rgb="FF000000"/>
      <name val="Helvetica"/>
    </font>
    <font>
      <b/>
      <sz val="11"/>
      <color rgb="FF000000"/>
      <name val="Helvetica"/>
    </font>
    <font>
      <b/>
      <i/>
      <sz val="8"/>
      <color rgb="FF808080"/>
      <name val="Arial"/>
      <family val="2"/>
    </font>
    <font>
      <b/>
      <u/>
      <sz val="11"/>
      <color theme="1"/>
      <name val="Aptos Narrow"/>
      <family val="2"/>
      <scheme val="minor"/>
    </font>
    <font>
      <b/>
      <sz val="11"/>
      <color rgb="FF000000"/>
      <name val="Arial1"/>
    </font>
    <font>
      <sz val="11"/>
      <color rgb="FF000000"/>
      <name val="Arial1"/>
    </font>
    <font>
      <i/>
      <sz val="9"/>
      <color rgb="FF000000"/>
      <name val="Arial1"/>
    </font>
    <font>
      <sz val="10"/>
      <color rgb="FF000000"/>
      <name val="Arial1"/>
    </font>
    <font>
      <b/>
      <i/>
      <u/>
      <sz val="11"/>
      <color rgb="FF000000"/>
      <name val="Arial"/>
      <family val="2"/>
    </font>
    <font>
      <b/>
      <sz val="10"/>
      <color rgb="FFFFFFFF"/>
      <name val="Arial1"/>
    </font>
    <font>
      <sz val="9"/>
      <name val="Arial"/>
      <family val="2"/>
    </font>
    <font>
      <b/>
      <sz val="9"/>
      <name val="Arial"/>
      <family val="2"/>
    </font>
    <font>
      <b/>
      <sz val="9"/>
      <color indexed="9"/>
      <name val="Arial"/>
      <family val="2"/>
    </font>
    <font>
      <b/>
      <sz val="20"/>
      <name val="Arial"/>
      <family val="2"/>
    </font>
    <font>
      <sz val="10"/>
      <name val="Arial"/>
      <family val="2"/>
    </font>
    <font>
      <b/>
      <sz val="16"/>
      <name val="Arial"/>
      <family val="2"/>
    </font>
    <font>
      <sz val="8"/>
      <name val="Arial"/>
      <family val="2"/>
    </font>
    <font>
      <b/>
      <sz val="8"/>
      <name val="Arial"/>
      <family val="2"/>
    </font>
    <font>
      <i/>
      <sz val="9"/>
      <name val="Arial"/>
      <family val="2"/>
    </font>
    <font>
      <b/>
      <sz val="10"/>
      <name val="Arial"/>
      <family val="2"/>
    </font>
    <font>
      <b/>
      <i/>
      <sz val="10"/>
      <name val="Arial"/>
      <family val="2"/>
    </font>
    <font>
      <b/>
      <sz val="11"/>
      <name val="Arial"/>
      <family val="2"/>
    </font>
    <font>
      <b/>
      <sz val="11"/>
      <color rgb="FFFF0000"/>
      <name val="Arial"/>
      <family val="2"/>
    </font>
    <font>
      <sz val="11"/>
      <name val="Arial"/>
      <family val="2"/>
    </font>
    <font>
      <i/>
      <sz val="11"/>
      <name val="Arial"/>
      <family val="2"/>
    </font>
    <font>
      <sz val="9"/>
      <color indexed="9"/>
      <name val="Arial"/>
      <family val="2"/>
    </font>
    <font>
      <sz val="9"/>
      <color indexed="8"/>
      <name val="Arial"/>
      <family val="2"/>
    </font>
    <font>
      <b/>
      <sz val="9"/>
      <color indexed="8"/>
      <name val="Arial"/>
      <family val="2"/>
    </font>
    <font>
      <b/>
      <sz val="14"/>
      <name val="Arial"/>
      <family val="2"/>
    </font>
    <font>
      <sz val="11"/>
      <color indexed="8"/>
      <name val="Arial"/>
      <family val="2"/>
    </font>
    <font>
      <vertAlign val="superscript"/>
      <sz val="10"/>
      <color indexed="8"/>
      <name val="Arial"/>
      <family val="2"/>
    </font>
    <font>
      <b/>
      <sz val="14"/>
      <color indexed="9"/>
      <name val="Arial"/>
      <family val="2"/>
    </font>
    <font>
      <b/>
      <vertAlign val="superscript"/>
      <sz val="14"/>
      <name val="Arial"/>
      <family val="2"/>
    </font>
    <font>
      <vertAlign val="superscript"/>
      <sz val="10"/>
      <name val="Arial"/>
      <family val="2"/>
    </font>
    <font>
      <sz val="11"/>
      <color indexed="9"/>
      <name val="Arial"/>
      <family val="2"/>
    </font>
    <font>
      <sz val="10"/>
      <color indexed="9"/>
      <name val="Arial"/>
      <family val="2"/>
    </font>
    <font>
      <b/>
      <sz val="11"/>
      <color indexed="8"/>
      <name val="Arial"/>
      <family val="2"/>
    </font>
    <font>
      <b/>
      <sz val="9"/>
      <color indexed="10"/>
      <name val="Arial"/>
      <family val="2"/>
    </font>
    <font>
      <vertAlign val="superscript"/>
      <sz val="11"/>
      <name val="Arial"/>
      <family val="2"/>
    </font>
    <font>
      <sz val="20"/>
      <name val="Arial"/>
      <family val="2"/>
    </font>
    <font>
      <b/>
      <sz val="11"/>
      <color indexed="9"/>
      <name val="Arial"/>
      <family val="2"/>
    </font>
    <font>
      <vertAlign val="superscript"/>
      <sz val="11"/>
      <color indexed="8"/>
      <name val="Arial"/>
      <family val="2"/>
    </font>
    <font>
      <b/>
      <vertAlign val="superscript"/>
      <sz val="11"/>
      <name val="Arial"/>
      <family val="2"/>
    </font>
    <font>
      <b/>
      <sz val="20"/>
      <name val="Marianne"/>
      <family val="3"/>
    </font>
    <font>
      <b/>
      <sz val="16"/>
      <name val="Marianne"/>
      <family val="3"/>
    </font>
    <font>
      <b/>
      <sz val="16"/>
      <color rgb="FF0070C0"/>
      <name val="Marianne"/>
      <family val="3"/>
    </font>
    <font>
      <sz val="10"/>
      <name val="Marianne"/>
      <family val="3"/>
    </font>
    <font>
      <i/>
      <sz val="9"/>
      <name val="Marianne"/>
      <family val="3"/>
    </font>
    <font>
      <b/>
      <i/>
      <sz val="9"/>
      <color rgb="FF0070C0"/>
      <name val="Marianne"/>
      <family val="3"/>
    </font>
    <font>
      <b/>
      <i/>
      <sz val="9"/>
      <name val="Marianne"/>
      <family val="3"/>
    </font>
    <font>
      <b/>
      <sz val="11"/>
      <name val="Marianne"/>
      <family val="3"/>
    </font>
    <font>
      <b/>
      <sz val="11"/>
      <color theme="4" tint="-0.249977111117893"/>
      <name val="Marianne"/>
      <family val="3"/>
    </font>
    <font>
      <sz val="11"/>
      <color theme="4" tint="-0.249977111117893"/>
      <name val="Marianne"/>
      <family val="3"/>
    </font>
    <font>
      <sz val="11"/>
      <name val="Marianne"/>
      <family val="3"/>
    </font>
    <font>
      <sz val="9"/>
      <name val="Marianne"/>
      <family val="3"/>
    </font>
    <font>
      <b/>
      <sz val="9"/>
      <name val="Marianne"/>
      <family val="3"/>
    </font>
    <font>
      <sz val="11"/>
      <color rgb="FFFF0000"/>
      <name val="Marianne"/>
      <family val="3"/>
    </font>
    <font>
      <b/>
      <sz val="14"/>
      <color theme="4" tint="-0.249977111117893"/>
      <name val="Marianne"/>
      <family val="3"/>
    </font>
    <font>
      <b/>
      <sz val="9"/>
      <color rgb="FFFF0000"/>
      <name val="Marianne"/>
      <family val="3"/>
    </font>
    <font>
      <sz val="11"/>
      <color theme="3" tint="-0.249977111117893"/>
      <name val="Marianne"/>
      <family val="3"/>
    </font>
    <font>
      <b/>
      <sz val="11"/>
      <color rgb="FFFF0000"/>
      <name val="Marianne"/>
      <family val="3"/>
    </font>
    <font>
      <sz val="11"/>
      <color theme="1"/>
      <name val="Marianne"/>
      <family val="3"/>
    </font>
    <font>
      <b/>
      <sz val="10"/>
      <color rgb="FFFF0000"/>
      <name val="Helvetica"/>
    </font>
    <font>
      <i/>
      <sz val="9"/>
      <color rgb="FF0070C0"/>
      <name val="Marianne"/>
      <family val="3"/>
    </font>
    <font>
      <b/>
      <sz val="11"/>
      <color theme="3" tint="-0.249977111117893"/>
      <name val="Marianne"/>
      <family val="3"/>
    </font>
    <font>
      <b/>
      <sz val="14"/>
      <color theme="3" tint="-0.249977111117893"/>
      <name val="Marianne"/>
      <family val="3"/>
    </font>
    <font>
      <b/>
      <sz val="9"/>
      <color rgb="FFFF0000"/>
      <name val="Helvetica"/>
    </font>
    <font>
      <sz val="9"/>
      <color rgb="FFFF0000"/>
      <name val="Marianne"/>
      <family val="3"/>
    </font>
    <font>
      <i/>
      <sz val="11"/>
      <name val="Marianne"/>
      <family val="3"/>
    </font>
    <font>
      <sz val="11"/>
      <color rgb="FFFF0000"/>
      <name val="Arial"/>
      <family val="2"/>
    </font>
    <font>
      <i/>
      <sz val="11"/>
      <color theme="1"/>
      <name val="Calibri"/>
      <family val="2"/>
    </font>
    <font>
      <b/>
      <sz val="9"/>
      <color theme="0"/>
      <name val="Marianne"/>
      <family val="3"/>
    </font>
    <font>
      <b/>
      <sz val="11"/>
      <color theme="0"/>
      <name val="Arial"/>
      <family val="2"/>
    </font>
    <font>
      <sz val="8"/>
      <color theme="0"/>
      <name val="Arial"/>
      <family val="2"/>
    </font>
    <font>
      <sz val="8"/>
      <color rgb="FFFF0000"/>
      <name val="Arial"/>
      <family val="2"/>
    </font>
    <font>
      <b/>
      <sz val="8"/>
      <name val="Marianne"/>
      <family val="3"/>
    </font>
    <font>
      <sz val="8"/>
      <name val="Marianne"/>
      <family val="3"/>
    </font>
    <font>
      <u/>
      <sz val="8"/>
      <name val="Marianne"/>
      <family val="3"/>
    </font>
    <font>
      <i/>
      <sz val="8"/>
      <name val="Marianne"/>
      <family val="3"/>
    </font>
    <font>
      <b/>
      <i/>
      <sz val="8"/>
      <name val="Marianne"/>
      <family val="3"/>
    </font>
    <font>
      <b/>
      <sz val="9"/>
      <color indexed="9"/>
      <name val="Calibri"/>
      <family val="2"/>
    </font>
    <font>
      <b/>
      <sz val="9"/>
      <color indexed="9"/>
      <name val="Marianne"/>
      <family val="3"/>
    </font>
    <font>
      <sz val="9"/>
      <color theme="0"/>
      <name val="Arial"/>
      <family val="2"/>
    </font>
    <font>
      <sz val="11"/>
      <color rgb="FFFF0000"/>
      <name val="Calibri"/>
      <family val="2"/>
    </font>
    <font>
      <b/>
      <sz val="14"/>
      <color theme="1"/>
      <name val="Aptos Narrow"/>
      <family val="2"/>
      <scheme val="minor"/>
    </font>
    <font>
      <i/>
      <sz val="11"/>
      <color theme="1"/>
      <name val="Aptos Narrow"/>
      <family val="2"/>
      <scheme val="minor"/>
    </font>
    <font>
      <b/>
      <sz val="11"/>
      <color rgb="FFFFFFFF"/>
      <name val="Aptos Narrow"/>
      <family val="2"/>
      <scheme val="minor"/>
    </font>
    <font>
      <sz val="10"/>
      <color rgb="FFFF0000"/>
      <name val="Arial1"/>
    </font>
    <font>
      <sz val="10"/>
      <name val="Arial1"/>
    </font>
    <font>
      <sz val="8"/>
      <name val="Calibri"/>
      <family val="2"/>
    </font>
    <font>
      <b/>
      <sz val="10"/>
      <color theme="0"/>
      <name val="Marianne"/>
      <family val="3"/>
    </font>
    <font>
      <u/>
      <sz val="11"/>
      <color theme="1"/>
      <name val="Calibri"/>
      <family val="2"/>
    </font>
    <font>
      <b/>
      <i/>
      <sz val="11"/>
      <color theme="1"/>
      <name val="Calibri"/>
      <family val="2"/>
    </font>
    <font>
      <b/>
      <sz val="11"/>
      <color theme="1"/>
      <name val="Aptos Narrow"/>
      <family val="2"/>
      <scheme val="minor"/>
    </font>
    <font>
      <i/>
      <sz val="8"/>
      <color theme="1"/>
      <name val="Calibri"/>
      <family val="2"/>
    </font>
    <font>
      <b/>
      <i/>
      <u/>
      <sz val="11"/>
      <color theme="1"/>
      <name val="Calibri"/>
      <family val="2"/>
    </font>
    <font>
      <b/>
      <u/>
      <sz val="11"/>
      <color theme="1"/>
      <name val="Calibri"/>
      <family val="2"/>
    </font>
    <font>
      <sz val="11"/>
      <color theme="4"/>
      <name val="Calibri"/>
      <family val="2"/>
    </font>
    <font>
      <b/>
      <sz val="11"/>
      <color rgb="FFFF0000"/>
      <name val="Aptos Narrow"/>
      <family val="2"/>
      <scheme val="minor"/>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u/>
      <sz val="11"/>
      <color theme="10"/>
      <name val="Calibri"/>
      <family val="2"/>
    </font>
    <font>
      <b/>
      <sz val="18"/>
      <color theme="1"/>
      <name val="Calibri"/>
      <family val="2"/>
    </font>
    <font>
      <i/>
      <u/>
      <sz val="11"/>
      <color theme="1"/>
      <name val="Aptos Narrow"/>
      <family val="2"/>
      <scheme val="minor"/>
    </font>
    <font>
      <u/>
      <sz val="11"/>
      <color theme="10"/>
      <name val="Aptos Narrow"/>
      <family val="2"/>
      <scheme val="minor"/>
    </font>
    <font>
      <i/>
      <u/>
      <sz val="11"/>
      <color theme="10"/>
      <name val="Aptos Narrow"/>
      <family val="2"/>
      <scheme val="minor"/>
    </font>
    <font>
      <b/>
      <sz val="11"/>
      <color rgb="FFD7D200"/>
      <name val="Calibri"/>
      <family val="2"/>
    </font>
    <font>
      <b/>
      <sz val="12"/>
      <color rgb="FF0070C0"/>
      <name val="Calibri"/>
      <family val="2"/>
    </font>
    <font>
      <b/>
      <sz val="11"/>
      <color theme="4"/>
      <name val="Calibri"/>
      <family val="2"/>
    </font>
    <font>
      <b/>
      <u/>
      <sz val="11"/>
      <name val="Calibri"/>
      <family val="2"/>
    </font>
    <font>
      <b/>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FFC000"/>
      <name val="Calibri"/>
      <family val="2"/>
    </font>
    <font>
      <sz val="11"/>
      <color rgb="FF0000FF"/>
      <name val="Calibri"/>
      <family val="2"/>
    </font>
  </fonts>
  <fills count="71">
    <fill>
      <patternFill patternType="none"/>
    </fill>
    <fill>
      <patternFill patternType="gray125"/>
    </fill>
    <fill>
      <patternFill patternType="solid">
        <fgColor rgb="FF0070C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799939"/>
      </patternFill>
    </fill>
    <fill>
      <patternFill patternType="solid">
        <fgColor theme="6"/>
        <bgColor rgb="FFB4C7DC"/>
      </patternFill>
    </fill>
    <fill>
      <patternFill patternType="solid">
        <fgColor theme="5"/>
        <bgColor indexed="64"/>
      </patternFill>
    </fill>
    <fill>
      <patternFill patternType="solid">
        <fgColor theme="8" tint="0.79998168889431442"/>
        <bgColor indexed="64"/>
      </patternFill>
    </fill>
    <fill>
      <patternFill patternType="solid">
        <fgColor rgb="FFB2B2B2"/>
        <bgColor rgb="FFB2B2B2"/>
      </patternFill>
    </fill>
    <fill>
      <patternFill patternType="solid">
        <fgColor theme="9" tint="0.39997558519241921"/>
        <bgColor indexed="64"/>
      </patternFill>
    </fill>
    <fill>
      <patternFill patternType="solid">
        <fgColor rgb="FFFFD757"/>
        <bgColor indexed="64"/>
      </patternFill>
    </fill>
    <fill>
      <patternFill patternType="solid">
        <fgColor rgb="FFCB9763"/>
        <bgColor indexed="64"/>
      </patternFill>
    </fill>
    <fill>
      <patternFill patternType="solid">
        <fgColor theme="5" tint="0.59999389629810485"/>
        <bgColor indexed="64"/>
      </patternFill>
    </fill>
    <fill>
      <patternFill patternType="solid">
        <fgColor rgb="FFFFFFFF"/>
        <bgColor indexed="64"/>
      </patternFill>
    </fill>
    <fill>
      <patternFill patternType="solid">
        <fgColor rgb="FFD56714"/>
        <bgColor indexed="64"/>
      </patternFill>
    </fill>
    <fill>
      <patternFill patternType="solid">
        <fgColor rgb="FFED6B0B"/>
        <bgColor indexed="64"/>
      </patternFill>
    </fill>
    <fill>
      <patternFill patternType="solid">
        <fgColor theme="1"/>
        <bgColor indexed="64"/>
      </patternFill>
    </fill>
    <fill>
      <patternFill patternType="solid">
        <fgColor rgb="FFFFFF00"/>
        <bgColor indexed="64"/>
      </patternFill>
    </fill>
    <fill>
      <patternFill patternType="solid">
        <fgColor rgb="FFB2004C"/>
        <bgColor rgb="FFB2004C"/>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
      <patternFill patternType="solid">
        <fgColor rgb="FF92D050"/>
        <bgColor indexed="64"/>
      </patternFill>
    </fill>
    <fill>
      <patternFill patternType="solid">
        <fgColor rgb="FFFFC000"/>
        <bgColor indexed="64"/>
      </patternFill>
    </fill>
    <fill>
      <patternFill patternType="solid">
        <fgColor theme="0" tint="-0.249977111117893"/>
        <bgColor indexed="64"/>
      </patternFill>
    </fill>
    <fill>
      <patternFill patternType="solid">
        <fgColor rgb="FF996633"/>
        <bgColor indexed="64"/>
      </patternFill>
    </fill>
    <fill>
      <patternFill patternType="solid">
        <fgColor rgb="FFC15940"/>
        <bgColor indexed="64"/>
      </patternFill>
    </fill>
    <fill>
      <patternFill patternType="solid">
        <fgColor rgb="FF698763"/>
        <bgColor indexed="64"/>
      </patternFill>
    </fill>
    <fill>
      <patternFill patternType="solid">
        <fgColor rgb="FFFAC55C"/>
        <bgColor indexed="64"/>
      </patternFill>
    </fill>
    <fill>
      <patternFill patternType="solid">
        <fgColor rgb="FF81E3C5"/>
        <bgColor indexed="64"/>
      </patternFill>
    </fill>
    <fill>
      <patternFill patternType="solid">
        <fgColor rgb="FF8E8E8E"/>
        <bgColor indexed="64"/>
      </patternFill>
    </fill>
    <fill>
      <patternFill patternType="solid">
        <fgColor rgb="FFDEDDC2"/>
        <bgColor indexed="64"/>
      </patternFill>
    </fill>
    <fill>
      <patternFill patternType="solid">
        <fgColor theme="9"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rgb="FFFFCC99"/>
        <bgColor indexed="64"/>
      </patternFill>
    </fill>
    <fill>
      <patternFill patternType="solid">
        <fgColor rgb="FF99FFCC"/>
        <bgColor indexed="64"/>
      </patternFill>
    </fill>
    <fill>
      <patternFill patternType="solid">
        <fgColor rgb="FFFFFFCC"/>
        <bgColor indexed="64"/>
      </patternFill>
    </fill>
    <fill>
      <patternFill patternType="solid">
        <fgColor indexed="9"/>
        <bgColor indexed="64"/>
      </patternFill>
    </fill>
    <fill>
      <patternFill patternType="solid">
        <fgColor rgb="FFFFC000"/>
        <bgColor indexed="27"/>
      </patternFill>
    </fill>
    <fill>
      <patternFill patternType="solid">
        <fgColor indexed="9"/>
        <bgColor indexed="26"/>
      </patternFill>
    </fill>
    <fill>
      <patternFill patternType="solid">
        <fgColor theme="0" tint="-4.9989318521683403E-2"/>
        <bgColor indexed="64"/>
      </patternFill>
    </fill>
    <fill>
      <patternFill patternType="solid">
        <fgColor theme="3" tint="0.59999389629810485"/>
        <bgColor indexed="64"/>
      </patternFill>
    </fill>
    <fill>
      <patternFill patternType="solid">
        <fgColor rgb="FFFFC000"/>
        <bgColor indexed="26"/>
      </patternFill>
    </fill>
    <fill>
      <patternFill patternType="solid">
        <fgColor rgb="FF92D050"/>
        <bgColor indexed="27"/>
      </patternFill>
    </fill>
    <fill>
      <patternFill patternType="solid">
        <fgColor rgb="FF92D050"/>
        <bgColor indexed="26"/>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indexed="26"/>
      </patternFill>
    </fill>
    <fill>
      <patternFill patternType="solid">
        <fgColor theme="1" tint="0.34998626667073579"/>
        <bgColor indexed="64"/>
      </patternFill>
    </fill>
    <fill>
      <patternFill patternType="solid">
        <fgColor theme="1" tint="0.34998626667073579"/>
        <bgColor indexed="26"/>
      </patternFill>
    </fill>
    <fill>
      <patternFill patternType="solid">
        <fgColor theme="0"/>
        <bgColor indexed="26"/>
      </patternFill>
    </fill>
    <fill>
      <patternFill patternType="solid">
        <fgColor rgb="FFB2004C"/>
      </patternFill>
    </fill>
    <fill>
      <patternFill patternType="solid">
        <fgColor rgb="FFFF9999"/>
        <bgColor indexed="64"/>
      </patternFill>
    </fill>
    <fill>
      <patternFill patternType="solid">
        <fgColor theme="7"/>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DC6D"/>
        <bgColor indexed="64"/>
      </patternFill>
    </fill>
    <fill>
      <patternFill patternType="solid">
        <fgColor rgb="FFCB97FF"/>
        <bgColor indexed="64"/>
      </patternFill>
    </fill>
    <fill>
      <patternFill patternType="solid">
        <fgColor rgb="FFFFB7B7"/>
        <bgColor indexed="64"/>
      </patternFill>
    </fill>
    <fill>
      <patternFill patternType="solid">
        <fgColor rgb="FFA7FFA7"/>
        <bgColor indexed="64"/>
      </patternFill>
    </fill>
    <fill>
      <patternFill patternType="solid">
        <fgColor rgb="FFB3E2FF"/>
        <bgColor indexed="64"/>
      </patternFill>
    </fill>
    <fill>
      <patternFill patternType="solid">
        <fgColor indexed="65"/>
        <bgColor rgb="FFF9F9F9"/>
      </patternFill>
    </fill>
    <fill>
      <patternFill patternType="solid">
        <fgColor theme="0"/>
        <bgColor rgb="FFB4C7DC"/>
      </patternFill>
    </fill>
  </fills>
  <borders count="8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B0B0B0"/>
      </left>
      <right style="thin">
        <color rgb="FFB0B0B0"/>
      </right>
      <top style="thin">
        <color rgb="FFB0B0B0"/>
      </top>
      <bottom style="thin">
        <color rgb="FFB0B0B0"/>
      </bottom>
      <diagonal/>
    </border>
    <border>
      <left/>
      <right/>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style="medium">
        <color rgb="FF0070C0"/>
      </left>
      <right style="medium">
        <color rgb="FF0070C0"/>
      </right>
      <top style="medium">
        <color rgb="FF0070C0"/>
      </top>
      <bottom/>
      <diagonal/>
    </border>
    <border>
      <left style="medium">
        <color rgb="FF0070C0"/>
      </left>
      <right style="medium">
        <color rgb="FF0070C0"/>
      </right>
      <top style="thin">
        <color indexed="64"/>
      </top>
      <bottom/>
      <diagonal/>
    </border>
    <border>
      <left style="hair">
        <color indexed="64"/>
      </left>
      <right/>
      <top/>
      <bottom style="thin">
        <color indexed="64"/>
      </bottom>
      <diagonal/>
    </border>
    <border>
      <left style="medium">
        <color rgb="FF0070C0"/>
      </left>
      <right style="medium">
        <color rgb="FF0070C0"/>
      </right>
      <top/>
      <bottom style="medium">
        <color rgb="FF0070C0"/>
      </bottom>
      <diagonal/>
    </border>
    <border>
      <left style="medium">
        <color rgb="FF0070C0"/>
      </left>
      <right style="medium">
        <color rgb="FF0070C0"/>
      </right>
      <top/>
      <bottom style="thin">
        <color indexed="64"/>
      </bottom>
      <diagonal/>
    </border>
    <border>
      <left/>
      <right style="thin">
        <color indexed="64"/>
      </right>
      <top/>
      <bottom style="thin">
        <color indexed="64"/>
      </bottom>
      <diagonal/>
    </border>
    <border>
      <left style="hair">
        <color indexed="64"/>
      </left>
      <right/>
      <top/>
      <bottom/>
      <diagonal/>
    </border>
    <border>
      <left style="medium">
        <color rgb="FF0070C0"/>
      </left>
      <right style="medium">
        <color rgb="FF0070C0"/>
      </right>
      <top/>
      <bottom/>
      <diagonal/>
    </border>
    <border>
      <left/>
      <right style="hair">
        <color auto="1"/>
      </right>
      <top/>
      <bottom/>
      <diagonal/>
    </border>
    <border>
      <left style="hair">
        <color auto="1"/>
      </left>
      <right style="hair">
        <color auto="1"/>
      </right>
      <top/>
      <bottom style="hair">
        <color indexed="64"/>
      </bottom>
      <diagonal/>
    </border>
    <border>
      <left style="hair">
        <color auto="1"/>
      </left>
      <right/>
      <top/>
      <bottom style="hair">
        <color indexed="64"/>
      </bottom>
      <diagonal/>
    </border>
    <border>
      <left style="medium">
        <color rgb="FF0070C0"/>
      </left>
      <right style="medium">
        <color rgb="FF0070C0"/>
      </right>
      <top/>
      <bottom style="hair">
        <color indexed="64"/>
      </bottom>
      <diagonal/>
    </border>
    <border>
      <left style="hair">
        <color indexed="64"/>
      </left>
      <right/>
      <top style="hair">
        <color indexed="64"/>
      </top>
      <bottom style="thin">
        <color indexed="64"/>
      </bottom>
      <diagonal/>
    </border>
    <border>
      <left style="medium">
        <color rgb="FF0070C0"/>
      </left>
      <right style="medium">
        <color rgb="FF0070C0"/>
      </right>
      <top style="hair">
        <color indexed="64"/>
      </top>
      <bottom style="thin">
        <color indexed="64"/>
      </bottom>
      <diagonal/>
    </border>
    <border>
      <left/>
      <right/>
      <top style="hair">
        <color indexed="64"/>
      </top>
      <bottom style="thin">
        <color indexed="64"/>
      </bottom>
      <diagonal/>
    </border>
    <border>
      <left/>
      <right style="hair">
        <color auto="1"/>
      </right>
      <top style="hair">
        <color indexed="64"/>
      </top>
      <bottom style="thin">
        <color indexed="64"/>
      </bottom>
      <diagonal/>
    </border>
    <border>
      <left/>
      <right style="medium">
        <color rgb="FF0070C0"/>
      </right>
      <top/>
      <bottom style="medium">
        <color rgb="FF0070C0"/>
      </bottom>
      <diagonal/>
    </border>
    <border>
      <left/>
      <right style="medium">
        <color rgb="FF0070C0"/>
      </right>
      <top style="medium">
        <color rgb="FF0070C0"/>
      </top>
      <bottom/>
      <diagonal/>
    </border>
    <border>
      <left/>
      <right style="medium">
        <color rgb="FF0070C0"/>
      </right>
      <top/>
      <bottom/>
      <diagonal/>
    </border>
    <border>
      <left/>
      <right style="medium">
        <color rgb="FF0070C0"/>
      </right>
      <top style="hair">
        <color indexed="64"/>
      </top>
      <bottom style="thin">
        <color indexed="64"/>
      </bottom>
      <diagonal/>
    </border>
    <border>
      <left style="medium">
        <color rgb="FF0070C0"/>
      </left>
      <right style="hair">
        <color indexed="64"/>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style="thin">
        <color theme="5" tint="-0.499984740745262"/>
      </right>
      <top/>
      <bottom/>
      <diagonal/>
    </border>
    <border>
      <left style="thin">
        <color theme="5" tint="-0.499984740745262"/>
      </left>
      <right style="thin">
        <color theme="5" tint="-0.499984740745262"/>
      </right>
      <top/>
      <bottom style="thick">
        <color theme="5" tint="-0.499984740745262"/>
      </bottom>
      <diagonal/>
    </border>
    <border>
      <left style="thin">
        <color theme="5" tint="-0.499984740745262"/>
      </left>
      <right style="thin">
        <color theme="5" tint="-0.499984740745262"/>
      </right>
      <top style="thick">
        <color theme="5" tint="-0.499984740745262"/>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theme="5" tint="-0.499984740745262"/>
      </top>
      <bottom/>
      <diagonal/>
    </border>
    <border>
      <left style="thin">
        <color indexed="64"/>
      </left>
      <right/>
      <top style="thin">
        <color theme="5" tint="-0.499984740745262"/>
      </top>
      <bottom/>
      <diagonal/>
    </border>
    <border>
      <left/>
      <right/>
      <top/>
      <bottom style="thin">
        <color theme="4" tint="0.39997558519241921"/>
      </bottom>
      <diagonal/>
    </border>
  </borders>
  <cellStyleXfs count="33">
    <xf numFmtId="0" fontId="0" fillId="0" borderId="0"/>
    <xf numFmtId="43" fontId="5" fillId="0" borderId="0" applyFont="0" applyFill="0" applyBorder="0" applyAlignment="0" applyProtection="0"/>
    <xf numFmtId="0" fontId="11" fillId="11" borderId="6"/>
    <xf numFmtId="0" fontId="12" fillId="0" borderId="6"/>
    <xf numFmtId="0" fontId="13" fillId="0" borderId="0"/>
    <xf numFmtId="0" fontId="14" fillId="0" borderId="0"/>
    <xf numFmtId="0" fontId="4" fillId="0" borderId="0"/>
    <xf numFmtId="9" fontId="4" fillId="0" borderId="0" applyFont="0" applyFill="0" applyBorder="0" applyAlignment="0" applyProtection="0"/>
    <xf numFmtId="43" fontId="4" fillId="0" borderId="0" applyFont="0" applyFill="0" applyBorder="0" applyAlignment="0" applyProtection="0"/>
    <xf numFmtId="0" fontId="15" fillId="0" borderId="0"/>
    <xf numFmtId="0" fontId="19" fillId="0" borderId="0"/>
    <xf numFmtId="0" fontId="13" fillId="0" borderId="0"/>
    <xf numFmtId="0" fontId="6" fillId="0" borderId="0"/>
    <xf numFmtId="0" fontId="3" fillId="0" borderId="0"/>
    <xf numFmtId="169" fontId="33" fillId="0" borderId="0"/>
    <xf numFmtId="9" fontId="6" fillId="0" borderId="0" applyFont="0" applyFill="0" applyBorder="0" applyAlignment="0" applyProtection="0"/>
    <xf numFmtId="0" fontId="2" fillId="0" borderId="0"/>
    <xf numFmtId="0" fontId="39" fillId="0" borderId="0"/>
    <xf numFmtId="0" fontId="39" fillId="0" borderId="0"/>
    <xf numFmtId="0" fontId="45" fillId="0" borderId="0"/>
    <xf numFmtId="0" fontId="45" fillId="0" borderId="0"/>
    <xf numFmtId="9" fontId="2" fillId="0" borderId="0" applyFont="0" applyFill="0" applyBorder="0" applyAlignment="0" applyProtection="0"/>
    <xf numFmtId="174" fontId="2" fillId="0" borderId="0" applyFont="0" applyFill="0" applyBorder="0" applyAlignment="0" applyProtection="0"/>
    <xf numFmtId="0" fontId="39" fillId="0" borderId="0"/>
    <xf numFmtId="0" fontId="2" fillId="0" borderId="0"/>
    <xf numFmtId="0" fontId="39" fillId="0" borderId="0"/>
    <xf numFmtId="174" fontId="39" fillId="0" borderId="0" applyFont="0" applyFill="0" applyBorder="0" applyAlignment="0" applyProtection="0"/>
    <xf numFmtId="9" fontId="39"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130" fillId="0" borderId="0" applyNumberFormat="0" applyFill="0" applyBorder="0" applyAlignment="0" applyProtection="0"/>
    <xf numFmtId="0" fontId="133" fillId="0" borderId="0" applyNumberFormat="0" applyFill="0" applyBorder="0" applyAlignment="0" applyProtection="0"/>
  </cellStyleXfs>
  <cellXfs count="1086">
    <xf numFmtId="0" fontId="0" fillId="0" borderId="0" xfId="0"/>
    <xf numFmtId="0" fontId="7" fillId="2" borderId="1" xfId="0" applyFont="1" applyFill="1" applyBorder="1" applyAlignment="1">
      <alignment horizontal="center" vertical="center" wrapText="1" shrinkToFit="1"/>
    </xf>
    <xf numFmtId="0" fontId="7" fillId="2" borderId="2" xfId="0" applyFont="1" applyFill="1" applyBorder="1" applyAlignment="1">
      <alignment horizontal="center" vertical="center" wrapText="1" shrinkToFit="1"/>
    </xf>
    <xf numFmtId="0" fontId="0" fillId="3" borderId="0" xfId="0" applyFill="1" applyAlignment="1">
      <alignment horizontal="center"/>
    </xf>
    <xf numFmtId="49" fontId="0" fillId="3" borderId="0" xfId="0" applyNumberFormat="1" applyFill="1"/>
    <xf numFmtId="0" fontId="0" fillId="3" borderId="0" xfId="0" applyFill="1"/>
    <xf numFmtId="0" fontId="0" fillId="4" borderId="0" xfId="0" applyFill="1" applyAlignment="1">
      <alignment horizontal="center"/>
    </xf>
    <xf numFmtId="0" fontId="6" fillId="4" borderId="0" xfId="0" applyFont="1" applyFill="1"/>
    <xf numFmtId="0" fontId="0" fillId="4" borderId="0" xfId="0" applyFill="1"/>
    <xf numFmtId="49" fontId="0" fillId="4" borderId="0" xfId="0" applyNumberFormat="1" applyFill="1"/>
    <xf numFmtId="0" fontId="0" fillId="0" borderId="0" xfId="0" applyAlignment="1">
      <alignment horizontal="center"/>
    </xf>
    <xf numFmtId="0" fontId="6" fillId="0" borderId="0" xfId="0" applyFont="1"/>
    <xf numFmtId="49" fontId="6" fillId="0" borderId="0" xfId="0" applyNumberFormat="1" applyFont="1"/>
    <xf numFmtId="0" fontId="0" fillId="6" borderId="0" xfId="0" applyFill="1" applyAlignment="1">
      <alignment horizontal="center"/>
    </xf>
    <xf numFmtId="0" fontId="0" fillId="6" borderId="0" xfId="0" applyFill="1"/>
    <xf numFmtId="49" fontId="0" fillId="6" borderId="0" xfId="0" applyNumberFormat="1" applyFill="1"/>
    <xf numFmtId="0" fontId="7" fillId="7" borderId="1" xfId="0" applyFont="1" applyFill="1" applyBorder="1" applyAlignment="1">
      <alignment horizontal="center" vertical="center" wrapText="1" shrinkToFit="1"/>
    </xf>
    <xf numFmtId="0" fontId="7" fillId="7" borderId="2" xfId="0" applyFont="1" applyFill="1" applyBorder="1" applyAlignment="1">
      <alignment horizontal="center" vertical="center" wrapText="1" shrinkToFit="1"/>
    </xf>
    <xf numFmtId="0" fontId="9" fillId="8" borderId="2" xfId="0" applyFont="1" applyFill="1" applyBorder="1" applyAlignment="1">
      <alignment horizontal="center" vertical="center" wrapText="1"/>
    </xf>
    <xf numFmtId="0" fontId="7" fillId="7" borderId="3" xfId="0" applyFont="1" applyFill="1" applyBorder="1" applyAlignment="1">
      <alignment horizontal="center" vertical="center" wrapText="1" shrinkToFit="1"/>
    </xf>
    <xf numFmtId="0" fontId="0" fillId="0" borderId="0" xfId="0" applyAlignment="1">
      <alignment horizontal="center" vertical="center" wrapText="1"/>
    </xf>
    <xf numFmtId="2" fontId="0" fillId="0" borderId="0" xfId="0" applyNumberFormat="1" applyAlignment="1">
      <alignment horizontal="center"/>
    </xf>
    <xf numFmtId="9" fontId="0" fillId="0" borderId="0" xfId="0" applyNumberFormat="1"/>
    <xf numFmtId="0" fontId="7" fillId="9" borderId="1" xfId="0" applyFont="1" applyFill="1" applyBorder="1" applyAlignment="1">
      <alignment horizontal="center" vertical="center" wrapText="1" shrinkToFit="1"/>
    </xf>
    <xf numFmtId="0" fontId="7" fillId="9" borderId="2" xfId="0" applyFont="1" applyFill="1" applyBorder="1" applyAlignment="1">
      <alignment horizontal="center" vertical="center" wrapText="1" shrinkToFit="1"/>
    </xf>
    <xf numFmtId="0" fontId="7" fillId="9" borderId="3" xfId="0" applyFont="1" applyFill="1" applyBorder="1" applyAlignment="1">
      <alignment horizontal="center" vertical="center" wrapText="1" shrinkToFit="1"/>
    </xf>
    <xf numFmtId="0" fontId="0" fillId="5" borderId="0" xfId="0" applyFill="1" applyAlignment="1">
      <alignment horizontal="center" vertical="center"/>
    </xf>
    <xf numFmtId="0" fontId="0" fillId="3" borderId="0" xfId="0" applyFill="1" applyAlignment="1">
      <alignment horizontal="center" vertical="center"/>
    </xf>
    <xf numFmtId="0" fontId="0" fillId="10" borderId="0" xfId="0" applyFill="1" applyAlignment="1">
      <alignment horizontal="center"/>
    </xf>
    <xf numFmtId="0" fontId="6" fillId="10" borderId="0" xfId="0" applyFont="1" applyFill="1"/>
    <xf numFmtId="0" fontId="0" fillId="10" borderId="0" xfId="0" applyFill="1"/>
    <xf numFmtId="0" fontId="0" fillId="0" borderId="0" xfId="0" applyAlignment="1">
      <alignment horizontal="left"/>
    </xf>
    <xf numFmtId="0" fontId="6" fillId="6" borderId="0" xfId="0" applyFont="1" applyFill="1"/>
    <xf numFmtId="0" fontId="0" fillId="13" borderId="0" xfId="0" applyFill="1"/>
    <xf numFmtId="0" fontId="6" fillId="10" borderId="0" xfId="0" applyFont="1" applyFill="1" applyAlignment="1">
      <alignment horizontal="center"/>
    </xf>
    <xf numFmtId="49" fontId="0" fillId="10" borderId="0" xfId="0" applyNumberFormat="1" applyFill="1"/>
    <xf numFmtId="0" fontId="0" fillId="14" borderId="0" xfId="0" applyFill="1"/>
    <xf numFmtId="0" fontId="0" fillId="15" borderId="0" xfId="0" applyFill="1"/>
    <xf numFmtId="0" fontId="16" fillId="0" borderId="0" xfId="9" applyFont="1"/>
    <xf numFmtId="0" fontId="15" fillId="0" borderId="0" xfId="9"/>
    <xf numFmtId="166" fontId="17" fillId="0" borderId="0" xfId="9" applyNumberFormat="1" applyFont="1"/>
    <xf numFmtId="0" fontId="18" fillId="0" borderId="0" xfId="9" applyFont="1"/>
    <xf numFmtId="0" fontId="19" fillId="16" borderId="0" xfId="10" applyFill="1" applyAlignment="1">
      <alignment horizontal="left"/>
    </xf>
    <xf numFmtId="0" fontId="23" fillId="17" borderId="0" xfId="10" applyFont="1" applyFill="1" applyAlignment="1">
      <alignment horizontal="center" vertical="center"/>
    </xf>
    <xf numFmtId="0" fontId="23" fillId="17" borderId="0" xfId="10" applyFont="1" applyFill="1" applyAlignment="1">
      <alignment horizontal="center" vertical="center" wrapText="1"/>
    </xf>
    <xf numFmtId="0" fontId="24" fillId="16" borderId="0" xfId="10" applyFont="1" applyFill="1" applyAlignment="1">
      <alignment horizontal="left"/>
    </xf>
    <xf numFmtId="167" fontId="24" fillId="16" borderId="0" xfId="10" applyNumberFormat="1" applyFont="1" applyFill="1" applyAlignment="1">
      <alignment horizontal="right"/>
    </xf>
    <xf numFmtId="168" fontId="24" fillId="16" borderId="0" xfId="10" applyNumberFormat="1" applyFont="1" applyFill="1" applyAlignment="1">
      <alignment horizontal="right"/>
    </xf>
    <xf numFmtId="3" fontId="24" fillId="16" borderId="0" xfId="10" applyNumberFormat="1" applyFont="1" applyFill="1" applyAlignment="1">
      <alignment horizontal="right"/>
    </xf>
    <xf numFmtId="0" fontId="23" fillId="18" borderId="0" xfId="10" applyFont="1" applyFill="1" applyAlignment="1">
      <alignment horizontal="center" vertical="center"/>
    </xf>
    <xf numFmtId="0" fontId="0" fillId="19" borderId="0" xfId="0" applyFill="1"/>
    <xf numFmtId="0" fontId="8" fillId="0" borderId="9" xfId="12" applyFont="1" applyBorder="1"/>
    <xf numFmtId="0" fontId="6" fillId="0" borderId="10" xfId="12" applyBorder="1"/>
    <xf numFmtId="0" fontId="8" fillId="0" borderId="11" xfId="12" applyFont="1" applyBorder="1"/>
    <xf numFmtId="0" fontId="6" fillId="0" borderId="12" xfId="12" applyBorder="1"/>
    <xf numFmtId="0" fontId="8" fillId="0" borderId="13" xfId="12" applyFont="1" applyBorder="1"/>
    <xf numFmtId="0" fontId="6" fillId="0" borderId="14" xfId="12" applyBorder="1"/>
    <xf numFmtId="10" fontId="0" fillId="20" borderId="0" xfId="0" applyNumberFormat="1" applyFill="1"/>
    <xf numFmtId="0" fontId="6" fillId="0" borderId="12" xfId="12" applyBorder="1" applyAlignment="1">
      <alignment horizontal="left"/>
    </xf>
    <xf numFmtId="0" fontId="29" fillId="0" borderId="0" xfId="0" applyFont="1"/>
    <xf numFmtId="0" fontId="30" fillId="0" borderId="0" xfId="0" applyFont="1"/>
    <xf numFmtId="0" fontId="31" fillId="0" borderId="0" xfId="0" applyFont="1"/>
    <xf numFmtId="0" fontId="34" fillId="21" borderId="6" xfId="14" applyNumberFormat="1" applyFont="1" applyFill="1" applyBorder="1" applyAlignment="1">
      <alignment horizontal="center" vertical="center" wrapText="1"/>
    </xf>
    <xf numFmtId="0" fontId="32" fillId="0" borderId="6" xfId="0" applyFont="1" applyBorder="1"/>
    <xf numFmtId="1" fontId="32" fillId="0" borderId="6" xfId="0" applyNumberFormat="1" applyFont="1" applyBorder="1"/>
    <xf numFmtId="0" fontId="35" fillId="0" borderId="0" xfId="4" applyFont="1" applyAlignment="1">
      <alignment horizontal="left" vertical="center"/>
    </xf>
    <xf numFmtId="0" fontId="13" fillId="0" borderId="0" xfId="4"/>
    <xf numFmtId="0" fontId="36" fillId="0" borderId="0" xfId="4" applyFont="1" applyAlignment="1">
      <alignment horizontal="left" vertical="center"/>
    </xf>
    <xf numFmtId="0" fontId="37" fillId="22" borderId="15" xfId="4" applyFont="1" applyFill="1" applyBorder="1" applyAlignment="1">
      <alignment horizontal="right" vertical="center"/>
    </xf>
    <xf numFmtId="0" fontId="37" fillId="22" borderId="15" xfId="4" applyFont="1" applyFill="1" applyBorder="1" applyAlignment="1">
      <alignment horizontal="left" vertical="center"/>
    </xf>
    <xf numFmtId="0" fontId="36" fillId="23" borderId="15" xfId="4" applyFont="1" applyFill="1" applyBorder="1" applyAlignment="1">
      <alignment horizontal="left" vertical="center"/>
    </xf>
    <xf numFmtId="0" fontId="13" fillId="24" borderId="0" xfId="4" applyFill="1"/>
    <xf numFmtId="0" fontId="36" fillId="25" borderId="15" xfId="4" applyFont="1" applyFill="1" applyBorder="1" applyAlignment="1">
      <alignment horizontal="left" vertical="center"/>
    </xf>
    <xf numFmtId="3" fontId="35" fillId="0" borderId="0" xfId="4" applyNumberFormat="1" applyFont="1" applyAlignment="1">
      <alignment horizontal="right" vertical="center" shrinkToFit="1"/>
    </xf>
    <xf numFmtId="3" fontId="35" fillId="26" borderId="0" xfId="4" applyNumberFormat="1" applyFont="1" applyFill="1" applyAlignment="1">
      <alignment horizontal="right" vertical="center" shrinkToFit="1"/>
    </xf>
    <xf numFmtId="170" fontId="35" fillId="0" borderId="0" xfId="4" applyNumberFormat="1" applyFont="1" applyAlignment="1">
      <alignment horizontal="right" vertical="center" shrinkToFit="1"/>
    </xf>
    <xf numFmtId="170" fontId="35" fillId="26" borderId="0" xfId="4" applyNumberFormat="1" applyFont="1" applyFill="1" applyAlignment="1">
      <alignment horizontal="right" vertical="center" shrinkToFit="1"/>
    </xf>
    <xf numFmtId="4" fontId="35" fillId="26" borderId="0" xfId="4" applyNumberFormat="1" applyFont="1" applyFill="1" applyAlignment="1">
      <alignment horizontal="right" vertical="center" shrinkToFit="1"/>
    </xf>
    <xf numFmtId="4" fontId="35" fillId="0" borderId="0" xfId="4" applyNumberFormat="1" applyFont="1" applyAlignment="1">
      <alignment horizontal="right" vertical="center" shrinkToFit="1"/>
    </xf>
    <xf numFmtId="0" fontId="0" fillId="28" borderId="0" xfId="0" applyFill="1"/>
    <xf numFmtId="0" fontId="0" fillId="29" borderId="0" xfId="0" applyFill="1"/>
    <xf numFmtId="0" fontId="0" fillId="30" borderId="0" xfId="0" applyFill="1"/>
    <xf numFmtId="0" fontId="0" fillId="31" borderId="0" xfId="0" applyFill="1"/>
    <xf numFmtId="0" fontId="0" fillId="32" borderId="0" xfId="0" applyFill="1"/>
    <xf numFmtId="0" fontId="0" fillId="33" borderId="0" xfId="0" applyFill="1"/>
    <xf numFmtId="0" fontId="0" fillId="34" borderId="0" xfId="0" applyFill="1"/>
    <xf numFmtId="0" fontId="10" fillId="35" borderId="0" xfId="0" applyFont="1" applyFill="1"/>
    <xf numFmtId="0" fontId="0" fillId="36" borderId="0" xfId="0" applyFill="1"/>
    <xf numFmtId="0" fontId="0" fillId="37" borderId="0" xfId="0" applyFill="1" applyAlignment="1">
      <alignment horizontal="center"/>
    </xf>
    <xf numFmtId="0" fontId="0" fillId="37" borderId="0" xfId="0" applyFill="1"/>
    <xf numFmtId="0" fontId="0" fillId="38" borderId="0" xfId="0" applyFill="1" applyAlignment="1">
      <alignment horizontal="center"/>
    </xf>
    <xf numFmtId="0" fontId="0" fillId="38" borderId="0" xfId="0" applyFill="1"/>
    <xf numFmtId="0" fontId="0" fillId="39" borderId="0" xfId="0" applyFill="1" applyAlignment="1">
      <alignment horizontal="center"/>
    </xf>
    <xf numFmtId="0" fontId="0" fillId="39" borderId="0" xfId="0" applyFill="1"/>
    <xf numFmtId="0" fontId="0" fillId="40" borderId="0" xfId="0" applyFill="1" applyAlignment="1">
      <alignment horizontal="center"/>
    </xf>
    <xf numFmtId="0" fontId="0" fillId="40" borderId="0" xfId="0" applyFill="1"/>
    <xf numFmtId="0" fontId="0" fillId="41" borderId="0" xfId="0" applyFill="1" applyAlignment="1">
      <alignment horizontal="center"/>
    </xf>
    <xf numFmtId="0" fontId="0" fillId="41" borderId="0" xfId="0" applyFill="1"/>
    <xf numFmtId="0" fontId="0" fillId="42" borderId="0" xfId="0" applyFill="1" applyAlignment="1">
      <alignment horizontal="center"/>
    </xf>
    <xf numFmtId="0" fontId="0" fillId="42" borderId="0" xfId="0" applyFill="1"/>
    <xf numFmtId="3" fontId="0" fillId="0" borderId="0" xfId="0" applyNumberFormat="1"/>
    <xf numFmtId="2" fontId="0" fillId="0" borderId="0" xfId="0" applyNumberFormat="1" applyAlignment="1">
      <alignment horizontal="left"/>
    </xf>
    <xf numFmtId="0" fontId="2" fillId="43" borderId="0" xfId="16" applyFill="1"/>
    <xf numFmtId="0" fontId="2" fillId="0" borderId="0" xfId="16" applyAlignment="1">
      <alignment horizontal="center" vertical="center"/>
    </xf>
    <xf numFmtId="0" fontId="2" fillId="0" borderId="0" xfId="16"/>
    <xf numFmtId="0" fontId="40" fillId="44" borderId="17" xfId="17" applyFont="1" applyFill="1" applyBorder="1" applyAlignment="1">
      <alignment horizontal="left"/>
    </xf>
    <xf numFmtId="0" fontId="40" fillId="44" borderId="18" xfId="17" applyFont="1" applyFill="1" applyBorder="1" applyAlignment="1" applyProtection="1">
      <alignment horizontal="center"/>
      <protection locked="0"/>
    </xf>
    <xf numFmtId="0" fontId="40" fillId="44" borderId="19" xfId="17" applyFont="1" applyFill="1" applyBorder="1" applyAlignment="1" applyProtection="1">
      <alignment horizontal="center"/>
      <protection locked="0"/>
    </xf>
    <xf numFmtId="0" fontId="43" fillId="28" borderId="20" xfId="18" applyFont="1" applyFill="1" applyBorder="1" applyAlignment="1">
      <alignment vertical="center" wrapText="1"/>
    </xf>
    <xf numFmtId="0" fontId="40" fillId="28" borderId="21" xfId="17" applyFont="1" applyFill="1" applyBorder="1" applyAlignment="1" applyProtection="1">
      <alignment horizontal="right" wrapText="1"/>
      <protection locked="0"/>
    </xf>
    <xf numFmtId="0" fontId="40" fillId="28" borderId="22" xfId="17" applyFont="1" applyFill="1" applyBorder="1" applyAlignment="1" applyProtection="1">
      <alignment horizontal="right" wrapText="1"/>
      <protection locked="0"/>
    </xf>
    <xf numFmtId="0" fontId="44" fillId="28" borderId="22" xfId="17" applyFont="1" applyFill="1" applyBorder="1" applyAlignment="1" applyProtection="1">
      <alignment horizontal="right" wrapText="1"/>
      <protection locked="0"/>
    </xf>
    <xf numFmtId="0" fontId="43" fillId="28" borderId="22" xfId="18" applyFont="1" applyFill="1" applyBorder="1" applyAlignment="1">
      <alignment horizontal="right" vertical="center" wrapText="1"/>
    </xf>
    <xf numFmtId="0" fontId="43" fillId="28" borderId="22" xfId="18" applyFont="1" applyFill="1" applyBorder="1" applyAlignment="1">
      <alignment horizontal="center" vertical="center" wrapText="1"/>
    </xf>
    <xf numFmtId="0" fontId="43" fillId="28" borderId="23" xfId="18" applyFont="1" applyFill="1" applyBorder="1" applyAlignment="1">
      <alignment horizontal="center" vertical="center" wrapText="1"/>
    </xf>
    <xf numFmtId="0" fontId="2" fillId="43" borderId="20" xfId="16" applyFill="1" applyBorder="1"/>
    <xf numFmtId="0" fontId="2" fillId="43" borderId="21" xfId="16" applyFill="1" applyBorder="1"/>
    <xf numFmtId="0" fontId="2" fillId="43" borderId="22" xfId="16" applyFill="1" applyBorder="1"/>
    <xf numFmtId="0" fontId="46" fillId="43" borderId="20" xfId="19" applyFont="1" applyFill="1" applyBorder="1" applyAlignment="1" applyProtection="1">
      <alignment horizontal="left"/>
      <protection locked="0"/>
    </xf>
    <xf numFmtId="3" fontId="46" fillId="0" borderId="21" xfId="16" applyNumberFormat="1" applyFont="1" applyBorder="1" applyAlignment="1">
      <alignment vertical="center"/>
    </xf>
    <xf numFmtId="3" fontId="46" fillId="0" borderId="22" xfId="16" applyNumberFormat="1" applyFont="1" applyBorder="1" applyAlignment="1">
      <alignment vertical="center"/>
    </xf>
    <xf numFmtId="3" fontId="46" fillId="0" borderId="22" xfId="16" applyNumberFormat="1" applyFont="1" applyBorder="1" applyAlignment="1">
      <alignment horizontal="right"/>
    </xf>
    <xf numFmtId="3" fontId="47" fillId="0" borderId="22" xfId="16" applyNumberFormat="1" applyFont="1" applyBorder="1" applyAlignment="1">
      <alignment horizontal="right"/>
    </xf>
    <xf numFmtId="171" fontId="46" fillId="0" borderId="21" xfId="16" applyNumberFormat="1" applyFont="1" applyBorder="1" applyAlignment="1">
      <alignment vertical="center"/>
    </xf>
    <xf numFmtId="171" fontId="46" fillId="0" borderId="22" xfId="16" applyNumberFormat="1" applyFont="1" applyBorder="1" applyAlignment="1">
      <alignment vertical="center"/>
    </xf>
    <xf numFmtId="172" fontId="46" fillId="0" borderId="22" xfId="16" applyNumberFormat="1" applyFont="1" applyBorder="1" applyAlignment="1">
      <alignment horizontal="right" vertical="center"/>
    </xf>
    <xf numFmtId="171" fontId="47" fillId="0" borderId="22" xfId="16" applyNumberFormat="1" applyFont="1" applyBorder="1" applyAlignment="1">
      <alignment vertical="center"/>
    </xf>
    <xf numFmtId="3" fontId="46" fillId="45" borderId="22" xfId="16" applyNumberFormat="1" applyFont="1" applyFill="1" applyBorder="1" applyAlignment="1">
      <alignment vertical="center"/>
    </xf>
    <xf numFmtId="0" fontId="48" fillId="46" borderId="20" xfId="17" applyFont="1" applyFill="1" applyBorder="1" applyProtection="1">
      <protection locked="0"/>
    </xf>
    <xf numFmtId="1" fontId="48" fillId="46" borderId="21" xfId="18" applyNumberFormat="1" applyFont="1" applyFill="1" applyBorder="1" applyAlignment="1">
      <alignment vertical="center"/>
    </xf>
    <xf numFmtId="1" fontId="48" fillId="46" borderId="22" xfId="18" applyNumberFormat="1" applyFont="1" applyFill="1" applyBorder="1" applyAlignment="1">
      <alignment vertical="center"/>
    </xf>
    <xf numFmtId="0" fontId="49" fillId="46" borderId="20" xfId="19" applyFont="1" applyFill="1" applyBorder="1" applyProtection="1">
      <protection locked="0"/>
    </xf>
    <xf numFmtId="9" fontId="48" fillId="46" borderId="21" xfId="18" applyNumberFormat="1" applyFont="1" applyFill="1" applyBorder="1" applyAlignment="1">
      <alignment vertical="center"/>
    </xf>
    <xf numFmtId="9" fontId="48" fillId="46" borderId="22" xfId="18" applyNumberFormat="1" applyFont="1" applyFill="1" applyBorder="1" applyAlignment="1">
      <alignment vertical="center"/>
    </xf>
    <xf numFmtId="0" fontId="48" fillId="47" borderId="20" xfId="17" applyFont="1" applyFill="1" applyBorder="1" applyProtection="1">
      <protection locked="0"/>
    </xf>
    <xf numFmtId="1" fontId="50" fillId="37" borderId="21" xfId="18" applyNumberFormat="1" applyFont="1" applyFill="1" applyBorder="1" applyAlignment="1">
      <alignment horizontal="left" vertical="center" wrapText="1"/>
    </xf>
    <xf numFmtId="0" fontId="37" fillId="37" borderId="22" xfId="18" applyFont="1" applyFill="1" applyBorder="1"/>
    <xf numFmtId="0" fontId="37" fillId="37" borderId="22" xfId="18" applyFont="1" applyFill="1" applyBorder="1" applyAlignment="1">
      <alignment horizontal="right" vertical="center" indent="1"/>
    </xf>
    <xf numFmtId="10" fontId="37" fillId="37" borderId="22" xfId="18" applyNumberFormat="1" applyFont="1" applyFill="1" applyBorder="1" applyAlignment="1">
      <alignment horizontal="right" vertical="center" indent="1"/>
    </xf>
    <xf numFmtId="9" fontId="35" fillId="37" borderId="22" xfId="18" applyNumberFormat="1" applyFont="1" applyFill="1" applyBorder="1" applyAlignment="1">
      <alignment horizontal="right" vertical="center" indent="1"/>
    </xf>
    <xf numFmtId="3" fontId="48" fillId="37" borderId="22" xfId="18" applyNumberFormat="1" applyFont="1" applyFill="1" applyBorder="1" applyAlignment="1">
      <alignment vertical="center"/>
    </xf>
    <xf numFmtId="3" fontId="48" fillId="37" borderId="22" xfId="16" applyNumberFormat="1" applyFont="1" applyFill="1" applyBorder="1" applyProtection="1">
      <protection locked="0"/>
    </xf>
    <xf numFmtId="3" fontId="48" fillId="47" borderId="22" xfId="16" applyNumberFormat="1" applyFont="1" applyFill="1" applyBorder="1" applyProtection="1">
      <protection locked="0"/>
    </xf>
    <xf numFmtId="0" fontId="49" fillId="37" borderId="20" xfId="19" applyFont="1" applyFill="1" applyBorder="1" applyAlignment="1" applyProtection="1">
      <alignment horizontal="left"/>
      <protection locked="0"/>
    </xf>
    <xf numFmtId="9" fontId="48" fillId="37" borderId="22" xfId="18" applyNumberFormat="1" applyFont="1" applyFill="1" applyBorder="1" applyAlignment="1">
      <alignment vertical="center"/>
    </xf>
    <xf numFmtId="0" fontId="49" fillId="43" borderId="20" xfId="19" applyFont="1" applyFill="1" applyBorder="1" applyAlignment="1" applyProtection="1">
      <alignment horizontal="left"/>
      <protection locked="0"/>
    </xf>
    <xf numFmtId="1" fontId="50" fillId="0" borderId="21" xfId="18" applyNumberFormat="1" applyFont="1" applyBorder="1" applyAlignment="1">
      <alignment horizontal="left" vertical="center" wrapText="1"/>
    </xf>
    <xf numFmtId="0" fontId="37" fillId="0" borderId="22" xfId="18" applyFont="1" applyBorder="1"/>
    <xf numFmtId="0" fontId="37" fillId="0" borderId="22" xfId="18" applyFont="1" applyBorder="1" applyAlignment="1">
      <alignment horizontal="right" vertical="center" indent="1"/>
    </xf>
    <xf numFmtId="10" fontId="37" fillId="0" borderId="22" xfId="18" applyNumberFormat="1" applyFont="1" applyBorder="1" applyAlignment="1">
      <alignment horizontal="right" vertical="center" indent="1"/>
    </xf>
    <xf numFmtId="9" fontId="35" fillId="0" borderId="22" xfId="18" applyNumberFormat="1" applyFont="1" applyBorder="1" applyAlignment="1">
      <alignment horizontal="right" vertical="center" indent="1"/>
    </xf>
    <xf numFmtId="9" fontId="48" fillId="0" borderId="22" xfId="18" applyNumberFormat="1" applyFont="1" applyBorder="1" applyAlignment="1">
      <alignment vertical="center"/>
    </xf>
    <xf numFmtId="1" fontId="51" fillId="0" borderId="21" xfId="18" applyNumberFormat="1" applyFont="1" applyBorder="1" applyAlignment="1">
      <alignment horizontal="left" vertical="center" wrapText="1"/>
    </xf>
    <xf numFmtId="0" fontId="52" fillId="0" borderId="22" xfId="18" applyFont="1" applyBorder="1"/>
    <xf numFmtId="0" fontId="36" fillId="0" borderId="22" xfId="18" applyFont="1" applyBorder="1" applyAlignment="1">
      <alignment horizontal="right" vertical="center" indent="1"/>
    </xf>
    <xf numFmtId="10" fontId="36" fillId="0" borderId="22" xfId="18" applyNumberFormat="1" applyFont="1" applyBorder="1" applyAlignment="1">
      <alignment horizontal="right" vertical="center" indent="1"/>
    </xf>
    <xf numFmtId="0" fontId="53" fillId="28" borderId="20" xfId="17" applyFont="1" applyFill="1" applyBorder="1" applyAlignment="1" applyProtection="1">
      <alignment horizontal="left"/>
      <protection locked="0"/>
    </xf>
    <xf numFmtId="1" fontId="51" fillId="28" borderId="21" xfId="18" applyNumberFormat="1" applyFont="1" applyFill="1" applyBorder="1" applyAlignment="1">
      <alignment horizontal="left" vertical="center" wrapText="1"/>
    </xf>
    <xf numFmtId="0" fontId="52" fillId="28" borderId="22" xfId="18" applyFont="1" applyFill="1" applyBorder="1"/>
    <xf numFmtId="0" fontId="36" fillId="28" borderId="22" xfId="18" applyFont="1" applyFill="1" applyBorder="1" applyAlignment="1">
      <alignment horizontal="right" vertical="center" indent="1"/>
    </xf>
    <xf numFmtId="0" fontId="46" fillId="43" borderId="20" xfId="17" applyFont="1" applyFill="1" applyBorder="1" applyAlignment="1">
      <alignment horizontal="left"/>
    </xf>
    <xf numFmtId="1" fontId="46" fillId="0" borderId="21" xfId="18" applyNumberFormat="1" applyFont="1" applyBorder="1" applyAlignment="1">
      <alignment vertical="center"/>
    </xf>
    <xf numFmtId="1" fontId="46" fillId="0" borderId="22" xfId="18" applyNumberFormat="1" applyFont="1" applyBorder="1" applyAlignment="1">
      <alignment vertical="center"/>
    </xf>
    <xf numFmtId="3" fontId="46" fillId="0" borderId="22" xfId="18" applyNumberFormat="1" applyFont="1" applyBorder="1" applyAlignment="1">
      <alignment vertical="center"/>
    </xf>
    <xf numFmtId="3" fontId="46" fillId="45" borderId="22" xfId="18" applyNumberFormat="1" applyFont="1" applyFill="1" applyBorder="1" applyAlignment="1">
      <alignment vertical="center"/>
    </xf>
    <xf numFmtId="0" fontId="46" fillId="43" borderId="20" xfId="17" applyFont="1" applyFill="1" applyBorder="1" applyAlignment="1" applyProtection="1">
      <alignment horizontal="left"/>
      <protection locked="0"/>
    </xf>
    <xf numFmtId="3" fontId="46" fillId="0" borderId="21" xfId="18" applyNumberFormat="1" applyFont="1" applyBorder="1" applyAlignment="1">
      <alignment vertical="center"/>
    </xf>
    <xf numFmtId="3" fontId="46" fillId="0" borderId="22" xfId="16" applyNumberFormat="1" applyFont="1" applyBorder="1"/>
    <xf numFmtId="9" fontId="48" fillId="0" borderId="21" xfId="18" applyNumberFormat="1" applyFont="1" applyBorder="1" applyAlignment="1">
      <alignment vertical="center"/>
    </xf>
    <xf numFmtId="9" fontId="48" fillId="45" borderId="22" xfId="18" applyNumberFormat="1" applyFont="1" applyFill="1" applyBorder="1" applyAlignment="1">
      <alignment vertical="center"/>
    </xf>
    <xf numFmtId="0" fontId="54" fillId="0" borderId="20" xfId="18" applyFont="1" applyBorder="1" applyAlignment="1">
      <alignment vertical="center" wrapText="1"/>
    </xf>
    <xf numFmtId="1" fontId="48" fillId="0" borderId="21" xfId="18" applyNumberFormat="1" applyFont="1" applyBorder="1" applyAlignment="1">
      <alignment vertical="center"/>
    </xf>
    <xf numFmtId="1" fontId="48" fillId="0" borderId="22" xfId="18" applyNumberFormat="1" applyFont="1" applyBorder="1" applyAlignment="1">
      <alignment vertical="center"/>
    </xf>
    <xf numFmtId="1" fontId="48" fillId="45" borderId="22" xfId="18" applyNumberFormat="1" applyFont="1" applyFill="1" applyBorder="1" applyAlignment="1">
      <alignment vertical="center"/>
    </xf>
    <xf numFmtId="0" fontId="46" fillId="0" borderId="20" xfId="17" applyFont="1" applyBorder="1" applyAlignment="1" applyProtection="1">
      <alignment horizontal="left"/>
      <protection locked="0"/>
    </xf>
    <xf numFmtId="0" fontId="54" fillId="43" borderId="20" xfId="18" applyFont="1" applyFill="1" applyBorder="1" applyAlignment="1">
      <alignment horizontal="left" vertical="center" wrapText="1" indent="1"/>
    </xf>
    <xf numFmtId="1" fontId="54" fillId="0" borderId="21" xfId="18" applyNumberFormat="1" applyFont="1" applyBorder="1" applyAlignment="1">
      <alignment vertical="center" wrapText="1"/>
    </xf>
    <xf numFmtId="1" fontId="54" fillId="0" borderId="22" xfId="18" applyNumberFormat="1" applyFont="1" applyBorder="1" applyAlignment="1">
      <alignment vertical="center" wrapText="1"/>
    </xf>
    <xf numFmtId="1" fontId="54" fillId="43" borderId="22" xfId="18" applyNumberFormat="1" applyFont="1" applyFill="1" applyBorder="1" applyAlignment="1">
      <alignment vertical="center" wrapText="1"/>
    </xf>
    <xf numFmtId="3" fontId="54" fillId="0" borderId="22" xfId="18" applyNumberFormat="1" applyFont="1" applyBorder="1" applyAlignment="1">
      <alignment vertical="center" wrapText="1"/>
    </xf>
    <xf numFmtId="3" fontId="54" fillId="43" borderId="22" xfId="18" applyNumberFormat="1" applyFont="1" applyFill="1" applyBorder="1" applyAlignment="1">
      <alignment vertical="center" wrapText="1"/>
    </xf>
    <xf numFmtId="0" fontId="53" fillId="0" borderId="24" xfId="17" applyFont="1" applyBorder="1" applyAlignment="1" applyProtection="1">
      <alignment horizontal="left"/>
      <protection locked="0"/>
    </xf>
    <xf numFmtId="3" fontId="53" fillId="0" borderId="25" xfId="17" applyNumberFormat="1" applyFont="1" applyBorder="1" applyAlignment="1" applyProtection="1">
      <alignment horizontal="right" vertical="center"/>
      <protection locked="0"/>
    </xf>
    <xf numFmtId="3" fontId="53" fillId="0" borderId="26" xfId="17" applyNumberFormat="1" applyFont="1" applyBorder="1" applyAlignment="1" applyProtection="1">
      <alignment horizontal="right" vertical="center"/>
      <protection locked="0"/>
    </xf>
    <xf numFmtId="0" fontId="52" fillId="0" borderId="20" xfId="18" applyFont="1" applyBorder="1"/>
    <xf numFmtId="1" fontId="52" fillId="0" borderId="21" xfId="18" applyNumberFormat="1" applyFont="1" applyBorder="1"/>
    <xf numFmtId="1" fontId="52" fillId="0" borderId="22" xfId="18" applyNumberFormat="1" applyFont="1" applyBorder="1"/>
    <xf numFmtId="1" fontId="52" fillId="0" borderId="22" xfId="18" applyNumberFormat="1" applyFont="1" applyBorder="1" applyAlignment="1">
      <alignment horizontal="right"/>
    </xf>
    <xf numFmtId="1" fontId="52" fillId="45" borderId="22" xfId="18" applyNumberFormat="1" applyFont="1" applyFill="1" applyBorder="1"/>
    <xf numFmtId="1" fontId="36" fillId="45" borderId="22" xfId="18" applyNumberFormat="1" applyFont="1" applyFill="1" applyBorder="1"/>
    <xf numFmtId="0" fontId="53" fillId="28" borderId="20" xfId="20" applyFont="1" applyFill="1" applyBorder="1" applyAlignment="1">
      <alignment horizontal="left"/>
    </xf>
    <xf numFmtId="1" fontId="36" fillId="28" borderId="21" xfId="18" applyNumberFormat="1" applyFont="1" applyFill="1" applyBorder="1"/>
    <xf numFmtId="1" fontId="36" fillId="28" borderId="22" xfId="18" applyNumberFormat="1" applyFont="1" applyFill="1" applyBorder="1"/>
    <xf numFmtId="1" fontId="36" fillId="28" borderId="22" xfId="18" applyNumberFormat="1" applyFont="1" applyFill="1" applyBorder="1" applyAlignment="1">
      <alignment horizontal="right"/>
    </xf>
    <xf numFmtId="1" fontId="36" fillId="48" borderId="22" xfId="18" applyNumberFormat="1" applyFont="1" applyFill="1" applyBorder="1"/>
    <xf numFmtId="0" fontId="56" fillId="0" borderId="20" xfId="20" applyFont="1" applyBorder="1" applyAlignment="1">
      <alignment horizontal="center"/>
    </xf>
    <xf numFmtId="1" fontId="36" fillId="0" borderId="22" xfId="18" applyNumberFormat="1" applyFont="1" applyBorder="1"/>
    <xf numFmtId="0" fontId="48" fillId="43" borderId="20" xfId="17" applyFont="1" applyFill="1" applyBorder="1" applyProtection="1">
      <protection locked="0"/>
    </xf>
    <xf numFmtId="3" fontId="48" fillId="0" borderId="21" xfId="18" applyNumberFormat="1" applyFont="1" applyBorder="1" applyAlignment="1">
      <alignment vertical="center"/>
    </xf>
    <xf numFmtId="3" fontId="48" fillId="0" borderId="22" xfId="18" applyNumberFormat="1" applyFont="1" applyBorder="1" applyAlignment="1">
      <alignment vertical="center"/>
    </xf>
    <xf numFmtId="3" fontId="48" fillId="45" borderId="22" xfId="18" applyNumberFormat="1" applyFont="1" applyFill="1" applyBorder="1" applyAlignment="1">
      <alignment vertical="center"/>
    </xf>
    <xf numFmtId="0" fontId="48" fillId="0" borderId="20" xfId="17" applyFont="1" applyBorder="1" applyProtection="1">
      <protection locked="0"/>
    </xf>
    <xf numFmtId="0" fontId="52" fillId="0" borderId="20" xfId="18" applyFont="1" applyBorder="1" applyAlignment="1">
      <alignment horizontal="center"/>
    </xf>
    <xf numFmtId="3" fontId="36" fillId="45" borderId="21" xfId="16" applyNumberFormat="1" applyFont="1" applyFill="1" applyBorder="1" applyAlignment="1">
      <alignment horizontal="right" vertical="center" indent="1"/>
    </xf>
    <xf numFmtId="3" fontId="36" fillId="45" borderId="22" xfId="16" applyNumberFormat="1" applyFont="1" applyFill="1" applyBorder="1" applyAlignment="1">
      <alignment horizontal="right" vertical="center" indent="1"/>
    </xf>
    <xf numFmtId="0" fontId="53" fillId="44" borderId="20" xfId="17" applyFont="1" applyFill="1" applyBorder="1" applyAlignment="1" applyProtection="1">
      <alignment horizontal="left"/>
      <protection locked="0"/>
    </xf>
    <xf numFmtId="1" fontId="53" fillId="44" borderId="21" xfId="17" applyNumberFormat="1" applyFont="1" applyFill="1" applyBorder="1" applyAlignment="1" applyProtection="1">
      <alignment vertical="center"/>
      <protection locked="0"/>
    </xf>
    <xf numFmtId="3" fontId="53" fillId="44" borderId="21" xfId="17" applyNumberFormat="1" applyFont="1" applyFill="1" applyBorder="1" applyAlignment="1" applyProtection="1">
      <alignment vertical="center"/>
      <protection locked="0"/>
    </xf>
    <xf numFmtId="3" fontId="48" fillId="0" borderId="21" xfId="16" applyNumberFormat="1" applyFont="1" applyBorder="1" applyAlignment="1" applyProtection="1">
      <alignment vertical="center"/>
      <protection locked="0"/>
    </xf>
    <xf numFmtId="3" fontId="48" fillId="0" borderId="22" xfId="16" applyNumberFormat="1" applyFont="1" applyBorder="1" applyAlignment="1" applyProtection="1">
      <alignment vertical="center"/>
      <protection locked="0"/>
    </xf>
    <xf numFmtId="3" fontId="48" fillId="45" borderId="22" xfId="16" applyNumberFormat="1" applyFont="1" applyFill="1" applyBorder="1" applyAlignment="1" applyProtection="1">
      <alignment vertical="center"/>
      <protection locked="0"/>
    </xf>
    <xf numFmtId="0" fontId="48" fillId="43" borderId="27" xfId="17" applyFont="1" applyFill="1" applyBorder="1" applyProtection="1">
      <protection locked="0"/>
    </xf>
    <xf numFmtId="3" fontId="48" fillId="0" borderId="28" xfId="16" applyNumberFormat="1" applyFont="1" applyBorder="1" applyAlignment="1" applyProtection="1">
      <alignment vertical="center"/>
      <protection locked="0"/>
    </xf>
    <xf numFmtId="3" fontId="48" fillId="0" borderId="23" xfId="16" applyNumberFormat="1" applyFont="1" applyBorder="1" applyAlignment="1" applyProtection="1">
      <alignment vertical="center"/>
      <protection locked="0"/>
    </xf>
    <xf numFmtId="3" fontId="48" fillId="45" borderId="23" xfId="16" applyNumberFormat="1" applyFont="1" applyFill="1" applyBorder="1" applyAlignment="1" applyProtection="1">
      <alignment vertical="center"/>
      <protection locked="0"/>
    </xf>
    <xf numFmtId="0" fontId="39" fillId="43" borderId="29" xfId="17" applyFill="1" applyBorder="1" applyProtection="1">
      <protection locked="0"/>
    </xf>
    <xf numFmtId="0" fontId="39" fillId="0" borderId="0" xfId="16" applyFont="1"/>
    <xf numFmtId="0" fontId="48" fillId="0" borderId="0" xfId="16" applyFont="1"/>
    <xf numFmtId="3" fontId="48" fillId="0" borderId="0" xfId="16" applyNumberFormat="1" applyFont="1"/>
    <xf numFmtId="49" fontId="58" fillId="0" borderId="0" xfId="16" applyNumberFormat="1" applyFont="1"/>
    <xf numFmtId="0" fontId="58" fillId="0" borderId="30" xfId="17" applyFont="1" applyBorder="1" applyProtection="1">
      <protection locked="0"/>
    </xf>
    <xf numFmtId="3" fontId="2" fillId="0" borderId="0" xfId="16" applyNumberFormat="1"/>
    <xf numFmtId="0" fontId="44" fillId="0" borderId="0" xfId="16" applyFont="1"/>
    <xf numFmtId="0" fontId="50" fillId="0" borderId="0" xfId="18" applyFont="1" applyAlignment="1">
      <alignment horizontal="left" vertical="center" wrapText="1" indent="1"/>
    </xf>
    <xf numFmtId="1" fontId="59" fillId="0" borderId="0" xfId="16" applyNumberFormat="1" applyFont="1"/>
    <xf numFmtId="0" fontId="59" fillId="0" borderId="0" xfId="16" applyFont="1"/>
    <xf numFmtId="0" fontId="60" fillId="0" borderId="0" xfId="16" applyFont="1"/>
    <xf numFmtId="0" fontId="40" fillId="44" borderId="31" xfId="17" applyFont="1" applyFill="1" applyBorder="1" applyAlignment="1">
      <alignment horizontal="left"/>
    </xf>
    <xf numFmtId="0" fontId="40" fillId="44" borderId="19" xfId="17" applyFont="1" applyFill="1" applyBorder="1" applyAlignment="1" applyProtection="1">
      <alignment horizontal="center" wrapText="1"/>
      <protection locked="0"/>
    </xf>
    <xf numFmtId="0" fontId="43" fillId="28" borderId="32" xfId="18" applyFont="1" applyFill="1" applyBorder="1" applyAlignment="1">
      <alignment vertical="center"/>
    </xf>
    <xf numFmtId="0" fontId="36" fillId="28" borderId="21" xfId="18" applyFont="1" applyFill="1" applyBorder="1" applyAlignment="1">
      <alignment horizontal="center" vertical="center" wrapText="1"/>
    </xf>
    <xf numFmtId="0" fontId="36" fillId="28" borderId="22" xfId="18" applyFont="1" applyFill="1" applyBorder="1" applyAlignment="1">
      <alignment horizontal="center" vertical="center" wrapText="1"/>
    </xf>
    <xf numFmtId="0" fontId="43" fillId="28" borderId="22" xfId="18" applyFont="1" applyFill="1" applyBorder="1" applyAlignment="1">
      <alignment vertical="center"/>
    </xf>
    <xf numFmtId="0" fontId="2" fillId="28" borderId="22" xfId="16" applyFill="1" applyBorder="1"/>
    <xf numFmtId="0" fontId="43" fillId="28" borderId="22" xfId="18" applyFont="1" applyFill="1" applyBorder="1" applyAlignment="1">
      <alignment horizontal="center" vertical="center"/>
    </xf>
    <xf numFmtId="0" fontId="43" fillId="0" borderId="32" xfId="18" applyFont="1" applyBorder="1" applyAlignment="1">
      <alignment vertical="center"/>
    </xf>
    <xf numFmtId="0" fontId="36" fillId="0" borderId="21" xfId="18" applyFont="1" applyBorder="1" applyAlignment="1">
      <alignment horizontal="center" vertical="center" wrapText="1"/>
    </xf>
    <xf numFmtId="0" fontId="36" fillId="0" borderId="22" xfId="18" applyFont="1" applyBorder="1" applyAlignment="1">
      <alignment horizontal="center" vertical="center" wrapText="1"/>
    </xf>
    <xf numFmtId="0" fontId="43" fillId="0" borderId="22" xfId="18" applyFont="1" applyBorder="1" applyAlignment="1">
      <alignment vertical="center"/>
    </xf>
    <xf numFmtId="0" fontId="35" fillId="0" borderId="22" xfId="18" applyFont="1" applyBorder="1" applyAlignment="1">
      <alignment vertical="center"/>
    </xf>
    <xf numFmtId="0" fontId="46" fillId="43" borderId="32" xfId="19" applyFont="1" applyFill="1" applyBorder="1" applyAlignment="1" applyProtection="1">
      <alignment horizontal="left"/>
      <protection locked="0"/>
    </xf>
    <xf numFmtId="3" fontId="46" fillId="0" borderId="22" xfId="16" applyNumberFormat="1" applyFont="1" applyBorder="1" applyAlignment="1">
      <alignment horizontal="right" vertical="center" indent="1"/>
    </xf>
    <xf numFmtId="3" fontId="47" fillId="0" borderId="22" xfId="16" applyNumberFormat="1" applyFont="1" applyBorder="1"/>
    <xf numFmtId="171" fontId="46" fillId="0" borderId="22" xfId="16" applyNumberFormat="1" applyFont="1" applyBorder="1" applyAlignment="1">
      <alignment horizontal="right" vertical="center" indent="1"/>
    </xf>
    <xf numFmtId="172" fontId="46" fillId="0" borderId="22" xfId="16" applyNumberFormat="1" applyFont="1" applyBorder="1" applyAlignment="1" applyProtection="1">
      <alignment vertical="center"/>
      <protection locked="0"/>
    </xf>
    <xf numFmtId="172" fontId="47" fillId="0" borderId="22" xfId="16" applyNumberFormat="1" applyFont="1" applyBorder="1" applyAlignment="1" applyProtection="1">
      <alignment vertical="center"/>
      <protection locked="0"/>
    </xf>
    <xf numFmtId="3" fontId="46" fillId="0" borderId="21" xfId="16" applyNumberFormat="1" applyFont="1" applyBorder="1" applyAlignment="1">
      <alignment horizontal="right" vertical="center" indent="1"/>
    </xf>
    <xf numFmtId="3" fontId="46" fillId="45" borderId="22" xfId="16" applyNumberFormat="1" applyFont="1" applyFill="1" applyBorder="1" applyAlignment="1">
      <alignment horizontal="right" vertical="center" indent="1"/>
    </xf>
    <xf numFmtId="3" fontId="49" fillId="37" borderId="22" xfId="16" applyNumberFormat="1" applyFont="1" applyFill="1" applyBorder="1" applyAlignment="1">
      <alignment vertical="center"/>
    </xf>
    <xf numFmtId="172" fontId="48" fillId="47" borderId="22" xfId="16" applyNumberFormat="1" applyFont="1" applyFill="1" applyBorder="1" applyProtection="1">
      <protection locked="0"/>
    </xf>
    <xf numFmtId="0" fontId="49" fillId="43" borderId="32" xfId="19" applyFont="1" applyFill="1" applyBorder="1" applyAlignment="1" applyProtection="1">
      <alignment horizontal="left"/>
      <protection locked="0"/>
    </xf>
    <xf numFmtId="1" fontId="54" fillId="0" borderId="21" xfId="18" applyNumberFormat="1" applyFont="1" applyBorder="1" applyAlignment="1">
      <alignment horizontal="left" vertical="center" wrapText="1"/>
    </xf>
    <xf numFmtId="0" fontId="61" fillId="0" borderId="22" xfId="18" applyFont="1" applyBorder="1"/>
    <xf numFmtId="0" fontId="46" fillId="0" borderId="22" xfId="18" applyFont="1" applyBorder="1" applyAlignment="1">
      <alignment horizontal="right" vertical="center" indent="1"/>
    </xf>
    <xf numFmtId="0" fontId="46" fillId="0" borderId="22" xfId="18" applyFont="1" applyBorder="1" applyAlignment="1">
      <alignment vertical="center"/>
    </xf>
    <xf numFmtId="9" fontId="48" fillId="0" borderId="22" xfId="18" applyNumberFormat="1" applyFont="1" applyBorder="1" applyAlignment="1">
      <alignment horizontal="right" vertical="center" indent="1"/>
    </xf>
    <xf numFmtId="9" fontId="59" fillId="0" borderId="22" xfId="18" applyNumberFormat="1" applyFont="1" applyBorder="1" applyAlignment="1">
      <alignment vertical="center"/>
    </xf>
    <xf numFmtId="173" fontId="48" fillId="0" borderId="22" xfId="18" applyNumberFormat="1" applyFont="1" applyBorder="1" applyAlignment="1">
      <alignment vertical="center"/>
    </xf>
    <xf numFmtId="0" fontId="46" fillId="43" borderId="32" xfId="17" applyFont="1" applyFill="1" applyBorder="1" applyAlignment="1">
      <alignment horizontal="left"/>
    </xf>
    <xf numFmtId="3" fontId="46" fillId="0" borderId="21" xfId="18" applyNumberFormat="1" applyFont="1" applyBorder="1" applyAlignment="1">
      <alignment vertical="center" wrapText="1"/>
    </xf>
    <xf numFmtId="3" fontId="46" fillId="0" borderId="22" xfId="18" applyNumberFormat="1" applyFont="1" applyBorder="1" applyAlignment="1">
      <alignment vertical="center" wrapText="1"/>
    </xf>
    <xf numFmtId="1" fontId="46" fillId="0" borderId="22" xfId="18" applyNumberFormat="1" applyFont="1" applyBorder="1" applyAlignment="1">
      <alignment horizontal="right" vertical="center" indent="1"/>
    </xf>
    <xf numFmtId="0" fontId="46" fillId="43" borderId="32" xfId="17" applyFont="1" applyFill="1" applyBorder="1" applyAlignment="1" applyProtection="1">
      <alignment horizontal="left"/>
      <protection locked="0"/>
    </xf>
    <xf numFmtId="3" fontId="46" fillId="0" borderId="22" xfId="18" applyNumberFormat="1" applyFont="1" applyBorder="1" applyAlignment="1">
      <alignment horizontal="right" vertical="center" wrapText="1" indent="1"/>
    </xf>
    <xf numFmtId="0" fontId="54" fillId="43" borderId="32" xfId="18" applyFont="1" applyFill="1" applyBorder="1" applyAlignment="1">
      <alignment vertical="center" wrapText="1"/>
    </xf>
    <xf numFmtId="3" fontId="48" fillId="0" borderId="21" xfId="18" applyNumberFormat="1" applyFont="1" applyBorder="1" applyAlignment="1">
      <alignment vertical="center" wrapText="1"/>
    </xf>
    <xf numFmtId="0" fontId="54" fillId="0" borderId="22" xfId="18" applyFont="1" applyBorder="1" applyAlignment="1">
      <alignment vertical="center" wrapText="1"/>
    </xf>
    <xf numFmtId="0" fontId="48" fillId="0" borderId="22" xfId="18" applyFont="1" applyBorder="1" applyAlignment="1">
      <alignment vertical="center" wrapText="1"/>
    </xf>
    <xf numFmtId="1" fontId="48" fillId="0" borderId="22" xfId="18" applyNumberFormat="1" applyFont="1" applyBorder="1" applyAlignment="1">
      <alignment vertical="center" wrapText="1"/>
    </xf>
    <xf numFmtId="0" fontId="48" fillId="0" borderId="22" xfId="18" applyFont="1" applyBorder="1" applyAlignment="1">
      <alignment vertical="center"/>
    </xf>
    <xf numFmtId="0" fontId="54" fillId="0" borderId="32" xfId="18" applyFont="1" applyBorder="1" applyAlignment="1">
      <alignment horizontal="left" vertical="center" wrapText="1" indent="1"/>
    </xf>
    <xf numFmtId="1" fontId="48" fillId="0" borderId="22" xfId="18" applyNumberFormat="1" applyFont="1" applyBorder="1" applyAlignment="1">
      <alignment horizontal="right" vertical="center" indent="1"/>
    </xf>
    <xf numFmtId="0" fontId="52" fillId="0" borderId="32" xfId="18" applyFont="1" applyBorder="1"/>
    <xf numFmtId="1" fontId="61" fillId="0" borderId="21" xfId="18" applyNumberFormat="1" applyFont="1" applyBorder="1"/>
    <xf numFmtId="1" fontId="61" fillId="0" borderId="22" xfId="18" applyNumberFormat="1" applyFont="1" applyBorder="1"/>
    <xf numFmtId="1" fontId="61" fillId="0" borderId="22" xfId="18" applyNumberFormat="1" applyFont="1" applyBorder="1" applyAlignment="1">
      <alignment horizontal="right"/>
    </xf>
    <xf numFmtId="1" fontId="61" fillId="45" borderId="22" xfId="18" applyNumberFormat="1" applyFont="1" applyFill="1" applyBorder="1"/>
    <xf numFmtId="1" fontId="46" fillId="45" borderId="22" xfId="18" applyNumberFormat="1" applyFont="1" applyFill="1" applyBorder="1"/>
    <xf numFmtId="0" fontId="56" fillId="0" borderId="32" xfId="20" applyFont="1" applyBorder="1" applyAlignment="1">
      <alignment horizontal="center"/>
    </xf>
    <xf numFmtId="1" fontId="46" fillId="0" borderId="22" xfId="18" applyNumberFormat="1" applyFont="1" applyBorder="1"/>
    <xf numFmtId="1" fontId="46" fillId="0" borderId="22" xfId="18" applyNumberFormat="1" applyFont="1" applyBorder="1" applyAlignment="1">
      <alignment horizontal="right"/>
    </xf>
    <xf numFmtId="0" fontId="48" fillId="43" borderId="32" xfId="17" applyFont="1" applyFill="1" applyBorder="1" applyProtection="1">
      <protection locked="0"/>
    </xf>
    <xf numFmtId="3" fontId="48" fillId="0" borderId="22" xfId="18" applyNumberFormat="1" applyFont="1" applyBorder="1" applyAlignment="1">
      <alignment horizontal="right" vertical="center" wrapText="1" indent="1"/>
    </xf>
    <xf numFmtId="3" fontId="48" fillId="0" borderId="22" xfId="18" applyNumberFormat="1" applyFont="1" applyBorder="1" applyAlignment="1">
      <alignment vertical="center" wrapText="1"/>
    </xf>
    <xf numFmtId="0" fontId="48" fillId="0" borderId="32" xfId="17" applyFont="1" applyBorder="1" applyProtection="1">
      <protection locked="0"/>
    </xf>
    <xf numFmtId="0" fontId="52" fillId="0" borderId="32" xfId="18" applyFont="1" applyBorder="1" applyAlignment="1">
      <alignment horizontal="center"/>
    </xf>
    <xf numFmtId="3" fontId="46" fillId="45" borderId="21" xfId="16" applyNumberFormat="1" applyFont="1" applyFill="1" applyBorder="1" applyAlignment="1">
      <alignment horizontal="right" vertical="center" indent="1"/>
    </xf>
    <xf numFmtId="3" fontId="53" fillId="44" borderId="22" xfId="17" applyNumberFormat="1" applyFont="1" applyFill="1" applyBorder="1" applyAlignment="1" applyProtection="1">
      <alignment vertical="center"/>
      <protection locked="0"/>
    </xf>
    <xf numFmtId="3" fontId="48" fillId="0" borderId="21" xfId="16" applyNumberFormat="1" applyFont="1" applyBorder="1" applyAlignment="1">
      <alignment vertical="center"/>
    </xf>
    <xf numFmtId="3" fontId="48" fillId="0" borderId="22" xfId="16" applyNumberFormat="1" applyFont="1" applyBorder="1" applyAlignment="1">
      <alignment vertical="center"/>
    </xf>
    <xf numFmtId="3" fontId="48" fillId="0" borderId="22" xfId="16" applyNumberFormat="1" applyFont="1" applyBorder="1" applyAlignment="1" applyProtection="1">
      <alignment vertical="center" wrapText="1"/>
      <protection locked="0"/>
    </xf>
    <xf numFmtId="3" fontId="48" fillId="45" borderId="22" xfId="16" applyNumberFormat="1" applyFont="1" applyFill="1" applyBorder="1" applyAlignment="1" applyProtection="1">
      <alignment vertical="center" wrapText="1"/>
      <protection locked="0"/>
    </xf>
    <xf numFmtId="3" fontId="48" fillId="45" borderId="22" xfId="16" applyNumberFormat="1" applyFont="1" applyFill="1" applyBorder="1" applyAlignment="1">
      <alignment vertical="center"/>
    </xf>
    <xf numFmtId="0" fontId="48" fillId="43" borderId="33" xfId="17" applyFont="1" applyFill="1" applyBorder="1" applyProtection="1">
      <protection locked="0"/>
    </xf>
    <xf numFmtId="0" fontId="48" fillId="0" borderId="28" xfId="16" applyFont="1" applyBorder="1"/>
    <xf numFmtId="0" fontId="48" fillId="0" borderId="23" xfId="16" applyFont="1" applyBorder="1"/>
    <xf numFmtId="3" fontId="48" fillId="0" borderId="23" xfId="16" applyNumberFormat="1" applyFont="1" applyBorder="1" applyAlignment="1">
      <alignment vertical="center"/>
    </xf>
    <xf numFmtId="0" fontId="48" fillId="0" borderId="23" xfId="16" applyFont="1" applyBorder="1" applyAlignment="1">
      <alignment vertical="center"/>
    </xf>
    <xf numFmtId="0" fontId="48" fillId="43" borderId="23" xfId="16" applyFont="1" applyFill="1" applyBorder="1"/>
    <xf numFmtId="0" fontId="39" fillId="43" borderId="34" xfId="17" applyFill="1" applyBorder="1" applyProtection="1">
      <protection locked="0"/>
    </xf>
    <xf numFmtId="0" fontId="58" fillId="0" borderId="0" xfId="17" applyFont="1" applyProtection="1">
      <protection locked="0"/>
    </xf>
    <xf numFmtId="1" fontId="48" fillId="0" borderId="0" xfId="16" applyNumberFormat="1" applyFont="1"/>
    <xf numFmtId="0" fontId="40" fillId="44" borderId="19" xfId="17" applyFont="1" applyFill="1" applyBorder="1" applyAlignment="1" applyProtection="1">
      <alignment vertical="center"/>
      <protection locked="0"/>
    </xf>
    <xf numFmtId="0" fontId="40" fillId="44" borderId="19" xfId="17" applyFont="1" applyFill="1" applyBorder="1" applyProtection="1">
      <protection locked="0"/>
    </xf>
    <xf numFmtId="0" fontId="2" fillId="28" borderId="32" xfId="16" applyFill="1" applyBorder="1"/>
    <xf numFmtId="0" fontId="2" fillId="28" borderId="21" xfId="16" applyFill="1" applyBorder="1"/>
    <xf numFmtId="0" fontId="43" fillId="28" borderId="23" xfId="18" applyFont="1" applyFill="1" applyBorder="1" applyAlignment="1">
      <alignment horizontal="center" vertical="center"/>
    </xf>
    <xf numFmtId="14" fontId="43" fillId="28" borderId="22" xfId="18" applyNumberFormat="1" applyFont="1" applyFill="1" applyBorder="1" applyAlignment="1">
      <alignment horizontal="center" vertical="center"/>
    </xf>
    <xf numFmtId="1" fontId="46" fillId="0" borderId="22" xfId="16" applyNumberFormat="1" applyFont="1" applyBorder="1" applyAlignment="1">
      <alignment horizontal="right"/>
    </xf>
    <xf numFmtId="0" fontId="52" fillId="0" borderId="32" xfId="18" applyFont="1" applyBorder="1" applyAlignment="1">
      <alignment horizontal="left" vertical="center" wrapText="1" indent="1"/>
    </xf>
    <xf numFmtId="1" fontId="35" fillId="0" borderId="21" xfId="18" applyNumberFormat="1" applyFont="1" applyBorder="1" applyAlignment="1">
      <alignment horizontal="right" vertical="center" indent="1"/>
    </xf>
    <xf numFmtId="1" fontId="35" fillId="0" borderId="22" xfId="18" applyNumberFormat="1" applyFont="1" applyBorder="1" applyAlignment="1">
      <alignment vertical="center"/>
    </xf>
    <xf numFmtId="1" fontId="48" fillId="0" borderId="21" xfId="18" applyNumberFormat="1" applyFont="1" applyBorder="1" applyAlignment="1">
      <alignment horizontal="right" vertical="center"/>
    </xf>
    <xf numFmtId="1" fontId="59" fillId="0" borderId="22" xfId="18" applyNumberFormat="1" applyFont="1" applyBorder="1" applyAlignment="1">
      <alignment vertical="center"/>
    </xf>
    <xf numFmtId="0" fontId="46" fillId="0" borderId="32" xfId="17" applyFont="1" applyBorder="1" applyAlignment="1">
      <alignment horizontal="left"/>
    </xf>
    <xf numFmtId="1" fontId="46" fillId="0" borderId="21" xfId="18" applyNumberFormat="1" applyFont="1" applyBorder="1" applyAlignment="1">
      <alignment horizontal="right" vertical="center"/>
    </xf>
    <xf numFmtId="0" fontId="46" fillId="0" borderId="32" xfId="17" applyFont="1" applyBorder="1" applyAlignment="1" applyProtection="1">
      <alignment horizontal="left"/>
      <protection locked="0"/>
    </xf>
    <xf numFmtId="1" fontId="46" fillId="0" borderId="22" xfId="17" applyNumberFormat="1" applyFont="1" applyBorder="1" applyAlignment="1" applyProtection="1">
      <alignment horizontal="right" vertical="center"/>
      <protection locked="0"/>
    </xf>
    <xf numFmtId="0" fontId="49" fillId="0" borderId="32" xfId="19" applyFont="1" applyBorder="1" applyAlignment="1" applyProtection="1">
      <alignment horizontal="left"/>
      <protection locked="0"/>
    </xf>
    <xf numFmtId="0" fontId="54" fillId="0" borderId="32" xfId="18" applyFont="1" applyBorder="1" applyAlignment="1">
      <alignment vertical="center" wrapText="1"/>
    </xf>
    <xf numFmtId="1" fontId="48" fillId="0" borderId="22" xfId="18" applyNumberFormat="1" applyFont="1" applyBorder="1" applyAlignment="1">
      <alignment horizontal="right" vertical="center"/>
    </xf>
    <xf numFmtId="1" fontId="2" fillId="0" borderId="22" xfId="16" applyNumberFormat="1" applyBorder="1" applyAlignment="1">
      <alignment horizontal="right" vertical="center"/>
    </xf>
    <xf numFmtId="173" fontId="2" fillId="0" borderId="0" xfId="21" applyNumberFormat="1" applyFill="1"/>
    <xf numFmtId="1" fontId="52" fillId="0" borderId="21" xfId="18" applyNumberFormat="1" applyFont="1" applyBorder="1" applyAlignment="1">
      <alignment horizontal="right"/>
    </xf>
    <xf numFmtId="1" fontId="52" fillId="0" borderId="22" xfId="18" applyNumberFormat="1" applyFont="1" applyBorder="1" applyAlignment="1">
      <alignment vertical="center"/>
    </xf>
    <xf numFmtId="1" fontId="52" fillId="45" borderId="22" xfId="18" applyNumberFormat="1" applyFont="1" applyFill="1" applyBorder="1" applyAlignment="1">
      <alignment vertical="center"/>
    </xf>
    <xf numFmtId="1" fontId="36" fillId="45" borderId="22" xfId="18" applyNumberFormat="1" applyFont="1" applyFill="1" applyBorder="1" applyAlignment="1">
      <alignment vertical="center"/>
    </xf>
    <xf numFmtId="0" fontId="52" fillId="0" borderId="22" xfId="18" applyFont="1" applyBorder="1" applyAlignment="1">
      <alignment vertical="center"/>
    </xf>
    <xf numFmtId="175" fontId="0" fillId="0" borderId="0" xfId="22" applyNumberFormat="1" applyFont="1" applyFill="1" applyBorder="1"/>
    <xf numFmtId="3" fontId="48" fillId="0" borderId="22" xfId="16" applyNumberFormat="1" applyFont="1" applyBorder="1" applyAlignment="1">
      <alignment horizontal="right" vertical="center"/>
    </xf>
    <xf numFmtId="3" fontId="48" fillId="45" borderId="21" xfId="18" applyNumberFormat="1" applyFont="1" applyFill="1" applyBorder="1" applyAlignment="1">
      <alignment vertical="center"/>
    </xf>
    <xf numFmtId="1" fontId="36" fillId="45" borderId="21" xfId="16" applyNumberFormat="1" applyFont="1" applyFill="1" applyBorder="1" applyAlignment="1">
      <alignment horizontal="right" vertical="center" indent="1"/>
    </xf>
    <xf numFmtId="1" fontId="36" fillId="45" borderId="22" xfId="16" applyNumberFormat="1" applyFont="1" applyFill="1" applyBorder="1" applyAlignment="1">
      <alignment vertical="center"/>
    </xf>
    <xf numFmtId="0" fontId="48" fillId="0" borderId="33" xfId="17" applyFont="1" applyBorder="1" applyProtection="1">
      <protection locked="0"/>
    </xf>
    <xf numFmtId="3" fontId="48" fillId="0" borderId="28" xfId="18" applyNumberFormat="1" applyFont="1" applyBorder="1" applyAlignment="1">
      <alignment vertical="center"/>
    </xf>
    <xf numFmtId="3" fontId="48" fillId="0" borderId="23" xfId="18" applyNumberFormat="1" applyFont="1" applyBorder="1" applyAlignment="1">
      <alignment vertical="center"/>
    </xf>
    <xf numFmtId="49" fontId="39" fillId="0" borderId="0" xfId="16" applyNumberFormat="1" applyFont="1"/>
    <xf numFmtId="0" fontId="50" fillId="0" borderId="0" xfId="18" applyFont="1" applyAlignment="1">
      <alignment horizontal="right" vertical="center" wrapText="1" indent="1"/>
    </xf>
    <xf numFmtId="1" fontId="60" fillId="0" borderId="0" xfId="16" applyNumberFormat="1" applyFont="1"/>
    <xf numFmtId="1" fontId="2" fillId="0" borderId="0" xfId="16" applyNumberFormat="1"/>
    <xf numFmtId="0" fontId="40" fillId="49" borderId="31" xfId="17" applyFont="1" applyFill="1" applyBorder="1" applyAlignment="1">
      <alignment horizontal="left"/>
    </xf>
    <xf numFmtId="0" fontId="40" fillId="49" borderId="18" xfId="17" applyFont="1" applyFill="1" applyBorder="1" applyAlignment="1" applyProtection="1">
      <alignment horizontal="center"/>
      <protection locked="0"/>
    </xf>
    <xf numFmtId="0" fontId="40" fillId="49" borderId="19" xfId="17" applyFont="1" applyFill="1" applyBorder="1" applyAlignment="1" applyProtection="1">
      <alignment horizontal="center"/>
      <protection locked="0"/>
    </xf>
    <xf numFmtId="0" fontId="40" fillId="49" borderId="19" xfId="17" applyFont="1" applyFill="1" applyBorder="1" applyAlignment="1" applyProtection="1">
      <alignment horizontal="center" wrapText="1"/>
      <protection locked="0"/>
    </xf>
    <xf numFmtId="0" fontId="2" fillId="27" borderId="32" xfId="16" applyFill="1" applyBorder="1"/>
    <xf numFmtId="0" fontId="2" fillId="27" borderId="21" xfId="16" applyFill="1" applyBorder="1"/>
    <xf numFmtId="0" fontId="2" fillId="27" borderId="22" xfId="16" applyFill="1" applyBorder="1"/>
    <xf numFmtId="0" fontId="43" fillId="27" borderId="22" xfId="18" applyFont="1" applyFill="1" applyBorder="1" applyAlignment="1">
      <alignment horizontal="center" vertical="center"/>
    </xf>
    <xf numFmtId="3" fontId="46" fillId="0" borderId="21" xfId="17" applyNumberFormat="1" applyFont="1" applyBorder="1" applyAlignment="1" applyProtection="1">
      <alignment horizontal="right"/>
      <protection locked="0"/>
    </xf>
    <xf numFmtId="3" fontId="46" fillId="0" borderId="22" xfId="17" applyNumberFormat="1" applyFont="1" applyBorder="1" applyAlignment="1" applyProtection="1">
      <alignment horizontal="right"/>
      <protection locked="0"/>
    </xf>
    <xf numFmtId="172" fontId="46" fillId="0" borderId="21" xfId="17" applyNumberFormat="1" applyFont="1" applyBorder="1" applyAlignment="1" applyProtection="1">
      <alignment horizontal="right"/>
      <protection locked="0"/>
    </xf>
    <xf numFmtId="172" fontId="46" fillId="0" borderId="22" xfId="17" applyNumberFormat="1" applyFont="1" applyBorder="1" applyAlignment="1" applyProtection="1">
      <alignment horizontal="right"/>
      <protection locked="0"/>
    </xf>
    <xf numFmtId="172" fontId="46" fillId="43" borderId="22" xfId="17" applyNumberFormat="1" applyFont="1" applyFill="1" applyBorder="1" applyAlignment="1" applyProtection="1">
      <alignment horizontal="right"/>
      <protection locked="0"/>
    </xf>
    <xf numFmtId="172" fontId="47" fillId="43" borderId="22" xfId="17" applyNumberFormat="1" applyFont="1" applyFill="1" applyBorder="1" applyAlignment="1" applyProtection="1">
      <alignment horizontal="right"/>
      <protection locked="0"/>
    </xf>
    <xf numFmtId="3" fontId="46" fillId="0" borderId="21" xfId="17" applyNumberFormat="1" applyFont="1" applyBorder="1" applyAlignment="1">
      <alignment horizontal="right"/>
    </xf>
    <xf numFmtId="3" fontId="46" fillId="0" borderId="22" xfId="17" applyNumberFormat="1" applyFont="1" applyBorder="1" applyAlignment="1">
      <alignment horizontal="right"/>
    </xf>
    <xf numFmtId="3" fontId="46" fillId="0" borderId="22" xfId="17" applyNumberFormat="1" applyFont="1" applyBorder="1"/>
    <xf numFmtId="3" fontId="46" fillId="43" borderId="22" xfId="17" applyNumberFormat="1" applyFont="1" applyFill="1" applyBorder="1"/>
    <xf numFmtId="9" fontId="35" fillId="45" borderId="21" xfId="18" applyNumberFormat="1" applyFont="1" applyFill="1" applyBorder="1" applyAlignment="1">
      <alignment horizontal="right" vertical="center" indent="1"/>
    </xf>
    <xf numFmtId="9" fontId="35" fillId="45" borderId="22" xfId="18" applyNumberFormat="1" applyFont="1" applyFill="1" applyBorder="1" applyAlignment="1">
      <alignment horizontal="right" vertical="center" indent="1"/>
    </xf>
    <xf numFmtId="0" fontId="35" fillId="0" borderId="32" xfId="18" applyFont="1" applyBorder="1" applyAlignment="1">
      <alignment horizontal="left" vertical="center" indent="1"/>
    </xf>
    <xf numFmtId="1" fontId="51" fillId="43" borderId="21" xfId="18" applyNumberFormat="1" applyFont="1" applyFill="1" applyBorder="1" applyAlignment="1">
      <alignment horizontal="left" vertical="center" wrapText="1"/>
    </xf>
    <xf numFmtId="0" fontId="36" fillId="45" borderId="22" xfId="18" applyFont="1" applyFill="1" applyBorder="1" applyAlignment="1">
      <alignment horizontal="right" vertical="center" indent="1"/>
    </xf>
    <xf numFmtId="0" fontId="53" fillId="27" borderId="20" xfId="17" applyFont="1" applyFill="1" applyBorder="1" applyAlignment="1" applyProtection="1">
      <alignment horizontal="left"/>
      <protection locked="0"/>
    </xf>
    <xf numFmtId="1" fontId="51" fillId="27" borderId="21" xfId="18" applyNumberFormat="1" applyFont="1" applyFill="1" applyBorder="1" applyAlignment="1">
      <alignment horizontal="left" vertical="center" wrapText="1"/>
    </xf>
    <xf numFmtId="0" fontId="52" fillId="27" borderId="22" xfId="18" applyFont="1" applyFill="1" applyBorder="1"/>
    <xf numFmtId="0" fontId="36" fillId="27" borderId="22" xfId="18" applyFont="1" applyFill="1" applyBorder="1" applyAlignment="1">
      <alignment horizontal="right" vertical="center" indent="1"/>
    </xf>
    <xf numFmtId="176" fontId="46" fillId="0" borderId="21" xfId="17" applyNumberFormat="1" applyFont="1" applyBorder="1"/>
    <xf numFmtId="176" fontId="46" fillId="0" borderId="22" xfId="17" applyNumberFormat="1" applyFont="1" applyBorder="1"/>
    <xf numFmtId="9" fontId="48" fillId="0" borderId="21" xfId="18" applyNumberFormat="1" applyFont="1" applyBorder="1" applyAlignment="1">
      <alignment vertical="center" wrapText="1"/>
    </xf>
    <xf numFmtId="9" fontId="48" fillId="0" borderId="22" xfId="18" applyNumberFormat="1" applyFont="1" applyBorder="1" applyAlignment="1">
      <alignment vertical="center" wrapText="1"/>
    </xf>
    <xf numFmtId="3" fontId="35" fillId="0" borderId="21" xfId="18" applyNumberFormat="1" applyFont="1" applyBorder="1" applyAlignment="1">
      <alignment vertical="center" wrapText="1"/>
    </xf>
    <xf numFmtId="3" fontId="35" fillId="0" borderId="22" xfId="18" applyNumberFormat="1" applyFont="1" applyBorder="1" applyAlignment="1">
      <alignment vertical="center" wrapText="1"/>
    </xf>
    <xf numFmtId="14" fontId="44" fillId="0" borderId="0" xfId="16" applyNumberFormat="1" applyFont="1"/>
    <xf numFmtId="1" fontId="62" fillId="0" borderId="22" xfId="18" applyNumberFormat="1" applyFont="1" applyBorder="1"/>
    <xf numFmtId="0" fontId="53" fillId="27" borderId="20" xfId="20" applyFont="1" applyFill="1" applyBorder="1" applyAlignment="1">
      <alignment horizontal="left"/>
    </xf>
    <xf numFmtId="1" fontId="36" fillId="27" borderId="21" xfId="18" applyNumberFormat="1" applyFont="1" applyFill="1" applyBorder="1"/>
    <xf numFmtId="1" fontId="36" fillId="27" borderId="22" xfId="18" applyNumberFormat="1" applyFont="1" applyFill="1" applyBorder="1"/>
    <xf numFmtId="1" fontId="36" fillId="27" borderId="22" xfId="18" applyNumberFormat="1" applyFont="1" applyFill="1" applyBorder="1" applyAlignment="1">
      <alignment horizontal="right"/>
    </xf>
    <xf numFmtId="1" fontId="36" fillId="50" borderId="22" xfId="18" applyNumberFormat="1" applyFont="1" applyFill="1" applyBorder="1"/>
    <xf numFmtId="1" fontId="48" fillId="45" borderId="21" xfId="18" applyNumberFormat="1" applyFont="1" applyFill="1" applyBorder="1" applyAlignment="1">
      <alignment vertical="center"/>
    </xf>
    <xf numFmtId="3" fontId="35" fillId="45" borderId="21" xfId="18" applyNumberFormat="1" applyFont="1" applyFill="1" applyBorder="1" applyAlignment="1">
      <alignment horizontal="right" vertical="center" wrapText="1" indent="1"/>
    </xf>
    <xf numFmtId="3" fontId="35" fillId="45" borderId="22" xfId="18" applyNumberFormat="1" applyFont="1" applyFill="1" applyBorder="1" applyAlignment="1">
      <alignment horizontal="right" vertical="center" wrapText="1" indent="1"/>
    </xf>
    <xf numFmtId="3" fontId="35" fillId="45" borderId="22" xfId="18" applyNumberFormat="1" applyFont="1" applyFill="1" applyBorder="1" applyAlignment="1">
      <alignment vertical="center" wrapText="1"/>
    </xf>
    <xf numFmtId="3" fontId="62" fillId="45" borderId="22" xfId="16" applyNumberFormat="1" applyFont="1" applyFill="1" applyBorder="1" applyAlignment="1">
      <alignment horizontal="right" vertical="center" indent="1"/>
    </xf>
    <xf numFmtId="0" fontId="52" fillId="0" borderId="22" xfId="18" applyFont="1" applyBorder="1" applyAlignment="1">
      <alignment horizontal="center"/>
    </xf>
    <xf numFmtId="0" fontId="53" fillId="49" borderId="20" xfId="17" applyFont="1" applyFill="1" applyBorder="1" applyAlignment="1" applyProtection="1">
      <alignment horizontal="left"/>
      <protection locked="0"/>
    </xf>
    <xf numFmtId="1" fontId="53" fillId="49" borderId="21" xfId="17" applyNumberFormat="1" applyFont="1" applyFill="1" applyBorder="1" applyAlignment="1" applyProtection="1">
      <alignment vertical="center"/>
      <protection locked="0"/>
    </xf>
    <xf numFmtId="3" fontId="53" fillId="49" borderId="22" xfId="17" applyNumberFormat="1" applyFont="1" applyFill="1" applyBorder="1" applyAlignment="1" applyProtection="1">
      <alignment vertical="center"/>
      <protection locked="0"/>
    </xf>
    <xf numFmtId="1" fontId="48" fillId="0" borderId="28" xfId="18" applyNumberFormat="1" applyFont="1" applyBorder="1" applyAlignment="1">
      <alignment vertical="center"/>
    </xf>
    <xf numFmtId="1" fontId="48" fillId="0" borderId="23" xfId="18" applyNumberFormat="1" applyFont="1" applyBorder="1" applyAlignment="1">
      <alignment vertical="center"/>
    </xf>
    <xf numFmtId="1" fontId="48" fillId="45" borderId="23" xfId="18" applyNumberFormat="1" applyFont="1" applyFill="1" applyBorder="1" applyAlignment="1">
      <alignment vertical="center"/>
    </xf>
    <xf numFmtId="0" fontId="39" fillId="0" borderId="29" xfId="17" applyBorder="1" applyProtection="1">
      <protection locked="0"/>
    </xf>
    <xf numFmtId="49" fontId="44" fillId="0" borderId="0" xfId="16" applyNumberFormat="1" applyFont="1" applyAlignment="1">
      <alignment horizontal="right" vertical="center"/>
    </xf>
    <xf numFmtId="49" fontId="44" fillId="0" borderId="0" xfId="16" applyNumberFormat="1" applyFont="1" applyAlignment="1">
      <alignment horizontal="right" vertical="center" wrapText="1"/>
    </xf>
    <xf numFmtId="176" fontId="2" fillId="0" borderId="0" xfId="16" applyNumberFormat="1"/>
    <xf numFmtId="0" fontId="41" fillId="0" borderId="0" xfId="16" applyFont="1"/>
    <xf numFmtId="176" fontId="41" fillId="0" borderId="0" xfId="16" applyNumberFormat="1" applyFont="1"/>
    <xf numFmtId="3" fontId="41" fillId="0" borderId="0" xfId="16" applyNumberFormat="1" applyFont="1"/>
    <xf numFmtId="0" fontId="48" fillId="0" borderId="16" xfId="16" applyFont="1" applyBorder="1"/>
    <xf numFmtId="0" fontId="64" fillId="0" borderId="0" xfId="16" applyFont="1" applyAlignment="1">
      <alignment horizontal="center" vertical="center"/>
    </xf>
    <xf numFmtId="0" fontId="46" fillId="49" borderId="31" xfId="17" applyFont="1" applyFill="1" applyBorder="1" applyAlignment="1">
      <alignment horizontal="left"/>
    </xf>
    <xf numFmtId="0" fontId="48" fillId="27" borderId="32" xfId="16" applyFont="1" applyFill="1" applyBorder="1"/>
    <xf numFmtId="0" fontId="48" fillId="27" borderId="21" xfId="16" applyFont="1" applyFill="1" applyBorder="1"/>
    <xf numFmtId="0" fontId="48" fillId="27" borderId="22" xfId="16" applyFont="1" applyFill="1" applyBorder="1"/>
    <xf numFmtId="0" fontId="49" fillId="27" borderId="22" xfId="18" applyFont="1" applyFill="1" applyBorder="1" applyAlignment="1">
      <alignment horizontal="center" vertical="center"/>
    </xf>
    <xf numFmtId="3" fontId="46" fillId="0" borderId="28" xfId="17" applyNumberFormat="1" applyFont="1" applyBorder="1" applyProtection="1">
      <protection locked="0"/>
    </xf>
    <xf numFmtId="3" fontId="46" fillId="0" borderId="23" xfId="17" applyNumberFormat="1" applyFont="1" applyBorder="1" applyProtection="1">
      <protection locked="0"/>
    </xf>
    <xf numFmtId="3" fontId="46" fillId="0" borderId="23" xfId="17" applyNumberFormat="1" applyFont="1" applyBorder="1" applyAlignment="1" applyProtection="1">
      <alignment horizontal="right"/>
      <protection locked="0"/>
    </xf>
    <xf numFmtId="1" fontId="46" fillId="0" borderId="23" xfId="16" applyNumberFormat="1" applyFont="1" applyBorder="1"/>
    <xf numFmtId="1" fontId="47" fillId="0" borderId="23" xfId="16" applyNumberFormat="1" applyFont="1" applyBorder="1"/>
    <xf numFmtId="172" fontId="46" fillId="0" borderId="35" xfId="17" applyNumberFormat="1" applyFont="1" applyBorder="1" applyAlignment="1" applyProtection="1">
      <alignment horizontal="right"/>
      <protection locked="0"/>
    </xf>
    <xf numFmtId="172" fontId="46" fillId="0" borderId="36" xfId="17" applyNumberFormat="1" applyFont="1" applyBorder="1" applyAlignment="1" applyProtection="1">
      <alignment horizontal="right"/>
      <protection locked="0"/>
    </xf>
    <xf numFmtId="172" fontId="46" fillId="43" borderId="36" xfId="17" applyNumberFormat="1" applyFont="1" applyFill="1" applyBorder="1" applyAlignment="1" applyProtection="1">
      <alignment horizontal="right"/>
      <protection locked="0"/>
    </xf>
    <xf numFmtId="172" fontId="47" fillId="43" borderId="36" xfId="17" applyNumberFormat="1" applyFont="1" applyFill="1" applyBorder="1" applyAlignment="1" applyProtection="1">
      <alignment horizontal="right"/>
      <protection locked="0"/>
    </xf>
    <xf numFmtId="3" fontId="46" fillId="0" borderId="35" xfId="17" applyNumberFormat="1" applyFont="1" applyBorder="1"/>
    <xf numFmtId="3" fontId="46" fillId="0" borderId="36" xfId="17" applyNumberFormat="1" applyFont="1" applyBorder="1"/>
    <xf numFmtId="3" fontId="46" fillId="0" borderId="36" xfId="17" applyNumberFormat="1" applyFont="1" applyBorder="1" applyAlignment="1">
      <alignment horizontal="right"/>
    </xf>
    <xf numFmtId="1" fontId="46" fillId="0" borderId="23" xfId="16" applyNumberFormat="1" applyFont="1" applyBorder="1" applyAlignment="1">
      <alignment horizontal="right"/>
    </xf>
    <xf numFmtId="1" fontId="47" fillId="0" borderId="23" xfId="16" applyNumberFormat="1" applyFont="1" applyBorder="1" applyAlignment="1">
      <alignment horizontal="right"/>
    </xf>
    <xf numFmtId="0" fontId="54" fillId="43" borderId="32" xfId="18" applyFont="1" applyFill="1" applyBorder="1" applyAlignment="1">
      <alignment horizontal="right" vertical="center" wrapText="1" indent="1"/>
    </xf>
    <xf numFmtId="1" fontId="48" fillId="45" borderId="21" xfId="18" applyNumberFormat="1" applyFont="1" applyFill="1" applyBorder="1" applyAlignment="1">
      <alignment horizontal="right" vertical="center" indent="1"/>
    </xf>
    <xf numFmtId="1" fontId="48" fillId="45" borderId="22" xfId="18" applyNumberFormat="1" applyFont="1" applyFill="1" applyBorder="1" applyAlignment="1">
      <alignment horizontal="right" vertical="center" indent="1"/>
    </xf>
    <xf numFmtId="0" fontId="48" fillId="0" borderId="22" xfId="16" applyFont="1" applyBorder="1" applyAlignment="1">
      <alignment horizontal="right"/>
    </xf>
    <xf numFmtId="1" fontId="59" fillId="37" borderId="21" xfId="18" applyNumberFormat="1" applyFont="1" applyFill="1" applyBorder="1" applyAlignment="1">
      <alignment horizontal="left" vertical="center" wrapText="1"/>
    </xf>
    <xf numFmtId="0" fontId="65" fillId="37" borderId="22" xfId="18" applyFont="1" applyFill="1" applyBorder="1"/>
    <xf numFmtId="0" fontId="65" fillId="37" borderId="22" xfId="18" applyFont="1" applyFill="1" applyBorder="1" applyAlignment="1">
      <alignment horizontal="right" vertical="center" indent="1"/>
    </xf>
    <xf numFmtId="10" fontId="65" fillId="37" borderId="22" xfId="18" applyNumberFormat="1" applyFont="1" applyFill="1" applyBorder="1" applyAlignment="1">
      <alignment horizontal="right" vertical="center" indent="1"/>
    </xf>
    <xf numFmtId="9" fontId="48" fillId="37" borderId="22" xfId="18" applyNumberFormat="1" applyFont="1" applyFill="1" applyBorder="1" applyAlignment="1">
      <alignment horizontal="right" vertical="center" indent="1"/>
    </xf>
    <xf numFmtId="9" fontId="48" fillId="45" borderId="21" xfId="18" applyNumberFormat="1" applyFont="1" applyFill="1" applyBorder="1" applyAlignment="1">
      <alignment horizontal="right" vertical="center" indent="1"/>
    </xf>
    <xf numFmtId="9" fontId="48" fillId="45" borderId="22" xfId="18" applyNumberFormat="1" applyFont="1" applyFill="1" applyBorder="1" applyAlignment="1">
      <alignment horizontal="right" vertical="center" indent="1"/>
    </xf>
    <xf numFmtId="9" fontId="48" fillId="45" borderId="22" xfId="16" applyNumberFormat="1" applyFont="1" applyFill="1" applyBorder="1" applyAlignment="1">
      <alignment vertical="center"/>
    </xf>
    <xf numFmtId="9" fontId="48" fillId="0" borderId="22" xfId="16" applyNumberFormat="1" applyFont="1" applyBorder="1" applyAlignment="1">
      <alignment vertical="center"/>
    </xf>
    <xf numFmtId="0" fontId="48" fillId="43" borderId="32" xfId="18" applyFont="1" applyFill="1" applyBorder="1" applyAlignment="1">
      <alignment horizontal="left" vertical="center" indent="1"/>
    </xf>
    <xf numFmtId="1" fontId="54" fillId="43" borderId="21" xfId="18" applyNumberFormat="1" applyFont="1" applyFill="1" applyBorder="1" applyAlignment="1">
      <alignment horizontal="left" vertical="center" wrapText="1"/>
    </xf>
    <xf numFmtId="0" fontId="61" fillId="43" borderId="22" xfId="18" applyFont="1" applyFill="1" applyBorder="1"/>
    <xf numFmtId="0" fontId="46" fillId="45" borderId="22" xfId="18" applyFont="1" applyFill="1" applyBorder="1" applyAlignment="1">
      <alignment horizontal="right" vertical="center" indent="1"/>
    </xf>
    <xf numFmtId="0" fontId="46" fillId="27" borderId="20" xfId="17" applyFont="1" applyFill="1" applyBorder="1" applyAlignment="1" applyProtection="1">
      <alignment horizontal="left"/>
      <protection locked="0"/>
    </xf>
    <xf numFmtId="1" fontId="54" fillId="27" borderId="21" xfId="18" applyNumberFormat="1" applyFont="1" applyFill="1" applyBorder="1" applyAlignment="1">
      <alignment horizontal="left" vertical="center" wrapText="1"/>
    </xf>
    <xf numFmtId="0" fontId="61" fillId="27" borderId="22" xfId="18" applyFont="1" applyFill="1" applyBorder="1"/>
    <xf numFmtId="0" fontId="46" fillId="27" borderId="22" xfId="18" applyFont="1" applyFill="1" applyBorder="1" applyAlignment="1">
      <alignment horizontal="right" vertical="center" indent="1"/>
    </xf>
    <xf numFmtId="1" fontId="46" fillId="45" borderId="22" xfId="18" applyNumberFormat="1" applyFont="1" applyFill="1" applyBorder="1" applyAlignment="1">
      <alignment vertical="center"/>
    </xf>
    <xf numFmtId="1" fontId="46" fillId="0" borderId="22" xfId="16" applyNumberFormat="1" applyFont="1" applyBorder="1"/>
    <xf numFmtId="9" fontId="48" fillId="45" borderId="22" xfId="18" applyNumberFormat="1" applyFont="1" applyFill="1" applyBorder="1" applyAlignment="1">
      <alignment vertical="center" wrapText="1"/>
    </xf>
    <xf numFmtId="3" fontId="48" fillId="0" borderId="21" xfId="18" applyNumberFormat="1" applyFont="1" applyBorder="1" applyAlignment="1">
      <alignment horizontal="right" vertical="center" wrapText="1" indent="1"/>
    </xf>
    <xf numFmtId="0" fontId="49" fillId="0" borderId="22" xfId="18" applyFont="1" applyBorder="1" applyAlignment="1">
      <alignment vertical="center" wrapText="1"/>
    </xf>
    <xf numFmtId="3" fontId="46" fillId="45" borderId="22" xfId="18" applyNumberFormat="1" applyFont="1" applyFill="1" applyBorder="1" applyAlignment="1">
      <alignment vertical="center" wrapText="1"/>
    </xf>
    <xf numFmtId="0" fontId="46" fillId="0" borderId="24" xfId="17" applyFont="1" applyBorder="1" applyAlignment="1" applyProtection="1">
      <alignment horizontal="left"/>
      <protection locked="0"/>
    </xf>
    <xf numFmtId="3" fontId="46" fillId="0" borderId="25" xfId="17" applyNumberFormat="1" applyFont="1" applyBorder="1" applyAlignment="1" applyProtection="1">
      <alignment horizontal="right" vertical="center"/>
      <protection locked="0"/>
    </xf>
    <xf numFmtId="3" fontId="46" fillId="0" borderId="26" xfId="17" applyNumberFormat="1" applyFont="1" applyBorder="1" applyAlignment="1" applyProtection="1">
      <alignment horizontal="right" vertical="center"/>
      <protection locked="0"/>
    </xf>
    <xf numFmtId="0" fontId="61" fillId="0" borderId="32" xfId="18" applyFont="1" applyBorder="1"/>
    <xf numFmtId="0" fontId="46" fillId="27" borderId="20" xfId="20" applyFont="1" applyFill="1" applyBorder="1" applyAlignment="1">
      <alignment horizontal="left"/>
    </xf>
    <xf numFmtId="1" fontId="46" fillId="27" borderId="21" xfId="18" applyNumberFormat="1" applyFont="1" applyFill="1" applyBorder="1"/>
    <xf numFmtId="1" fontId="46" fillId="27" borderId="22" xfId="18" applyNumberFormat="1" applyFont="1" applyFill="1" applyBorder="1"/>
    <xf numFmtId="1" fontId="46" fillId="27" borderId="22" xfId="18" applyNumberFormat="1" applyFont="1" applyFill="1" applyBorder="1" applyAlignment="1">
      <alignment horizontal="right"/>
    </xf>
    <xf numFmtId="1" fontId="46" fillId="50" borderId="22" xfId="18" applyNumberFormat="1" applyFont="1" applyFill="1" applyBorder="1"/>
    <xf numFmtId="0" fontId="65" fillId="0" borderId="32" xfId="20" applyFont="1" applyBorder="1" applyAlignment="1">
      <alignment horizontal="center"/>
    </xf>
    <xf numFmtId="0" fontId="59" fillId="0" borderId="21" xfId="17" applyFont="1" applyBorder="1" applyAlignment="1" applyProtection="1">
      <alignment horizontal="center"/>
      <protection locked="0"/>
    </xf>
    <xf numFmtId="0" fontId="59" fillId="0" borderId="22" xfId="17" applyFont="1" applyBorder="1" applyAlignment="1" applyProtection="1">
      <alignment horizontal="center"/>
      <protection locked="0"/>
    </xf>
    <xf numFmtId="1" fontId="48" fillId="45" borderId="22" xfId="18" applyNumberFormat="1" applyFont="1" applyFill="1" applyBorder="1" applyAlignment="1">
      <alignment horizontal="right" vertical="center"/>
    </xf>
    <xf numFmtId="0" fontId="61" fillId="0" borderId="32" xfId="18" applyFont="1" applyBorder="1" applyAlignment="1">
      <alignment horizontal="center"/>
    </xf>
    <xf numFmtId="1" fontId="46" fillId="45" borderId="22" xfId="16" applyNumberFormat="1" applyFont="1" applyFill="1" applyBorder="1" applyAlignment="1">
      <alignment horizontal="right" vertical="center" indent="1"/>
    </xf>
    <xf numFmtId="0" fontId="46" fillId="49" borderId="20" xfId="17" applyFont="1" applyFill="1" applyBorder="1" applyAlignment="1" applyProtection="1">
      <alignment horizontal="left"/>
      <protection locked="0"/>
    </xf>
    <xf numFmtId="1" fontId="46" fillId="49" borderId="21" xfId="17" applyNumberFormat="1" applyFont="1" applyFill="1" applyBorder="1" applyAlignment="1" applyProtection="1">
      <alignment vertical="center"/>
      <protection locked="0"/>
    </xf>
    <xf numFmtId="1" fontId="48" fillId="0" borderId="22" xfId="16" applyNumberFormat="1" applyFont="1" applyBorder="1" applyAlignment="1">
      <alignment vertical="center"/>
    </xf>
    <xf numFmtId="3" fontId="48" fillId="0" borderId="28" xfId="16" applyNumberFormat="1" applyFont="1" applyBorder="1" applyAlignment="1">
      <alignment vertical="center"/>
    </xf>
    <xf numFmtId="1" fontId="48" fillId="0" borderId="23" xfId="16" applyNumberFormat="1" applyFont="1" applyBorder="1" applyAlignment="1">
      <alignment vertical="center"/>
    </xf>
    <xf numFmtId="0" fontId="48" fillId="0" borderId="29" xfId="17" applyFont="1" applyBorder="1" applyProtection="1">
      <protection locked="0"/>
    </xf>
    <xf numFmtId="0" fontId="48" fillId="0" borderId="0" xfId="16" applyFont="1" applyAlignment="1">
      <alignment vertical="center"/>
    </xf>
    <xf numFmtId="49" fontId="63" fillId="0" borderId="0" xfId="16" applyNumberFormat="1" applyFont="1"/>
    <xf numFmtId="0" fontId="63" fillId="0" borderId="30" xfId="17" applyFont="1" applyBorder="1" applyProtection="1">
      <protection locked="0"/>
    </xf>
    <xf numFmtId="49" fontId="46" fillId="0" borderId="0" xfId="16" applyNumberFormat="1" applyFont="1" applyAlignment="1">
      <alignment horizontal="right" vertical="center"/>
    </xf>
    <xf numFmtId="49" fontId="46" fillId="0" borderId="0" xfId="16" applyNumberFormat="1" applyFont="1" applyAlignment="1">
      <alignment horizontal="right" vertical="center" wrapText="1"/>
    </xf>
    <xf numFmtId="0" fontId="69" fillId="44" borderId="37" xfId="17" applyFont="1" applyFill="1" applyBorder="1" applyAlignment="1" applyProtection="1">
      <alignment horizontal="center" wrapText="1"/>
      <protection locked="0"/>
    </xf>
    <xf numFmtId="0" fontId="69" fillId="44" borderId="37" xfId="23" applyFont="1" applyFill="1" applyBorder="1" applyAlignment="1" applyProtection="1">
      <alignment horizontal="center" wrapText="1"/>
      <protection locked="0"/>
    </xf>
    <xf numFmtId="0" fontId="70" fillId="44" borderId="38" xfId="23" applyFont="1" applyFill="1" applyBorder="1" applyAlignment="1" applyProtection="1">
      <alignment horizontal="center" wrapText="1"/>
      <protection locked="0"/>
    </xf>
    <xf numFmtId="0" fontId="69" fillId="44" borderId="39" xfId="23" applyFont="1" applyFill="1" applyBorder="1" applyAlignment="1" applyProtection="1">
      <alignment horizontal="center" wrapText="1"/>
      <protection locked="0"/>
    </xf>
    <xf numFmtId="0" fontId="72" fillId="28" borderId="40" xfId="18" applyFont="1" applyFill="1" applyBorder="1" applyAlignment="1">
      <alignment horizontal="center" vertical="center" wrapText="1"/>
    </xf>
    <xf numFmtId="14" fontId="73" fillId="28" borderId="41" xfId="18" applyNumberFormat="1" applyFont="1" applyFill="1" applyBorder="1" applyAlignment="1">
      <alignment horizontal="center" vertical="center" wrapText="1"/>
    </xf>
    <xf numFmtId="14" fontId="74" fillId="28" borderId="42" xfId="18" applyNumberFormat="1" applyFont="1" applyFill="1" applyBorder="1" applyAlignment="1">
      <alignment horizontal="center" vertical="center" wrapText="1"/>
    </xf>
    <xf numFmtId="0" fontId="71" fillId="43" borderId="44" xfId="0" applyFont="1" applyFill="1" applyBorder="1"/>
    <xf numFmtId="0" fontId="71" fillId="43" borderId="19" xfId="0" applyFont="1" applyFill="1" applyBorder="1"/>
    <xf numFmtId="0" fontId="71" fillId="43" borderId="45" xfId="0" applyFont="1" applyFill="1" applyBorder="1"/>
    <xf numFmtId="3" fontId="75" fillId="0" borderId="44" xfId="0" applyNumberFormat="1" applyFont="1" applyBorder="1" applyAlignment="1">
      <alignment horizontal="right"/>
    </xf>
    <xf numFmtId="3" fontId="75" fillId="0" borderId="22" xfId="0" applyNumberFormat="1" applyFont="1" applyBorder="1" applyAlignment="1">
      <alignment horizontal="right"/>
    </xf>
    <xf numFmtId="3" fontId="75" fillId="45" borderId="45" xfId="0" applyNumberFormat="1" applyFont="1" applyFill="1" applyBorder="1" applyAlignment="1">
      <alignment vertical="center"/>
    </xf>
    <xf numFmtId="171" fontId="76" fillId="0" borderId="46" xfId="0" applyNumberFormat="1" applyFont="1" applyBorder="1" applyAlignment="1">
      <alignment vertical="center"/>
    </xf>
    <xf numFmtId="171" fontId="76" fillId="0" borderId="44" xfId="0" applyNumberFormat="1" applyFont="1" applyBorder="1" applyAlignment="1">
      <alignment vertical="center"/>
    </xf>
    <xf numFmtId="171" fontId="76" fillId="0" borderId="22" xfId="0" applyNumberFormat="1" applyFont="1" applyBorder="1" applyAlignment="1">
      <alignment vertical="center"/>
    </xf>
    <xf numFmtId="171" fontId="76" fillId="0" borderId="45" xfId="0" applyNumberFormat="1" applyFont="1" applyBorder="1" applyAlignment="1">
      <alignment vertical="center"/>
    </xf>
    <xf numFmtId="3" fontId="75" fillId="0" borderId="45" xfId="0" applyNumberFormat="1" applyFont="1" applyBorder="1" applyAlignment="1">
      <alignment vertical="center"/>
    </xf>
    <xf numFmtId="3" fontId="75" fillId="45" borderId="44" xfId="0" applyNumberFormat="1" applyFont="1" applyFill="1" applyBorder="1" applyAlignment="1">
      <alignment vertical="center"/>
    </xf>
    <xf numFmtId="3" fontId="75" fillId="45" borderId="22" xfId="0" applyNumberFormat="1" applyFont="1" applyFill="1" applyBorder="1" applyAlignment="1">
      <alignment vertical="center"/>
    </xf>
    <xf numFmtId="1" fontId="77" fillId="46" borderId="44" xfId="18" applyNumberFormat="1" applyFont="1" applyFill="1" applyBorder="1" applyAlignment="1">
      <alignment vertical="center"/>
    </xf>
    <xf numFmtId="1" fontId="77" fillId="46" borderId="22" xfId="18" applyNumberFormat="1" applyFont="1" applyFill="1" applyBorder="1" applyAlignment="1">
      <alignment vertical="center"/>
    </xf>
    <xf numFmtId="1" fontId="77" fillId="46" borderId="45" xfId="18" applyNumberFormat="1" applyFont="1" applyFill="1" applyBorder="1" applyAlignment="1">
      <alignment vertical="center"/>
    </xf>
    <xf numFmtId="9" fontId="77" fillId="46" borderId="44" xfId="18" applyNumberFormat="1" applyFont="1" applyFill="1" applyBorder="1" applyAlignment="1">
      <alignment vertical="center"/>
    </xf>
    <xf numFmtId="9" fontId="77" fillId="46" borderId="45" xfId="18" applyNumberFormat="1" applyFont="1" applyFill="1" applyBorder="1" applyAlignment="1">
      <alignment vertical="center"/>
    </xf>
    <xf numFmtId="3" fontId="78" fillId="10" borderId="44" xfId="18" applyNumberFormat="1" applyFont="1" applyFill="1" applyBorder="1" applyAlignment="1">
      <alignment vertical="center"/>
    </xf>
    <xf numFmtId="3" fontId="78" fillId="10" borderId="22" xfId="18" applyNumberFormat="1" applyFont="1" applyFill="1" applyBorder="1" applyAlignment="1">
      <alignment vertical="center"/>
    </xf>
    <xf numFmtId="3" fontId="78" fillId="10" borderId="45" xfId="0" applyNumberFormat="1" applyFont="1" applyFill="1" applyBorder="1" applyProtection="1">
      <protection locked="0"/>
    </xf>
    <xf numFmtId="9" fontId="78" fillId="37" borderId="44" xfId="18" applyNumberFormat="1" applyFont="1" applyFill="1" applyBorder="1" applyAlignment="1">
      <alignment vertical="center"/>
    </xf>
    <xf numFmtId="9" fontId="78" fillId="37" borderId="22" xfId="18" applyNumberFormat="1" applyFont="1" applyFill="1" applyBorder="1" applyAlignment="1">
      <alignment vertical="center"/>
    </xf>
    <xf numFmtId="9" fontId="78" fillId="37" borderId="45" xfId="18" applyNumberFormat="1" applyFont="1" applyFill="1" applyBorder="1" applyAlignment="1">
      <alignment vertical="center"/>
    </xf>
    <xf numFmtId="9" fontId="78" fillId="39" borderId="44" xfId="18" applyNumberFormat="1" applyFont="1" applyFill="1" applyBorder="1" applyAlignment="1">
      <alignment vertical="center"/>
    </xf>
    <xf numFmtId="9" fontId="78" fillId="39" borderId="22" xfId="18" applyNumberFormat="1" applyFont="1" applyFill="1" applyBorder="1" applyAlignment="1">
      <alignment vertical="center"/>
    </xf>
    <xf numFmtId="9" fontId="78" fillId="39" borderId="45" xfId="18" applyNumberFormat="1" applyFont="1" applyFill="1" applyBorder="1" applyAlignment="1">
      <alignment vertical="center"/>
    </xf>
    <xf numFmtId="175" fontId="79" fillId="0" borderId="44" xfId="1" applyNumberFormat="1" applyFont="1" applyFill="1" applyBorder="1" applyAlignment="1">
      <alignment horizontal="right" vertical="center" indent="1"/>
    </xf>
    <xf numFmtId="175" fontId="79" fillId="0" borderId="22" xfId="1" applyNumberFormat="1" applyFont="1" applyFill="1" applyBorder="1" applyAlignment="1">
      <alignment horizontal="right" vertical="center" indent="1"/>
    </xf>
    <xf numFmtId="9" fontId="79" fillId="0" borderId="45" xfId="18" applyNumberFormat="1" applyFont="1" applyBorder="1" applyAlignment="1">
      <alignment horizontal="right" vertical="center" indent="1"/>
    </xf>
    <xf numFmtId="0" fontId="80" fillId="28" borderId="44" xfId="18" applyFont="1" applyFill="1" applyBorder="1" applyAlignment="1">
      <alignment horizontal="right" vertical="center" indent="1"/>
    </xf>
    <xf numFmtId="0" fontId="80" fillId="28" borderId="22" xfId="18" applyFont="1" applyFill="1" applyBorder="1" applyAlignment="1">
      <alignment horizontal="right" vertical="center" indent="1"/>
    </xf>
    <xf numFmtId="0" fontId="80" fillId="28" borderId="45" xfId="18" applyFont="1" applyFill="1" applyBorder="1" applyAlignment="1">
      <alignment horizontal="right" vertical="center" indent="1"/>
    </xf>
    <xf numFmtId="3" fontId="76" fillId="45" borderId="44" xfId="18" applyNumberFormat="1" applyFont="1" applyFill="1" applyBorder="1" applyAlignment="1">
      <alignment vertical="center"/>
    </xf>
    <xf numFmtId="3" fontId="76" fillId="45" borderId="22" xfId="18" applyNumberFormat="1" applyFont="1" applyFill="1" applyBorder="1" applyAlignment="1">
      <alignment vertical="center"/>
    </xf>
    <xf numFmtId="3" fontId="76" fillId="0" borderId="45" xfId="18" applyNumberFormat="1" applyFont="1" applyBorder="1" applyAlignment="1">
      <alignment vertical="center"/>
    </xf>
    <xf numFmtId="3" fontId="75" fillId="0" borderId="44" xfId="18" applyNumberFormat="1" applyFont="1" applyBorder="1" applyAlignment="1">
      <alignment vertical="center"/>
    </xf>
    <xf numFmtId="3" fontId="75" fillId="0" borderId="22" xfId="18" applyNumberFormat="1" applyFont="1" applyBorder="1" applyAlignment="1">
      <alignment vertical="center"/>
    </xf>
    <xf numFmtId="9" fontId="77" fillId="46" borderId="22" xfId="18" applyNumberFormat="1" applyFont="1" applyFill="1" applyBorder="1" applyAlignment="1">
      <alignment vertical="center"/>
    </xf>
    <xf numFmtId="1" fontId="81" fillId="45" borderId="44" xfId="18" applyNumberFormat="1" applyFont="1" applyFill="1" applyBorder="1" applyAlignment="1">
      <alignment vertical="center"/>
    </xf>
    <xf numFmtId="1" fontId="78" fillId="45" borderId="22" xfId="18" applyNumberFormat="1" applyFont="1" applyFill="1" applyBorder="1" applyAlignment="1">
      <alignment vertical="center"/>
    </xf>
    <xf numFmtId="1" fontId="81" fillId="45" borderId="45" xfId="18" applyNumberFormat="1" applyFont="1" applyFill="1" applyBorder="1" applyAlignment="1">
      <alignment vertical="center"/>
    </xf>
    <xf numFmtId="3" fontId="76" fillId="0" borderId="22" xfId="18" applyNumberFormat="1" applyFont="1" applyBorder="1" applyAlignment="1">
      <alignment vertical="center"/>
    </xf>
    <xf numFmtId="3" fontId="76" fillId="0" borderId="44" xfId="18" applyNumberFormat="1" applyFont="1" applyBorder="1" applyAlignment="1">
      <alignment vertical="center"/>
    </xf>
    <xf numFmtId="3" fontId="78" fillId="0" borderId="22" xfId="18" applyNumberFormat="1" applyFont="1" applyBorder="1" applyAlignment="1">
      <alignment vertical="center"/>
    </xf>
    <xf numFmtId="3" fontId="78" fillId="0" borderId="44" xfId="18" applyNumberFormat="1" applyFont="1" applyBorder="1" applyAlignment="1">
      <alignment vertical="center"/>
    </xf>
    <xf numFmtId="3" fontId="78" fillId="0" borderId="45" xfId="18" applyNumberFormat="1" applyFont="1" applyBorder="1" applyAlignment="1">
      <alignment vertical="center"/>
    </xf>
    <xf numFmtId="1" fontId="78" fillId="0" borderId="45" xfId="18" applyNumberFormat="1" applyFont="1" applyBorder="1" applyAlignment="1">
      <alignment vertical="center" wrapText="1"/>
    </xf>
    <xf numFmtId="3" fontId="78" fillId="0" borderId="47" xfId="18" applyNumberFormat="1" applyFont="1" applyBorder="1" applyAlignment="1">
      <alignment vertical="center"/>
    </xf>
    <xf numFmtId="3" fontId="78" fillId="0" borderId="48" xfId="18" applyNumberFormat="1" applyFont="1" applyBorder="1" applyAlignment="1">
      <alignment vertical="center"/>
    </xf>
    <xf numFmtId="3" fontId="78" fillId="0" borderId="49" xfId="18" applyNumberFormat="1" applyFont="1" applyBorder="1" applyAlignment="1">
      <alignment vertical="center"/>
    </xf>
    <xf numFmtId="3" fontId="78" fillId="0" borderId="45" xfId="18" applyNumberFormat="1" applyFont="1" applyBorder="1" applyAlignment="1">
      <alignment vertical="center" wrapText="1"/>
    </xf>
    <xf numFmtId="3" fontId="82" fillId="0" borderId="50" xfId="23" applyNumberFormat="1" applyFont="1" applyBorder="1" applyAlignment="1" applyProtection="1">
      <alignment horizontal="right" vertical="center"/>
      <protection locked="0"/>
    </xf>
    <xf numFmtId="3" fontId="82" fillId="0" borderId="26" xfId="23" applyNumberFormat="1" applyFont="1" applyBorder="1" applyAlignment="1" applyProtection="1">
      <alignment horizontal="right" vertical="center"/>
      <protection locked="0"/>
    </xf>
    <xf numFmtId="3" fontId="82" fillId="0" borderId="51" xfId="23" applyNumberFormat="1" applyFont="1" applyBorder="1" applyAlignment="1" applyProtection="1">
      <alignment horizontal="right" vertical="center"/>
      <protection locked="0"/>
    </xf>
    <xf numFmtId="1" fontId="83" fillId="45" borderId="44" xfId="18" applyNumberFormat="1" applyFont="1" applyFill="1" applyBorder="1"/>
    <xf numFmtId="1" fontId="83" fillId="45" borderId="22" xfId="18" applyNumberFormat="1" applyFont="1" applyFill="1" applyBorder="1"/>
    <xf numFmtId="1" fontId="83" fillId="45" borderId="45" xfId="18" applyNumberFormat="1" applyFont="1" applyFill="1" applyBorder="1"/>
    <xf numFmtId="1" fontId="83" fillId="48" borderId="44" xfId="18" applyNumberFormat="1" applyFont="1" applyFill="1" applyBorder="1"/>
    <xf numFmtId="1" fontId="83" fillId="48" borderId="22" xfId="18" applyNumberFormat="1" applyFont="1" applyFill="1" applyBorder="1"/>
    <xf numFmtId="1" fontId="83" fillId="48" borderId="45" xfId="18" applyNumberFormat="1" applyFont="1" applyFill="1" applyBorder="1"/>
    <xf numFmtId="1" fontId="83" fillId="0" borderId="44" xfId="18" applyNumberFormat="1" applyFont="1" applyBorder="1"/>
    <xf numFmtId="1" fontId="83" fillId="0" borderId="22" xfId="18" applyNumberFormat="1" applyFont="1" applyBorder="1"/>
    <xf numFmtId="1" fontId="83" fillId="0" borderId="45" xfId="18" applyNumberFormat="1" applyFont="1" applyBorder="1"/>
    <xf numFmtId="3" fontId="76" fillId="0" borderId="44" xfId="0" applyNumberFormat="1" applyFont="1" applyBorder="1" applyAlignment="1">
      <alignment vertical="center"/>
    </xf>
    <xf numFmtId="3" fontId="76" fillId="0" borderId="22" xfId="0" applyNumberFormat="1" applyFont="1" applyBorder="1" applyAlignment="1">
      <alignment vertical="center"/>
    </xf>
    <xf numFmtId="3" fontId="76" fillId="0" borderId="45" xfId="0" applyNumberFormat="1" applyFont="1" applyBorder="1" applyAlignment="1">
      <alignment vertical="center"/>
    </xf>
    <xf numFmtId="3" fontId="77" fillId="12" borderId="44" xfId="18" applyNumberFormat="1" applyFont="1" applyFill="1" applyBorder="1" applyAlignment="1">
      <alignment vertical="center" wrapText="1"/>
    </xf>
    <xf numFmtId="3" fontId="77" fillId="12" borderId="22" xfId="18" applyNumberFormat="1" applyFont="1" applyFill="1" applyBorder="1" applyAlignment="1">
      <alignment vertical="center" wrapText="1"/>
    </xf>
    <xf numFmtId="3" fontId="77" fillId="12" borderId="45" xfId="18" applyNumberFormat="1" applyFont="1" applyFill="1" applyBorder="1" applyAlignment="1">
      <alignment vertical="center" wrapText="1"/>
    </xf>
    <xf numFmtId="3" fontId="78" fillId="45" borderId="44" xfId="18" applyNumberFormat="1" applyFont="1" applyFill="1" applyBorder="1" applyAlignment="1">
      <alignment vertical="center"/>
    </xf>
    <xf numFmtId="3" fontId="78" fillId="45" borderId="22" xfId="18" applyNumberFormat="1" applyFont="1" applyFill="1" applyBorder="1" applyAlignment="1">
      <alignment vertical="center"/>
    </xf>
    <xf numFmtId="3" fontId="84" fillId="0" borderId="44" xfId="18" applyNumberFormat="1" applyFont="1" applyBorder="1" applyAlignment="1">
      <alignment vertical="center"/>
    </xf>
    <xf numFmtId="3" fontId="84" fillId="0" borderId="22" xfId="18" applyNumberFormat="1" applyFont="1" applyBorder="1" applyAlignment="1">
      <alignment vertical="center"/>
    </xf>
    <xf numFmtId="3" fontId="84" fillId="0" borderId="45" xfId="18" applyNumberFormat="1" applyFont="1" applyBorder="1" applyAlignment="1">
      <alignment vertical="center"/>
    </xf>
    <xf numFmtId="3" fontId="81" fillId="45" borderId="45" xfId="18" applyNumberFormat="1" applyFont="1" applyFill="1" applyBorder="1" applyAlignment="1">
      <alignment vertical="center"/>
    </xf>
    <xf numFmtId="3" fontId="81" fillId="45" borderId="44" xfId="18" applyNumberFormat="1" applyFont="1" applyFill="1" applyBorder="1" applyAlignment="1">
      <alignment vertical="center"/>
    </xf>
    <xf numFmtId="3" fontId="81" fillId="45" borderId="22" xfId="18" applyNumberFormat="1" applyFont="1" applyFill="1" applyBorder="1" applyAlignment="1">
      <alignment vertical="center"/>
    </xf>
    <xf numFmtId="3" fontId="76" fillId="45" borderId="45" xfId="0" applyNumberFormat="1" applyFont="1" applyFill="1" applyBorder="1" applyAlignment="1">
      <alignment vertical="center"/>
    </xf>
    <xf numFmtId="3" fontId="83" fillId="45" borderId="44" xfId="0" applyNumberFormat="1" applyFont="1" applyFill="1" applyBorder="1" applyAlignment="1">
      <alignment horizontal="right" vertical="center" indent="1"/>
    </xf>
    <xf numFmtId="3" fontId="83" fillId="45" borderId="22" xfId="0" applyNumberFormat="1" applyFont="1" applyFill="1" applyBorder="1" applyAlignment="1">
      <alignment horizontal="right" vertical="center" indent="1"/>
    </xf>
    <xf numFmtId="3" fontId="83" fillId="45" borderId="45" xfId="0" applyNumberFormat="1" applyFont="1" applyFill="1" applyBorder="1" applyAlignment="1">
      <alignment horizontal="right" vertical="center" indent="1"/>
    </xf>
    <xf numFmtId="3" fontId="82" fillId="44" borderId="44" xfId="23" applyNumberFormat="1" applyFont="1" applyFill="1" applyBorder="1" applyAlignment="1" applyProtection="1">
      <alignment vertical="center"/>
      <protection locked="0"/>
    </xf>
    <xf numFmtId="3" fontId="82" fillId="44" borderId="22" xfId="23" applyNumberFormat="1" applyFont="1" applyFill="1" applyBorder="1" applyAlignment="1" applyProtection="1">
      <alignment vertical="center"/>
      <protection locked="0"/>
    </xf>
    <xf numFmtId="3" fontId="82" fillId="44" borderId="45" xfId="23" applyNumberFormat="1" applyFont="1" applyFill="1" applyBorder="1" applyAlignment="1" applyProtection="1">
      <alignment vertical="center"/>
      <protection locked="0"/>
    </xf>
    <xf numFmtId="1" fontId="82" fillId="48" borderId="45" xfId="18" applyNumberFormat="1" applyFont="1" applyFill="1" applyBorder="1"/>
    <xf numFmtId="3" fontId="78" fillId="0" borderId="44" xfId="0" applyNumberFormat="1" applyFont="1" applyBorder="1" applyAlignment="1" applyProtection="1">
      <alignment vertical="center"/>
      <protection locked="0"/>
    </xf>
    <xf numFmtId="3" fontId="78" fillId="0" borderId="22" xfId="0" applyNumberFormat="1" applyFont="1" applyBorder="1" applyAlignment="1" applyProtection="1">
      <alignment vertical="center"/>
      <protection locked="0"/>
    </xf>
    <xf numFmtId="3" fontId="78" fillId="45" borderId="45" xfId="0" applyNumberFormat="1" applyFont="1" applyFill="1" applyBorder="1" applyAlignment="1" applyProtection="1">
      <alignment vertical="center"/>
      <protection locked="0"/>
    </xf>
    <xf numFmtId="3" fontId="78" fillId="0" borderId="0" xfId="0" applyNumberFormat="1" applyFont="1" applyAlignment="1" applyProtection="1">
      <alignment vertical="center"/>
      <protection locked="0"/>
    </xf>
    <xf numFmtId="3" fontId="78" fillId="0" borderId="45" xfId="0" applyNumberFormat="1" applyFont="1" applyBorder="1" applyAlignment="1" applyProtection="1">
      <alignment vertical="center"/>
      <protection locked="0"/>
    </xf>
    <xf numFmtId="3" fontId="81" fillId="45" borderId="40" xfId="0" applyNumberFormat="1" applyFont="1" applyFill="1" applyBorder="1" applyAlignment="1" applyProtection="1">
      <alignment vertical="center"/>
      <protection locked="0"/>
    </xf>
    <xf numFmtId="3" fontId="81" fillId="45" borderId="23" xfId="0" applyNumberFormat="1" applyFont="1" applyFill="1" applyBorder="1" applyAlignment="1" applyProtection="1">
      <alignment vertical="center"/>
      <protection locked="0"/>
    </xf>
    <xf numFmtId="3" fontId="81" fillId="45" borderId="41" xfId="0" applyNumberFormat="1" applyFont="1" applyFill="1" applyBorder="1" applyAlignment="1" applyProtection="1">
      <alignment vertical="center"/>
      <protection locked="0"/>
    </xf>
    <xf numFmtId="3" fontId="81" fillId="45" borderId="42" xfId="0" applyNumberFormat="1" applyFont="1" applyFill="1" applyBorder="1" applyAlignment="1" applyProtection="1">
      <alignment vertical="center"/>
      <protection locked="0"/>
    </xf>
    <xf numFmtId="0" fontId="69" fillId="44" borderId="19" xfId="23" applyFont="1" applyFill="1" applyBorder="1" applyAlignment="1" applyProtection="1">
      <alignment horizontal="center" wrapText="1"/>
      <protection locked="0"/>
    </xf>
    <xf numFmtId="0" fontId="72" fillId="28" borderId="23" xfId="18" applyFont="1" applyFill="1" applyBorder="1" applyAlignment="1">
      <alignment horizontal="center" vertical="center" wrapText="1"/>
    </xf>
    <xf numFmtId="0" fontId="72" fillId="0" borderId="44" xfId="18" applyFont="1" applyBorder="1" applyAlignment="1">
      <alignment vertical="center"/>
    </xf>
    <xf numFmtId="0" fontId="72" fillId="0" borderId="19" xfId="18" applyFont="1" applyBorder="1" applyAlignment="1">
      <alignment vertical="center"/>
    </xf>
    <xf numFmtId="0" fontId="71" fillId="43" borderId="38" xfId="0" applyFont="1" applyFill="1" applyBorder="1"/>
    <xf numFmtId="3" fontId="75" fillId="0" borderId="44" xfId="0" applyNumberFormat="1" applyFont="1" applyBorder="1"/>
    <xf numFmtId="3" fontId="75" fillId="0" borderId="22" xfId="0" applyNumberFormat="1" applyFont="1" applyBorder="1"/>
    <xf numFmtId="3" fontId="75" fillId="0" borderId="45" xfId="0" applyNumberFormat="1" applyFont="1" applyBorder="1"/>
    <xf numFmtId="172" fontId="76" fillId="0" borderId="44" xfId="0" applyNumberFormat="1" applyFont="1" applyBorder="1" applyAlignment="1" applyProtection="1">
      <alignment vertical="center"/>
      <protection locked="0"/>
    </xf>
    <xf numFmtId="172" fontId="76" fillId="0" borderId="22" xfId="0" applyNumberFormat="1" applyFont="1" applyBorder="1" applyAlignment="1" applyProtection="1">
      <alignment vertical="center"/>
      <protection locked="0"/>
    </xf>
    <xf numFmtId="172" fontId="76" fillId="0" borderId="45" xfId="0" applyNumberFormat="1" applyFont="1" applyBorder="1" applyAlignment="1" applyProtection="1">
      <alignment vertical="center"/>
      <protection locked="0"/>
    </xf>
    <xf numFmtId="3" fontId="75" fillId="45" borderId="44" xfId="0" applyNumberFormat="1" applyFont="1" applyFill="1" applyBorder="1" applyAlignment="1">
      <alignment horizontal="right" vertical="center" indent="1"/>
    </xf>
    <xf numFmtId="3" fontId="75" fillId="45" borderId="22" xfId="0" applyNumberFormat="1" applyFont="1" applyFill="1" applyBorder="1" applyAlignment="1">
      <alignment horizontal="right" vertical="center" indent="1"/>
    </xf>
    <xf numFmtId="9" fontId="78" fillId="0" borderId="44" xfId="18" applyNumberFormat="1" applyFont="1" applyBorder="1" applyAlignment="1">
      <alignment horizontal="right" vertical="center" indent="1"/>
    </xf>
    <xf numFmtId="9" fontId="78" fillId="0" borderId="22" xfId="18" applyNumberFormat="1" applyFont="1" applyBorder="1" applyAlignment="1">
      <alignment horizontal="right" vertical="center" indent="1"/>
    </xf>
    <xf numFmtId="1" fontId="78" fillId="51" borderId="45" xfId="18" applyNumberFormat="1" applyFont="1" applyFill="1" applyBorder="1" applyAlignment="1">
      <alignment vertical="center"/>
    </xf>
    <xf numFmtId="9" fontId="77" fillId="45" borderId="44" xfId="18" applyNumberFormat="1" applyFont="1" applyFill="1" applyBorder="1" applyAlignment="1">
      <alignment vertical="center"/>
    </xf>
    <xf numFmtId="9" fontId="77" fillId="45" borderId="22" xfId="18" applyNumberFormat="1" applyFont="1" applyFill="1" applyBorder="1" applyAlignment="1">
      <alignment vertical="center"/>
    </xf>
    <xf numFmtId="1" fontId="81" fillId="45" borderId="22" xfId="18" applyNumberFormat="1" applyFont="1" applyFill="1" applyBorder="1" applyAlignment="1">
      <alignment vertical="center"/>
    </xf>
    <xf numFmtId="1" fontId="76" fillId="0" borderId="45" xfId="18" applyNumberFormat="1" applyFont="1" applyBorder="1" applyAlignment="1">
      <alignment vertical="center"/>
    </xf>
    <xf numFmtId="3" fontId="78" fillId="45" borderId="48" xfId="18" applyNumberFormat="1" applyFont="1" applyFill="1" applyBorder="1" applyAlignment="1">
      <alignment vertical="center"/>
    </xf>
    <xf numFmtId="3" fontId="82" fillId="0" borderId="52" xfId="23" applyNumberFormat="1" applyFont="1" applyBorder="1" applyAlignment="1" applyProtection="1">
      <alignment horizontal="right" vertical="center"/>
      <protection locked="0"/>
    </xf>
    <xf numFmtId="3" fontId="82" fillId="0" borderId="53" xfId="23" applyNumberFormat="1" applyFont="1" applyBorder="1" applyAlignment="1" applyProtection="1">
      <alignment horizontal="right" vertical="center"/>
      <protection locked="0"/>
    </xf>
    <xf numFmtId="1" fontId="85" fillId="45" borderId="44" xfId="18" applyNumberFormat="1" applyFont="1" applyFill="1" applyBorder="1"/>
    <xf numFmtId="1" fontId="85" fillId="45" borderId="22" xfId="18" applyNumberFormat="1" applyFont="1" applyFill="1" applyBorder="1"/>
    <xf numFmtId="3" fontId="85" fillId="0" borderId="44" xfId="0" applyNumberFormat="1" applyFont="1" applyBorder="1" applyAlignment="1">
      <alignment horizontal="right" vertical="center" indent="1"/>
    </xf>
    <xf numFmtId="3" fontId="85" fillId="0" borderId="22" xfId="0" applyNumberFormat="1" applyFont="1" applyBorder="1" applyAlignment="1">
      <alignment horizontal="right" vertical="center" indent="1"/>
    </xf>
    <xf numFmtId="3" fontId="76" fillId="0" borderId="0" xfId="0" applyNumberFormat="1" applyFont="1" applyAlignment="1">
      <alignment vertical="center"/>
    </xf>
    <xf numFmtId="3" fontId="76" fillId="0" borderId="46" xfId="0" applyNumberFormat="1" applyFont="1" applyBorder="1" applyAlignment="1">
      <alignment vertical="center"/>
    </xf>
    <xf numFmtId="3" fontId="86" fillId="0" borderId="45" xfId="18" applyNumberFormat="1" applyFont="1" applyBorder="1" applyAlignment="1">
      <alignment vertical="center" wrapText="1"/>
    </xf>
    <xf numFmtId="3" fontId="86" fillId="52" borderId="45" xfId="18" applyNumberFormat="1" applyFont="1" applyFill="1" applyBorder="1" applyAlignment="1">
      <alignment vertical="center" wrapText="1"/>
    </xf>
    <xf numFmtId="3" fontId="78" fillId="52" borderId="45" xfId="18" applyNumberFormat="1" applyFont="1" applyFill="1" applyBorder="1" applyAlignment="1">
      <alignment vertical="center"/>
    </xf>
    <xf numFmtId="3" fontId="78" fillId="45" borderId="45" xfId="18" applyNumberFormat="1" applyFont="1" applyFill="1" applyBorder="1" applyAlignment="1">
      <alignment vertical="center"/>
    </xf>
    <xf numFmtId="3" fontId="77" fillId="45" borderId="44" xfId="18" applyNumberFormat="1" applyFont="1" applyFill="1" applyBorder="1" applyAlignment="1">
      <alignment vertical="center"/>
    </xf>
    <xf numFmtId="3" fontId="77" fillId="45" borderId="22" xfId="18" applyNumberFormat="1" applyFont="1" applyFill="1" applyBorder="1" applyAlignment="1">
      <alignment vertical="center"/>
    </xf>
    <xf numFmtId="3" fontId="77" fillId="45" borderId="45" xfId="18" applyNumberFormat="1" applyFont="1" applyFill="1" applyBorder="1" applyAlignment="1">
      <alignment vertical="center"/>
    </xf>
    <xf numFmtId="3" fontId="81" fillId="0" borderId="44" xfId="18" applyNumberFormat="1" applyFont="1" applyBorder="1" applyAlignment="1">
      <alignment vertical="center"/>
    </xf>
    <xf numFmtId="3" fontId="81" fillId="0" borderId="22" xfId="18" applyNumberFormat="1" applyFont="1" applyBorder="1" applyAlignment="1">
      <alignment vertical="center"/>
    </xf>
    <xf numFmtId="3" fontId="85" fillId="0" borderId="45" xfId="18" applyNumberFormat="1" applyFont="1" applyBorder="1" applyAlignment="1">
      <alignment vertical="center"/>
    </xf>
    <xf numFmtId="1" fontId="76" fillId="53" borderId="45" xfId="18" applyNumberFormat="1" applyFont="1" applyFill="1" applyBorder="1" applyAlignment="1">
      <alignment vertical="center"/>
    </xf>
    <xf numFmtId="1" fontId="78" fillId="52" borderId="45" xfId="18" applyNumberFormat="1" applyFont="1" applyFill="1" applyBorder="1" applyAlignment="1">
      <alignment vertical="center" wrapText="1"/>
    </xf>
    <xf numFmtId="3" fontId="78" fillId="52" borderId="45" xfId="18" applyNumberFormat="1" applyFont="1" applyFill="1" applyBorder="1" applyAlignment="1">
      <alignment vertical="center" wrapText="1"/>
    </xf>
    <xf numFmtId="3" fontId="85" fillId="45" borderId="44" xfId="0" applyNumberFormat="1" applyFont="1" applyFill="1" applyBorder="1" applyAlignment="1">
      <alignment horizontal="right" vertical="center" indent="1"/>
    </xf>
    <xf numFmtId="3" fontId="85" fillId="45" borderId="22" xfId="0" applyNumberFormat="1" applyFont="1" applyFill="1" applyBorder="1" applyAlignment="1">
      <alignment horizontal="right" vertical="center" indent="1"/>
    </xf>
    <xf numFmtId="172" fontId="87" fillId="16" borderId="45" xfId="0" applyNumberFormat="1" applyFont="1" applyFill="1" applyBorder="1" applyAlignment="1">
      <alignment horizontal="right"/>
    </xf>
    <xf numFmtId="3" fontId="82" fillId="44" borderId="44" xfId="17" applyNumberFormat="1" applyFont="1" applyFill="1" applyBorder="1" applyAlignment="1" applyProtection="1">
      <alignment vertical="center"/>
      <protection locked="0"/>
    </xf>
    <xf numFmtId="3" fontId="78" fillId="45" borderId="44" xfId="0" applyNumberFormat="1" applyFont="1" applyFill="1" applyBorder="1" applyAlignment="1" applyProtection="1">
      <alignment vertical="center" wrapText="1"/>
      <protection locked="0"/>
    </xf>
    <xf numFmtId="3" fontId="78" fillId="45" borderId="22" xfId="0" applyNumberFormat="1" applyFont="1" applyFill="1" applyBorder="1" applyAlignment="1" applyProtection="1">
      <alignment vertical="center" wrapText="1"/>
      <protection locked="0"/>
    </xf>
    <xf numFmtId="3" fontId="78" fillId="45" borderId="45" xfId="0" applyNumberFormat="1" applyFont="1" applyFill="1" applyBorder="1" applyAlignment="1" applyProtection="1">
      <alignment vertical="center" wrapText="1"/>
      <protection locked="0"/>
    </xf>
    <xf numFmtId="3" fontId="78" fillId="45" borderId="44" xfId="0" applyNumberFormat="1" applyFont="1" applyFill="1" applyBorder="1" applyAlignment="1">
      <alignment vertical="center"/>
    </xf>
    <xf numFmtId="3" fontId="78" fillId="45" borderId="22" xfId="0" applyNumberFormat="1" applyFont="1" applyFill="1" applyBorder="1" applyAlignment="1">
      <alignment vertical="center"/>
    </xf>
    <xf numFmtId="172" fontId="78" fillId="45" borderId="45" xfId="0" applyNumberFormat="1" applyFont="1" applyFill="1" applyBorder="1" applyAlignment="1">
      <alignment vertical="center"/>
    </xf>
    <xf numFmtId="3" fontId="78" fillId="45" borderId="45" xfId="0" applyNumberFormat="1" applyFont="1" applyFill="1" applyBorder="1" applyAlignment="1">
      <alignment vertical="center"/>
    </xf>
    <xf numFmtId="0" fontId="81" fillId="43" borderId="40" xfId="0" applyFont="1" applyFill="1" applyBorder="1"/>
    <xf numFmtId="0" fontId="81" fillId="43" borderId="23" xfId="0" applyFont="1" applyFill="1" applyBorder="1"/>
    <xf numFmtId="0" fontId="81" fillId="43" borderId="41" xfId="0" applyFont="1" applyFill="1" applyBorder="1"/>
    <xf numFmtId="0" fontId="68" fillId="28" borderId="0" xfId="0" applyFont="1" applyFill="1" applyAlignment="1">
      <alignment horizontal="centerContinuous" vertical="center"/>
    </xf>
    <xf numFmtId="0" fontId="69" fillId="44" borderId="37" xfId="17" applyFont="1" applyFill="1" applyBorder="1" applyAlignment="1" applyProtection="1">
      <alignment horizontal="center"/>
      <protection locked="0"/>
    </xf>
    <xf numFmtId="0" fontId="69" fillId="44" borderId="19" xfId="17" applyFont="1" applyFill="1" applyBorder="1" applyAlignment="1" applyProtection="1">
      <alignment horizontal="center"/>
      <protection locked="0"/>
    </xf>
    <xf numFmtId="0" fontId="69" fillId="44" borderId="34" xfId="17" applyFont="1" applyFill="1" applyBorder="1" applyAlignment="1" applyProtection="1">
      <alignment horizontal="center"/>
      <protection locked="0"/>
    </xf>
    <xf numFmtId="14" fontId="88" fillId="28" borderId="54" xfId="18" applyNumberFormat="1" applyFont="1" applyFill="1" applyBorder="1" applyAlignment="1">
      <alignment horizontal="center" vertical="center" wrapText="1"/>
    </xf>
    <xf numFmtId="14" fontId="74" fillId="28" borderId="41" xfId="18" applyNumberFormat="1" applyFont="1" applyFill="1" applyBorder="1" applyAlignment="1">
      <alignment horizontal="center" vertical="center" wrapText="1"/>
    </xf>
    <xf numFmtId="3" fontId="75" fillId="0" borderId="55" xfId="0" applyNumberFormat="1" applyFont="1" applyBorder="1"/>
    <xf numFmtId="3" fontId="75" fillId="0" borderId="38" xfId="0" applyNumberFormat="1" applyFont="1" applyBorder="1"/>
    <xf numFmtId="172" fontId="76" fillId="0" borderId="56" xfId="0" applyNumberFormat="1" applyFont="1" applyBorder="1" applyAlignment="1" applyProtection="1">
      <alignment vertical="center"/>
      <protection locked="0"/>
    </xf>
    <xf numFmtId="3" fontId="75" fillId="0" borderId="56" xfId="0" applyNumberFormat="1" applyFont="1" applyBorder="1"/>
    <xf numFmtId="1" fontId="79" fillId="0" borderId="56" xfId="18" applyNumberFormat="1" applyFont="1" applyBorder="1" applyAlignment="1">
      <alignment vertical="center"/>
    </xf>
    <xf numFmtId="1" fontId="79" fillId="0" borderId="45" xfId="18" applyNumberFormat="1" applyFont="1" applyBorder="1" applyAlignment="1">
      <alignment vertical="center"/>
    </xf>
    <xf numFmtId="1" fontId="77" fillId="46" borderId="56" xfId="18" applyNumberFormat="1" applyFont="1" applyFill="1" applyBorder="1" applyAlignment="1">
      <alignment vertical="center"/>
    </xf>
    <xf numFmtId="9" fontId="77" fillId="46" borderId="56" xfId="18" applyNumberFormat="1" applyFont="1" applyFill="1" applyBorder="1" applyAlignment="1">
      <alignment vertical="center"/>
    </xf>
    <xf numFmtId="3" fontId="78" fillId="10" borderId="56" xfId="18" applyNumberFormat="1" applyFont="1" applyFill="1" applyBorder="1" applyAlignment="1">
      <alignment vertical="center"/>
    </xf>
    <xf numFmtId="3" fontId="78" fillId="10" borderId="45" xfId="18" applyNumberFormat="1" applyFont="1" applyFill="1" applyBorder="1" applyAlignment="1">
      <alignment vertical="center"/>
    </xf>
    <xf numFmtId="9" fontId="78" fillId="37" borderId="56" xfId="18" applyNumberFormat="1" applyFont="1" applyFill="1" applyBorder="1" applyAlignment="1">
      <alignment vertical="center"/>
    </xf>
    <xf numFmtId="9" fontId="78" fillId="39" borderId="56" xfId="18" applyNumberFormat="1" applyFont="1" applyFill="1" applyBorder="1" applyAlignment="1">
      <alignment vertical="center"/>
    </xf>
    <xf numFmtId="1" fontId="78" fillId="0" borderId="56" xfId="18" applyNumberFormat="1" applyFont="1" applyBorder="1" applyAlignment="1">
      <alignment vertical="center"/>
    </xf>
    <xf numFmtId="1" fontId="78" fillId="0" borderId="45" xfId="18" applyNumberFormat="1" applyFont="1" applyBorder="1" applyAlignment="1">
      <alignment vertical="center"/>
    </xf>
    <xf numFmtId="0" fontId="80" fillId="28" borderId="56" xfId="18" applyFont="1" applyFill="1" applyBorder="1" applyAlignment="1">
      <alignment horizontal="right" vertical="center" indent="1"/>
    </xf>
    <xf numFmtId="3" fontId="89" fillId="45" borderId="44" xfId="18" applyNumberFormat="1" applyFont="1" applyFill="1" applyBorder="1" applyAlignment="1">
      <alignment vertical="center"/>
    </xf>
    <xf numFmtId="3" fontId="89" fillId="45" borderId="22" xfId="18" applyNumberFormat="1" applyFont="1" applyFill="1" applyBorder="1" applyAlignment="1">
      <alignment vertical="center"/>
    </xf>
    <xf numFmtId="3" fontId="89" fillId="45" borderId="56" xfId="18" applyNumberFormat="1" applyFont="1" applyFill="1" applyBorder="1" applyAlignment="1">
      <alignment vertical="center"/>
    </xf>
    <xf numFmtId="3" fontId="89" fillId="45" borderId="45" xfId="18" applyNumberFormat="1" applyFont="1" applyFill="1" applyBorder="1" applyAlignment="1">
      <alignment vertical="center"/>
    </xf>
    <xf numFmtId="3" fontId="89" fillId="0" borderId="45" xfId="18" applyNumberFormat="1" applyFont="1" applyBorder="1" applyAlignment="1">
      <alignment vertical="center"/>
    </xf>
    <xf numFmtId="1" fontId="75" fillId="51" borderId="56" xfId="18" applyNumberFormat="1" applyFont="1" applyFill="1" applyBorder="1" applyAlignment="1">
      <alignment vertical="center"/>
    </xf>
    <xf numFmtId="1" fontId="75" fillId="0" borderId="45" xfId="18" applyNumberFormat="1" applyFont="1" applyBorder="1" applyAlignment="1">
      <alignment vertical="center"/>
    </xf>
    <xf numFmtId="9" fontId="78" fillId="45" borderId="44" xfId="18" applyNumberFormat="1" applyFont="1" applyFill="1" applyBorder="1" applyAlignment="1">
      <alignment vertical="center"/>
    </xf>
    <xf numFmtId="9" fontId="78" fillId="45" borderId="22" xfId="18" applyNumberFormat="1" applyFont="1" applyFill="1" applyBorder="1" applyAlignment="1">
      <alignment vertical="center"/>
    </xf>
    <xf numFmtId="9" fontId="78" fillId="45" borderId="56" xfId="18" applyNumberFormat="1" applyFont="1" applyFill="1" applyBorder="1" applyAlignment="1">
      <alignment vertical="center"/>
    </xf>
    <xf numFmtId="9" fontId="78" fillId="45" borderId="45" xfId="18" applyNumberFormat="1" applyFont="1" applyFill="1" applyBorder="1" applyAlignment="1">
      <alignment vertical="center"/>
    </xf>
    <xf numFmtId="9" fontId="78" fillId="0" borderId="45" xfId="18" applyNumberFormat="1" applyFont="1" applyBorder="1" applyAlignment="1">
      <alignment vertical="center"/>
    </xf>
    <xf numFmtId="1" fontId="81" fillId="0" borderId="56" xfId="18" applyNumberFormat="1" applyFont="1" applyBorder="1" applyAlignment="1">
      <alignment vertical="center"/>
    </xf>
    <xf numFmtId="1" fontId="81" fillId="0" borderId="45" xfId="18" applyNumberFormat="1" applyFont="1" applyBorder="1" applyAlignment="1">
      <alignment vertical="center"/>
    </xf>
    <xf numFmtId="3" fontId="89" fillId="0" borderId="44" xfId="0" applyNumberFormat="1" applyFont="1" applyBorder="1" applyAlignment="1">
      <alignment vertical="center"/>
    </xf>
    <xf numFmtId="3" fontId="89" fillId="0" borderId="22" xfId="0" applyNumberFormat="1" applyFont="1" applyBorder="1" applyAlignment="1">
      <alignment vertical="center"/>
    </xf>
    <xf numFmtId="3" fontId="89" fillId="0" borderId="56" xfId="0" applyNumberFormat="1" applyFont="1" applyBorder="1" applyAlignment="1">
      <alignment vertical="center"/>
    </xf>
    <xf numFmtId="3" fontId="89" fillId="0" borderId="45" xfId="0" applyNumberFormat="1" applyFont="1" applyBorder="1" applyAlignment="1">
      <alignment vertical="center"/>
    </xf>
    <xf numFmtId="3" fontId="78" fillId="0" borderId="44" xfId="18" applyNumberFormat="1" applyFont="1" applyBorder="1" applyAlignment="1">
      <alignment vertical="center" wrapText="1"/>
    </xf>
    <xf numFmtId="3" fontId="78" fillId="0" borderId="22" xfId="18" applyNumberFormat="1" applyFont="1" applyBorder="1" applyAlignment="1">
      <alignment vertical="center" wrapText="1"/>
    </xf>
    <xf numFmtId="1" fontId="78" fillId="0" borderId="56" xfId="18" applyNumberFormat="1" applyFont="1" applyBorder="1" applyAlignment="1">
      <alignment horizontal="right" vertical="center"/>
    </xf>
    <xf numFmtId="1" fontId="78" fillId="0" borderId="45" xfId="18" applyNumberFormat="1" applyFont="1" applyBorder="1" applyAlignment="1">
      <alignment horizontal="right" vertical="center"/>
    </xf>
    <xf numFmtId="3" fontId="90" fillId="0" borderId="50" xfId="17" applyNumberFormat="1" applyFont="1" applyBorder="1" applyAlignment="1" applyProtection="1">
      <alignment horizontal="right" vertical="center"/>
      <protection locked="0"/>
    </xf>
    <xf numFmtId="3" fontId="90" fillId="0" borderId="26" xfId="17" applyNumberFormat="1" applyFont="1" applyBorder="1" applyAlignment="1" applyProtection="1">
      <alignment horizontal="right" vertical="center"/>
      <protection locked="0"/>
    </xf>
    <xf numFmtId="3" fontId="90" fillId="0" borderId="57" xfId="23" applyNumberFormat="1" applyFont="1" applyBorder="1" applyAlignment="1" applyProtection="1">
      <alignment horizontal="right" vertical="center"/>
      <protection locked="0"/>
    </xf>
    <xf numFmtId="3" fontId="90" fillId="0" borderId="51" xfId="23" applyNumberFormat="1" applyFont="1" applyBorder="1" applyAlignment="1" applyProtection="1">
      <alignment horizontal="right" vertical="center"/>
      <protection locked="0"/>
    </xf>
    <xf numFmtId="0" fontId="83" fillId="0" borderId="56" xfId="18" applyFont="1" applyBorder="1" applyAlignment="1">
      <alignment vertical="center"/>
    </xf>
    <xf numFmtId="0" fontId="83" fillId="0" borderId="45" xfId="18" applyFont="1" applyBorder="1" applyAlignment="1">
      <alignment vertical="center"/>
    </xf>
    <xf numFmtId="1" fontId="83" fillId="48" borderId="56" xfId="18" applyNumberFormat="1" applyFont="1" applyFill="1" applyBorder="1"/>
    <xf numFmtId="1" fontId="83" fillId="0" borderId="56" xfId="18" applyNumberFormat="1" applyFont="1" applyBorder="1" applyAlignment="1">
      <alignment vertical="center"/>
    </xf>
    <xf numFmtId="1" fontId="83" fillId="0" borderId="45" xfId="18" applyNumberFormat="1" applyFont="1" applyBorder="1" applyAlignment="1">
      <alignment vertical="center"/>
    </xf>
    <xf numFmtId="3" fontId="89" fillId="0" borderId="0" xfId="0" applyNumberFormat="1" applyFont="1" applyAlignment="1">
      <alignment vertical="center"/>
    </xf>
    <xf numFmtId="3" fontId="84" fillId="12" borderId="44" xfId="18" applyNumberFormat="1" applyFont="1" applyFill="1" applyBorder="1" applyAlignment="1">
      <alignment vertical="center" wrapText="1"/>
    </xf>
    <xf numFmtId="3" fontId="84" fillId="12" borderId="22" xfId="18" applyNumberFormat="1" applyFont="1" applyFill="1" applyBorder="1" applyAlignment="1">
      <alignment vertical="center" wrapText="1"/>
    </xf>
    <xf numFmtId="3" fontId="84" fillId="12" borderId="0" xfId="18" applyNumberFormat="1" applyFont="1" applyFill="1" applyAlignment="1">
      <alignment vertical="center" wrapText="1"/>
    </xf>
    <xf numFmtId="3" fontId="78" fillId="54" borderId="56" xfId="0" applyNumberFormat="1" applyFont="1" applyFill="1" applyBorder="1" applyAlignment="1">
      <alignment vertical="center"/>
    </xf>
    <xf numFmtId="3" fontId="78" fillId="55" borderId="45" xfId="0" applyNumberFormat="1" applyFont="1" applyFill="1" applyBorder="1" applyAlignment="1">
      <alignment vertical="center"/>
    </xf>
    <xf numFmtId="3" fontId="78" fillId="0" borderId="56" xfId="0" applyNumberFormat="1" applyFont="1" applyBorder="1" applyAlignment="1">
      <alignment vertical="center"/>
    </xf>
    <xf numFmtId="3" fontId="78" fillId="0" borderId="45" xfId="0" applyNumberFormat="1" applyFont="1" applyBorder="1" applyAlignment="1">
      <alignment vertical="center"/>
    </xf>
    <xf numFmtId="3" fontId="78" fillId="0" borderId="44" xfId="0" applyNumberFormat="1" applyFont="1" applyBorder="1" applyAlignment="1">
      <alignment vertical="center"/>
    </xf>
    <xf numFmtId="3" fontId="78" fillId="0" borderId="22" xfId="0" applyNumberFormat="1" applyFont="1" applyBorder="1" applyAlignment="1">
      <alignment vertical="center"/>
    </xf>
    <xf numFmtId="3" fontId="81" fillId="0" borderId="56" xfId="0" applyNumberFormat="1" applyFont="1" applyBorder="1" applyAlignment="1">
      <alignment vertical="center"/>
    </xf>
    <xf numFmtId="3" fontId="81" fillId="0" borderId="45" xfId="0" applyNumberFormat="1" applyFont="1" applyBorder="1" applyAlignment="1">
      <alignment vertical="center"/>
    </xf>
    <xf numFmtId="3" fontId="81" fillId="0" borderId="56" xfId="18" applyNumberFormat="1" applyFont="1" applyBorder="1" applyAlignment="1">
      <alignment vertical="center"/>
    </xf>
    <xf numFmtId="3" fontId="81" fillId="0" borderId="45" xfId="18" applyNumberFormat="1" applyFont="1" applyBorder="1" applyAlignment="1">
      <alignment vertical="center"/>
    </xf>
    <xf numFmtId="3" fontId="90" fillId="0" borderId="52" xfId="23" applyNumberFormat="1" applyFont="1" applyBorder="1" applyAlignment="1" applyProtection="1">
      <alignment horizontal="right" vertical="center"/>
      <protection locked="0"/>
    </xf>
    <xf numFmtId="3" fontId="90" fillId="0" borderId="50" xfId="23" applyNumberFormat="1" applyFont="1" applyBorder="1" applyAlignment="1" applyProtection="1">
      <alignment horizontal="right" vertical="center"/>
      <protection locked="0"/>
    </xf>
    <xf numFmtId="172" fontId="91" fillId="16" borderId="56" xfId="0" applyNumberFormat="1" applyFont="1" applyFill="1" applyBorder="1" applyAlignment="1">
      <alignment horizontal="right"/>
    </xf>
    <xf numFmtId="172" fontId="91" fillId="16" borderId="45" xfId="0" applyNumberFormat="1" applyFont="1" applyFill="1" applyBorder="1" applyAlignment="1">
      <alignment horizontal="right"/>
    </xf>
    <xf numFmtId="172" fontId="91" fillId="0" borderId="45" xfId="0" applyNumberFormat="1" applyFont="1" applyBorder="1" applyAlignment="1">
      <alignment horizontal="right"/>
    </xf>
    <xf numFmtId="3" fontId="90" fillId="44" borderId="44" xfId="23" applyNumberFormat="1" applyFont="1" applyFill="1" applyBorder="1" applyAlignment="1" applyProtection="1">
      <alignment vertical="center"/>
      <protection locked="0"/>
    </xf>
    <xf numFmtId="3" fontId="90" fillId="44" borderId="22" xfId="23" applyNumberFormat="1" applyFont="1" applyFill="1" applyBorder="1" applyAlignment="1" applyProtection="1">
      <alignment vertical="center"/>
      <protection locked="0"/>
    </xf>
    <xf numFmtId="3" fontId="90" fillId="44" borderId="0" xfId="23" applyNumberFormat="1" applyFont="1" applyFill="1" applyAlignment="1" applyProtection="1">
      <alignment vertical="center"/>
      <protection locked="0"/>
    </xf>
    <xf numFmtId="3" fontId="90" fillId="28" borderId="45" xfId="23" applyNumberFormat="1" applyFont="1" applyFill="1" applyBorder="1" applyAlignment="1" applyProtection="1">
      <alignment vertical="center"/>
      <protection locked="0"/>
    </xf>
    <xf numFmtId="3" fontId="78" fillId="45" borderId="56" xfId="18" applyNumberFormat="1" applyFont="1" applyFill="1" applyBorder="1" applyAlignment="1">
      <alignment vertical="center"/>
    </xf>
    <xf numFmtId="0" fontId="81" fillId="43" borderId="54" xfId="0" applyFont="1" applyFill="1" applyBorder="1"/>
    <xf numFmtId="0" fontId="81" fillId="43" borderId="42" xfId="0" applyFont="1" applyFill="1" applyBorder="1"/>
    <xf numFmtId="0" fontId="81" fillId="0" borderId="41" xfId="0" applyFont="1" applyBorder="1"/>
    <xf numFmtId="0" fontId="68" fillId="27" borderId="0" xfId="0" applyFont="1" applyFill="1" applyAlignment="1">
      <alignment horizontal="centerContinuous" vertical="center"/>
    </xf>
    <xf numFmtId="0" fontId="69" fillId="49" borderId="37" xfId="17" applyFont="1" applyFill="1" applyBorder="1" applyAlignment="1" applyProtection="1">
      <alignment horizontal="center" wrapText="1"/>
      <protection locked="0"/>
    </xf>
    <xf numFmtId="0" fontId="69" fillId="49" borderId="19" xfId="17" applyFont="1" applyFill="1" applyBorder="1" applyAlignment="1" applyProtection="1">
      <alignment horizontal="center" wrapText="1"/>
      <protection locked="0"/>
    </xf>
    <xf numFmtId="0" fontId="69" fillId="49" borderId="37" xfId="23" applyFont="1" applyFill="1" applyBorder="1" applyAlignment="1" applyProtection="1">
      <alignment horizontal="center" wrapText="1"/>
      <protection locked="0"/>
    </xf>
    <xf numFmtId="0" fontId="70" fillId="49" borderId="38" xfId="23" applyFont="1" applyFill="1" applyBorder="1" applyAlignment="1" applyProtection="1">
      <alignment horizontal="center" wrapText="1"/>
      <protection locked="0"/>
    </xf>
    <xf numFmtId="0" fontId="69" fillId="49" borderId="39" xfId="23" applyFont="1" applyFill="1" applyBorder="1" applyAlignment="1" applyProtection="1">
      <alignment horizontal="center" wrapText="1"/>
      <protection locked="0"/>
    </xf>
    <xf numFmtId="0" fontId="72" fillId="27" borderId="44" xfId="18" applyFont="1" applyFill="1" applyBorder="1" applyAlignment="1">
      <alignment horizontal="center" vertical="center"/>
    </xf>
    <xf numFmtId="0" fontId="72" fillId="27" borderId="22" xfId="18" applyFont="1" applyFill="1" applyBorder="1" applyAlignment="1">
      <alignment horizontal="center" vertical="center"/>
    </xf>
    <xf numFmtId="14" fontId="73" fillId="27" borderId="41" xfId="18" applyNumberFormat="1" applyFont="1" applyFill="1" applyBorder="1" applyAlignment="1">
      <alignment horizontal="center" vertical="center" wrapText="1"/>
    </xf>
    <xf numFmtId="0" fontId="74" fillId="27" borderId="45" xfId="18" applyFont="1" applyFill="1" applyBorder="1" applyAlignment="1">
      <alignment horizontal="center" vertical="center" wrapText="1"/>
    </xf>
    <xf numFmtId="0" fontId="73" fillId="27" borderId="41" xfId="18" applyFont="1" applyFill="1" applyBorder="1" applyAlignment="1">
      <alignment horizontal="center" vertical="center" wrapText="1"/>
    </xf>
    <xf numFmtId="3" fontId="75" fillId="43" borderId="44" xfId="17" applyNumberFormat="1" applyFont="1" applyFill="1" applyBorder="1"/>
    <xf numFmtId="3" fontId="75" fillId="43" borderId="22" xfId="17" applyNumberFormat="1" applyFont="1" applyFill="1" applyBorder="1"/>
    <xf numFmtId="3" fontId="75" fillId="43" borderId="44" xfId="23" applyNumberFormat="1" applyFont="1" applyFill="1" applyBorder="1"/>
    <xf numFmtId="3" fontId="75" fillId="0" borderId="45" xfId="0" applyNumberFormat="1" applyFont="1" applyBorder="1" applyAlignment="1">
      <alignment horizontal="right"/>
    </xf>
    <xf numFmtId="1" fontId="77" fillId="46" borderId="0" xfId="18" applyNumberFormat="1" applyFont="1" applyFill="1" applyAlignment="1">
      <alignment vertical="center"/>
    </xf>
    <xf numFmtId="9" fontId="77" fillId="46" borderId="0" xfId="18" applyNumberFormat="1" applyFont="1" applyFill="1" applyAlignment="1">
      <alignment vertical="center"/>
    </xf>
    <xf numFmtId="0" fontId="80" fillId="45" borderId="44" xfId="18" applyFont="1" applyFill="1" applyBorder="1" applyAlignment="1">
      <alignment horizontal="right" vertical="center" indent="1"/>
    </xf>
    <xf numFmtId="0" fontId="80" fillId="45" borderId="22" xfId="18" applyFont="1" applyFill="1" applyBorder="1" applyAlignment="1">
      <alignment horizontal="right" vertical="center" indent="1"/>
    </xf>
    <xf numFmtId="0" fontId="80" fillId="27" borderId="44" xfId="18" applyFont="1" applyFill="1" applyBorder="1" applyAlignment="1">
      <alignment horizontal="right" vertical="center" indent="1"/>
    </xf>
    <xf numFmtId="0" fontId="80" fillId="27" borderId="22" xfId="18" applyFont="1" applyFill="1" applyBorder="1" applyAlignment="1">
      <alignment horizontal="right" vertical="center" indent="1"/>
    </xf>
    <xf numFmtId="0" fontId="80" fillId="27" borderId="45" xfId="18" applyFont="1" applyFill="1" applyBorder="1" applyAlignment="1">
      <alignment horizontal="right" vertical="center" indent="1"/>
    </xf>
    <xf numFmtId="176" fontId="89" fillId="0" borderId="44" xfId="17" applyNumberFormat="1" applyFont="1" applyBorder="1"/>
    <xf numFmtId="176" fontId="89" fillId="0" borderId="22" xfId="17" applyNumberFormat="1" applyFont="1" applyBorder="1"/>
    <xf numFmtId="176" fontId="89" fillId="0" borderId="44" xfId="23" applyNumberFormat="1" applyFont="1" applyBorder="1"/>
    <xf numFmtId="176" fontId="89" fillId="0" borderId="45" xfId="23" applyNumberFormat="1" applyFont="1" applyBorder="1"/>
    <xf numFmtId="3" fontId="75" fillId="0" borderId="22" xfId="18" applyNumberFormat="1" applyFont="1" applyBorder="1" applyAlignment="1">
      <alignment vertical="center" wrapText="1"/>
    </xf>
    <xf numFmtId="3" fontId="75" fillId="0" borderId="44" xfId="18" applyNumberFormat="1" applyFont="1" applyBorder="1" applyAlignment="1">
      <alignment vertical="center" wrapText="1"/>
    </xf>
    <xf numFmtId="9" fontId="78" fillId="0" borderId="44" xfId="18" applyNumberFormat="1" applyFont="1" applyBorder="1" applyAlignment="1">
      <alignment vertical="center" wrapText="1"/>
    </xf>
    <xf numFmtId="9" fontId="78" fillId="0" borderId="22" xfId="18" applyNumberFormat="1" applyFont="1" applyBorder="1" applyAlignment="1">
      <alignment vertical="center" wrapText="1"/>
    </xf>
    <xf numFmtId="9" fontId="78" fillId="0" borderId="45" xfId="18" applyNumberFormat="1" applyFont="1" applyBorder="1" applyAlignment="1">
      <alignment vertical="center" wrapText="1"/>
    </xf>
    <xf numFmtId="3" fontId="84" fillId="0" borderId="44" xfId="18" applyNumberFormat="1" applyFont="1" applyBorder="1" applyAlignment="1">
      <alignment vertical="center" wrapText="1"/>
    </xf>
    <xf numFmtId="3" fontId="84" fillId="0" borderId="22" xfId="18" applyNumberFormat="1" applyFont="1" applyBorder="1" applyAlignment="1">
      <alignment vertical="center" wrapText="1"/>
    </xf>
    <xf numFmtId="3" fontId="84" fillId="0" borderId="58" xfId="18" applyNumberFormat="1" applyFont="1" applyBorder="1" applyAlignment="1">
      <alignment vertical="center" wrapText="1"/>
    </xf>
    <xf numFmtId="3" fontId="89" fillId="0" borderId="44" xfId="18" applyNumberFormat="1" applyFont="1" applyBorder="1" applyAlignment="1">
      <alignment vertical="center"/>
    </xf>
    <xf numFmtId="3" fontId="89" fillId="0" borderId="22" xfId="18" applyNumberFormat="1" applyFont="1" applyBorder="1" applyAlignment="1">
      <alignment vertical="center"/>
    </xf>
    <xf numFmtId="1" fontId="78" fillId="0" borderId="44" xfId="18" applyNumberFormat="1" applyFont="1" applyBorder="1" applyAlignment="1">
      <alignment vertical="center"/>
    </xf>
    <xf numFmtId="1" fontId="78" fillId="0" borderId="22" xfId="18" applyNumberFormat="1" applyFont="1" applyBorder="1" applyAlignment="1">
      <alignment vertical="center"/>
    </xf>
    <xf numFmtId="3" fontId="90" fillId="0" borderId="24" xfId="23" applyNumberFormat="1" applyFont="1" applyBorder="1" applyAlignment="1" applyProtection="1">
      <alignment horizontal="right" vertical="center"/>
      <protection locked="0"/>
    </xf>
    <xf numFmtId="3" fontId="90" fillId="0" borderId="26" xfId="23" applyNumberFormat="1" applyFont="1" applyBorder="1" applyAlignment="1" applyProtection="1">
      <alignment horizontal="right" vertical="center"/>
      <protection locked="0"/>
    </xf>
    <xf numFmtId="3" fontId="83" fillId="0" borderId="44" xfId="18" applyNumberFormat="1" applyFont="1" applyBorder="1"/>
    <xf numFmtId="3" fontId="83" fillId="0" borderId="22" xfId="18" applyNumberFormat="1" applyFont="1" applyBorder="1"/>
    <xf numFmtId="0" fontId="83" fillId="0" borderId="45" xfId="18" applyFont="1" applyBorder="1"/>
    <xf numFmtId="1" fontId="83" fillId="50" borderId="44" xfId="18" applyNumberFormat="1" applyFont="1" applyFill="1" applyBorder="1"/>
    <xf numFmtId="1" fontId="83" fillId="50" borderId="22" xfId="18" applyNumberFormat="1" applyFont="1" applyFill="1" applyBorder="1"/>
    <xf numFmtId="1" fontId="83" fillId="50" borderId="45" xfId="18" applyNumberFormat="1" applyFont="1" applyFill="1" applyBorder="1"/>
    <xf numFmtId="1" fontId="78" fillId="45" borderId="44" xfId="18" applyNumberFormat="1" applyFont="1" applyFill="1" applyBorder="1" applyAlignment="1">
      <alignment vertical="center"/>
    </xf>
    <xf numFmtId="3" fontId="92" fillId="45" borderId="44" xfId="18" applyNumberFormat="1" applyFont="1" applyFill="1" applyBorder="1" applyAlignment="1">
      <alignment vertical="center" wrapText="1"/>
    </xf>
    <xf numFmtId="3" fontId="92" fillId="45" borderId="22" xfId="18" applyNumberFormat="1" applyFont="1" applyFill="1" applyBorder="1" applyAlignment="1">
      <alignment vertical="center" wrapText="1"/>
    </xf>
    <xf numFmtId="3" fontId="92" fillId="0" borderId="44" xfId="18" applyNumberFormat="1" applyFont="1" applyBorder="1" applyAlignment="1">
      <alignment vertical="center" wrapText="1"/>
    </xf>
    <xf numFmtId="3" fontId="92" fillId="0" borderId="45" xfId="18" applyNumberFormat="1" applyFont="1" applyBorder="1" applyAlignment="1">
      <alignment vertical="center" wrapText="1"/>
    </xf>
    <xf numFmtId="3" fontId="92" fillId="45" borderId="45" xfId="18" applyNumberFormat="1" applyFont="1" applyFill="1" applyBorder="1" applyAlignment="1">
      <alignment vertical="center" wrapText="1"/>
    </xf>
    <xf numFmtId="1" fontId="78" fillId="52" borderId="45" xfId="18" applyNumberFormat="1" applyFont="1" applyFill="1" applyBorder="1" applyAlignment="1">
      <alignment horizontal="right" vertical="center"/>
    </xf>
    <xf numFmtId="1" fontId="78" fillId="53" borderId="45" xfId="18" applyNumberFormat="1" applyFont="1" applyFill="1" applyBorder="1" applyAlignment="1">
      <alignment vertical="center"/>
    </xf>
    <xf numFmtId="0" fontId="83" fillId="0" borderId="37" xfId="18" applyFont="1" applyBorder="1" applyAlignment="1">
      <alignment horizontal="center"/>
    </xf>
    <xf numFmtId="0" fontId="83" fillId="0" borderId="19" xfId="18" applyFont="1" applyBorder="1" applyAlignment="1">
      <alignment horizontal="center"/>
    </xf>
    <xf numFmtId="1" fontId="83" fillId="0" borderId="45" xfId="18" applyNumberFormat="1" applyFont="1" applyBorder="1" applyAlignment="1">
      <alignment horizontal="center"/>
    </xf>
    <xf numFmtId="3" fontId="90" fillId="49" borderId="44" xfId="23" applyNumberFormat="1" applyFont="1" applyFill="1" applyBorder="1" applyAlignment="1" applyProtection="1">
      <alignment vertical="center"/>
      <protection locked="0"/>
    </xf>
    <xf numFmtId="3" fontId="90" fillId="49" borderId="22" xfId="23" applyNumberFormat="1" applyFont="1" applyFill="1" applyBorder="1" applyAlignment="1" applyProtection="1">
      <alignment vertical="center"/>
      <protection locked="0"/>
    </xf>
    <xf numFmtId="3" fontId="90" fillId="49" borderId="45" xfId="23" applyNumberFormat="1" applyFont="1" applyFill="1" applyBorder="1" applyAlignment="1" applyProtection="1">
      <alignment vertical="center"/>
      <protection locked="0"/>
    </xf>
    <xf numFmtId="1" fontId="78" fillId="45" borderId="45" xfId="18" applyNumberFormat="1" applyFont="1" applyFill="1" applyBorder="1" applyAlignment="1">
      <alignment vertical="center"/>
    </xf>
    <xf numFmtId="1" fontId="78" fillId="45" borderId="23" xfId="18" applyNumberFormat="1" applyFont="1" applyFill="1" applyBorder="1" applyAlignment="1">
      <alignment vertical="center"/>
    </xf>
    <xf numFmtId="1" fontId="78" fillId="45" borderId="40" xfId="18" applyNumberFormat="1" applyFont="1" applyFill="1" applyBorder="1" applyAlignment="1">
      <alignment vertical="center"/>
    </xf>
    <xf numFmtId="1" fontId="78" fillId="0" borderId="41" xfId="18" applyNumberFormat="1" applyFont="1" applyBorder="1" applyAlignment="1">
      <alignment vertical="center"/>
    </xf>
    <xf numFmtId="1" fontId="78" fillId="0" borderId="42" xfId="18" applyNumberFormat="1" applyFont="1" applyBorder="1" applyAlignment="1">
      <alignment vertical="center"/>
    </xf>
    <xf numFmtId="0" fontId="69" fillId="49" borderId="19" xfId="23" applyFont="1" applyFill="1" applyBorder="1" applyAlignment="1" applyProtection="1">
      <alignment horizontal="center" wrapText="1"/>
      <protection locked="0"/>
    </xf>
    <xf numFmtId="0" fontId="93" fillId="27" borderId="44" xfId="18" applyFont="1" applyFill="1" applyBorder="1" applyAlignment="1">
      <alignment horizontal="center" vertical="center"/>
    </xf>
    <xf numFmtId="0" fontId="93" fillId="27" borderId="22" xfId="18" applyFont="1" applyFill="1" applyBorder="1" applyAlignment="1">
      <alignment horizontal="center" vertical="center"/>
    </xf>
    <xf numFmtId="0" fontId="72" fillId="27" borderId="56" xfId="18" applyFont="1" applyFill="1" applyBorder="1" applyAlignment="1">
      <alignment horizontal="center" vertical="center" wrapText="1"/>
    </xf>
    <xf numFmtId="1" fontId="75" fillId="0" borderId="22" xfId="0" applyNumberFormat="1" applyFont="1" applyBorder="1"/>
    <xf numFmtId="1" fontId="75" fillId="0" borderId="22" xfId="0" applyNumberFormat="1" applyFont="1" applyBorder="1" applyAlignment="1">
      <alignment horizontal="right"/>
    </xf>
    <xf numFmtId="0" fontId="78" fillId="0" borderId="22" xfId="0" applyFont="1" applyBorder="1" applyAlignment="1">
      <alignment horizontal="right"/>
    </xf>
    <xf numFmtId="3" fontId="78" fillId="0" borderId="22" xfId="18" applyNumberFormat="1" applyFont="1" applyBorder="1" applyAlignment="1">
      <alignment horizontal="right" vertical="center" indent="1"/>
    </xf>
    <xf numFmtId="0" fontId="75" fillId="27" borderId="22" xfId="18" applyFont="1" applyFill="1" applyBorder="1" applyAlignment="1">
      <alignment horizontal="right" vertical="center" indent="1"/>
    </xf>
    <xf numFmtId="0" fontId="75" fillId="27" borderId="45" xfId="18" applyFont="1" applyFill="1" applyBorder="1" applyAlignment="1">
      <alignment horizontal="right" vertical="center" indent="1"/>
    </xf>
    <xf numFmtId="1" fontId="89" fillId="0" borderId="22" xfId="18" applyNumberFormat="1" applyFont="1" applyBorder="1" applyAlignment="1">
      <alignment vertical="center"/>
    </xf>
    <xf numFmtId="1" fontId="89" fillId="0" borderId="45" xfId="18" applyNumberFormat="1" applyFont="1" applyBorder="1" applyAlignment="1">
      <alignment vertical="center"/>
    </xf>
    <xf numFmtId="1" fontId="75" fillId="0" borderId="45" xfId="0" applyNumberFormat="1" applyFont="1" applyBorder="1"/>
    <xf numFmtId="9" fontId="78" fillId="45" borderId="22" xfId="18" applyNumberFormat="1" applyFont="1" applyFill="1" applyBorder="1" applyAlignment="1">
      <alignment vertical="center" wrapText="1"/>
    </xf>
    <xf numFmtId="9" fontId="78" fillId="45" borderId="45" xfId="18" applyNumberFormat="1" applyFont="1" applyFill="1" applyBorder="1" applyAlignment="1">
      <alignment vertical="center" wrapText="1"/>
    </xf>
    <xf numFmtId="3" fontId="84" fillId="45" borderId="22" xfId="18" applyNumberFormat="1" applyFont="1" applyFill="1" applyBorder="1" applyAlignment="1">
      <alignment vertical="center" wrapText="1"/>
    </xf>
    <xf numFmtId="3" fontId="89" fillId="45" borderId="45" xfId="18" applyNumberFormat="1" applyFont="1" applyFill="1" applyBorder="1" applyAlignment="1">
      <alignment vertical="center" wrapText="1"/>
    </xf>
    <xf numFmtId="3" fontId="89" fillId="0" borderId="45" xfId="18" applyNumberFormat="1" applyFont="1" applyBorder="1" applyAlignment="1">
      <alignment vertical="center" wrapText="1"/>
    </xf>
    <xf numFmtId="1" fontId="78" fillId="0" borderId="47" xfId="18" applyNumberFormat="1" applyFont="1" applyBorder="1" applyAlignment="1">
      <alignment vertical="center"/>
    </xf>
    <xf numFmtId="3" fontId="89" fillId="0" borderId="26" xfId="23" applyNumberFormat="1" applyFont="1" applyBorder="1" applyAlignment="1" applyProtection="1">
      <alignment horizontal="right" vertical="center"/>
      <protection locked="0"/>
    </xf>
    <xf numFmtId="3" fontId="89" fillId="0" borderId="51" xfId="23" applyNumberFormat="1" applyFont="1" applyBorder="1" applyAlignment="1" applyProtection="1">
      <alignment horizontal="right" vertical="center"/>
      <protection locked="0"/>
    </xf>
    <xf numFmtId="1" fontId="85" fillId="45" borderId="45" xfId="18" applyNumberFormat="1" applyFont="1" applyFill="1" applyBorder="1"/>
    <xf numFmtId="1" fontId="85" fillId="50" borderId="22" xfId="18" applyNumberFormat="1" applyFont="1" applyFill="1" applyBorder="1"/>
    <xf numFmtId="1" fontId="85" fillId="50" borderId="45" xfId="18" applyNumberFormat="1" applyFont="1" applyFill="1" applyBorder="1"/>
    <xf numFmtId="0" fontId="81" fillId="0" borderId="22" xfId="17" applyFont="1" applyBorder="1" applyAlignment="1" applyProtection="1">
      <alignment horizontal="center"/>
      <protection locked="0"/>
    </xf>
    <xf numFmtId="0" fontId="81" fillId="0" borderId="22" xfId="23" applyFont="1" applyBorder="1" applyAlignment="1" applyProtection="1">
      <alignment horizontal="center"/>
      <protection locked="0"/>
    </xf>
    <xf numFmtId="0" fontId="81" fillId="0" borderId="45" xfId="23" applyFont="1" applyBorder="1" applyAlignment="1" applyProtection="1">
      <alignment horizontal="center"/>
      <protection locked="0"/>
    </xf>
    <xf numFmtId="3" fontId="84" fillId="12" borderId="58" xfId="18" applyNumberFormat="1" applyFont="1" applyFill="1" applyBorder="1" applyAlignment="1">
      <alignment vertical="center" wrapText="1"/>
    </xf>
    <xf numFmtId="1" fontId="84" fillId="12" borderId="45" xfId="18" applyNumberFormat="1" applyFont="1" applyFill="1" applyBorder="1" applyAlignment="1">
      <alignment vertical="center"/>
    </xf>
    <xf numFmtId="1" fontId="78" fillId="45" borderId="47" xfId="18" applyNumberFormat="1" applyFont="1" applyFill="1" applyBorder="1" applyAlignment="1">
      <alignment vertical="center"/>
    </xf>
    <xf numFmtId="3" fontId="85" fillId="56" borderId="45" xfId="0" applyNumberFormat="1" applyFont="1" applyFill="1" applyBorder="1" applyAlignment="1">
      <alignment horizontal="right" vertical="center" indent="1"/>
    </xf>
    <xf numFmtId="1" fontId="89" fillId="49" borderId="22" xfId="23" applyNumberFormat="1" applyFont="1" applyFill="1" applyBorder="1" applyAlignment="1" applyProtection="1">
      <alignment vertical="center"/>
      <protection locked="0"/>
    </xf>
    <xf numFmtId="1" fontId="89" fillId="49" borderId="58" xfId="23" applyNumberFormat="1" applyFont="1" applyFill="1" applyBorder="1" applyAlignment="1" applyProtection="1">
      <alignment vertical="center"/>
      <protection locked="0"/>
    </xf>
    <xf numFmtId="1" fontId="89" fillId="49" borderId="45" xfId="23" applyNumberFormat="1" applyFont="1" applyFill="1" applyBorder="1" applyAlignment="1" applyProtection="1">
      <alignment vertical="center"/>
      <protection locked="0"/>
    </xf>
    <xf numFmtId="1" fontId="78" fillId="0" borderId="23" xfId="18" applyNumberFormat="1" applyFont="1" applyBorder="1" applyAlignment="1">
      <alignment vertical="center"/>
    </xf>
    <xf numFmtId="1" fontId="78" fillId="45" borderId="42" xfId="18" applyNumberFormat="1" applyFont="1" applyFill="1" applyBorder="1" applyAlignment="1">
      <alignment vertical="center"/>
    </xf>
    <xf numFmtId="1" fontId="78" fillId="45" borderId="41" xfId="18" applyNumberFormat="1" applyFont="1" applyFill="1" applyBorder="1" applyAlignment="1">
      <alignment vertical="center"/>
    </xf>
    <xf numFmtId="3" fontId="47" fillId="0" borderId="22" xfId="16" applyNumberFormat="1" applyFont="1" applyBorder="1" applyAlignment="1">
      <alignment vertical="center"/>
    </xf>
    <xf numFmtId="1" fontId="94" fillId="46" borderId="22" xfId="18" applyNumberFormat="1" applyFont="1" applyFill="1" applyBorder="1" applyAlignment="1">
      <alignment vertical="center"/>
    </xf>
    <xf numFmtId="3" fontId="85" fillId="0" borderId="44" xfId="0" applyNumberFormat="1" applyFont="1" applyBorder="1" applyAlignment="1">
      <alignment horizontal="right"/>
    </xf>
    <xf numFmtId="1" fontId="81" fillId="46" borderId="44" xfId="18" applyNumberFormat="1" applyFont="1" applyFill="1" applyBorder="1" applyAlignment="1">
      <alignment vertical="center"/>
    </xf>
    <xf numFmtId="3" fontId="85" fillId="45" borderId="45" xfId="0" applyNumberFormat="1" applyFont="1" applyFill="1" applyBorder="1" applyAlignment="1">
      <alignment vertical="center"/>
    </xf>
    <xf numFmtId="1" fontId="81" fillId="46" borderId="45" xfId="18" applyNumberFormat="1" applyFont="1" applyFill="1" applyBorder="1" applyAlignment="1">
      <alignment vertical="center"/>
    </xf>
    <xf numFmtId="3" fontId="47" fillId="0" borderId="22" xfId="18" applyNumberFormat="1" applyFont="1" applyBorder="1" applyAlignment="1">
      <alignment vertical="center"/>
    </xf>
    <xf numFmtId="3" fontId="85" fillId="0" borderId="44" xfId="18" applyNumberFormat="1" applyFont="1" applyBorder="1" applyAlignment="1">
      <alignment vertical="center"/>
    </xf>
    <xf numFmtId="3" fontId="94" fillId="0" borderId="22" xfId="18" applyNumberFormat="1" applyFont="1" applyBorder="1" applyAlignment="1">
      <alignment vertical="center"/>
    </xf>
    <xf numFmtId="3" fontId="81" fillId="12" borderId="44" xfId="18" applyNumberFormat="1" applyFont="1" applyFill="1" applyBorder="1" applyAlignment="1">
      <alignment vertical="center" wrapText="1"/>
    </xf>
    <xf numFmtId="3" fontId="81" fillId="12" borderId="45" xfId="18" applyNumberFormat="1" applyFont="1" applyFill="1" applyBorder="1" applyAlignment="1">
      <alignment vertical="center" wrapText="1"/>
    </xf>
    <xf numFmtId="3" fontId="94" fillId="0" borderId="22" xfId="16" applyNumberFormat="1" applyFont="1" applyBorder="1" applyAlignment="1" applyProtection="1">
      <alignment vertical="center"/>
      <protection locked="0"/>
    </xf>
    <xf numFmtId="3" fontId="81" fillId="0" borderId="44" xfId="0" applyNumberFormat="1" applyFont="1" applyBorder="1" applyAlignment="1" applyProtection="1">
      <alignment vertical="center"/>
      <protection locked="0"/>
    </xf>
    <xf numFmtId="3" fontId="94" fillId="45" borderId="22" xfId="16" applyNumberFormat="1" applyFont="1" applyFill="1" applyBorder="1" applyAlignment="1" applyProtection="1">
      <alignment vertical="center"/>
      <protection locked="0"/>
    </xf>
    <xf numFmtId="3" fontId="81" fillId="0" borderId="45" xfId="0" applyNumberFormat="1" applyFont="1" applyBorder="1" applyAlignment="1" applyProtection="1">
      <alignment vertical="center" wrapText="1"/>
      <protection locked="0"/>
    </xf>
    <xf numFmtId="3" fontId="81" fillId="0" borderId="22" xfId="0" applyNumberFormat="1" applyFont="1" applyBorder="1" applyAlignment="1" applyProtection="1">
      <alignment vertical="center"/>
      <protection locked="0"/>
    </xf>
    <xf numFmtId="3" fontId="47" fillId="0" borderId="22" xfId="16" applyNumberFormat="1" applyFont="1" applyBorder="1" applyAlignment="1">
      <alignment horizontal="right" vertical="center" indent="1"/>
    </xf>
    <xf numFmtId="3" fontId="94" fillId="0" borderId="22" xfId="16" applyNumberFormat="1" applyFont="1" applyBorder="1" applyAlignment="1" applyProtection="1">
      <alignment vertical="center" wrapText="1"/>
      <protection locked="0"/>
    </xf>
    <xf numFmtId="3" fontId="85" fillId="0" borderId="44" xfId="0" applyNumberFormat="1" applyFont="1" applyBorder="1"/>
    <xf numFmtId="3" fontId="81" fillId="45" borderId="44" xfId="0" applyNumberFormat="1" applyFont="1" applyFill="1" applyBorder="1" applyAlignment="1" applyProtection="1">
      <alignment vertical="center" wrapText="1"/>
      <protection locked="0"/>
    </xf>
    <xf numFmtId="3" fontId="81" fillId="45" borderId="45" xfId="0" applyNumberFormat="1" applyFont="1" applyFill="1" applyBorder="1" applyAlignment="1" applyProtection="1">
      <alignment vertical="center" wrapText="1"/>
      <protection locked="0"/>
    </xf>
    <xf numFmtId="3" fontId="81" fillId="45" borderId="22" xfId="0" applyNumberFormat="1" applyFont="1" applyFill="1" applyBorder="1" applyAlignment="1" applyProtection="1">
      <alignment vertical="center" wrapText="1"/>
      <protection locked="0"/>
    </xf>
    <xf numFmtId="3" fontId="94" fillId="45" borderId="22" xfId="16" applyNumberFormat="1" applyFont="1" applyFill="1" applyBorder="1" applyAlignment="1" applyProtection="1">
      <alignment vertical="center" wrapText="1"/>
      <protection locked="0"/>
    </xf>
    <xf numFmtId="1" fontId="47" fillId="0" borderId="22" xfId="18" applyNumberFormat="1" applyFont="1" applyBorder="1" applyAlignment="1">
      <alignment vertical="center"/>
    </xf>
    <xf numFmtId="3" fontId="94" fillId="0" borderId="22" xfId="16" applyNumberFormat="1" applyFont="1" applyBorder="1" applyAlignment="1">
      <alignment vertical="center"/>
    </xf>
    <xf numFmtId="3" fontId="94" fillId="45" borderId="22" xfId="16" applyNumberFormat="1" applyFont="1" applyFill="1" applyBorder="1" applyAlignment="1">
      <alignment vertical="center"/>
    </xf>
    <xf numFmtId="3" fontId="81" fillId="45" borderId="44" xfId="0" applyNumberFormat="1" applyFont="1" applyFill="1" applyBorder="1" applyAlignment="1">
      <alignment vertical="center"/>
    </xf>
    <xf numFmtId="3" fontId="81" fillId="0" borderId="44" xfId="0" applyNumberFormat="1" applyFont="1" applyBorder="1" applyAlignment="1">
      <alignment vertical="center"/>
    </xf>
    <xf numFmtId="3" fontId="85" fillId="0" borderId="45" xfId="0" applyNumberFormat="1" applyFont="1" applyBorder="1"/>
    <xf numFmtId="1" fontId="85" fillId="51" borderId="45" xfId="18" applyNumberFormat="1" applyFont="1" applyFill="1" applyBorder="1" applyAlignment="1">
      <alignment vertical="center"/>
    </xf>
    <xf numFmtId="3" fontId="81" fillId="54" borderId="56" xfId="0" applyNumberFormat="1" applyFont="1" applyFill="1" applyBorder="1" applyAlignment="1">
      <alignment vertical="center"/>
    </xf>
    <xf numFmtId="3" fontId="81" fillId="45" borderId="56" xfId="18" applyNumberFormat="1" applyFont="1" applyFill="1" applyBorder="1" applyAlignment="1">
      <alignment vertical="center"/>
    </xf>
    <xf numFmtId="3" fontId="47" fillId="0" borderId="22" xfId="18" applyNumberFormat="1" applyFont="1" applyBorder="1" applyAlignment="1">
      <alignment vertical="center" wrapText="1"/>
    </xf>
    <xf numFmtId="1" fontId="94" fillId="0" borderId="22" xfId="18" applyNumberFormat="1" applyFont="1" applyBorder="1" applyAlignment="1">
      <alignment vertical="center"/>
    </xf>
    <xf numFmtId="1" fontId="94" fillId="45" borderId="22" xfId="18" applyNumberFormat="1" applyFont="1" applyFill="1" applyBorder="1" applyAlignment="1">
      <alignment vertical="center"/>
    </xf>
    <xf numFmtId="3" fontId="85" fillId="0" borderId="22" xfId="18" applyNumberFormat="1" applyFont="1" applyBorder="1" applyAlignment="1">
      <alignment vertical="center" wrapText="1"/>
    </xf>
    <xf numFmtId="1" fontId="81" fillId="0" borderId="44" xfId="18" applyNumberFormat="1" applyFont="1" applyBorder="1" applyAlignment="1">
      <alignment vertical="center"/>
    </xf>
    <xf numFmtId="1" fontId="81" fillId="0" borderId="45" xfId="18" applyNumberFormat="1" applyFont="1" applyBorder="1" applyAlignment="1">
      <alignment horizontal="right" vertical="center"/>
    </xf>
    <xf numFmtId="3" fontId="81" fillId="0" borderId="45" xfId="18" applyNumberFormat="1" applyFont="1" applyBorder="1" applyAlignment="1">
      <alignment vertical="center" wrapText="1"/>
    </xf>
    <xf numFmtId="3" fontId="47" fillId="0" borderId="23" xfId="17" applyNumberFormat="1" applyFont="1" applyBorder="1" applyAlignment="1">
      <alignment horizontal="right"/>
    </xf>
    <xf numFmtId="1" fontId="85" fillId="0" borderId="22" xfId="0" applyNumberFormat="1" applyFont="1" applyBorder="1" applyAlignment="1">
      <alignment horizontal="right"/>
    </xf>
    <xf numFmtId="1" fontId="81" fillId="46" borderId="22" xfId="18" applyNumberFormat="1" applyFont="1" applyFill="1" applyBorder="1" applyAlignment="1">
      <alignment vertical="center"/>
    </xf>
    <xf numFmtId="1" fontId="85" fillId="0" borderId="22" xfId="0" applyNumberFormat="1" applyFont="1" applyBorder="1"/>
    <xf numFmtId="1" fontId="81" fillId="0" borderId="22" xfId="18" applyNumberFormat="1" applyFont="1" applyBorder="1" applyAlignment="1">
      <alignment vertical="center"/>
    </xf>
    <xf numFmtId="1" fontId="85" fillId="0" borderId="45" xfId="0" applyNumberFormat="1" applyFont="1" applyBorder="1"/>
    <xf numFmtId="1" fontId="81" fillId="56" borderId="45" xfId="18" applyNumberFormat="1" applyFont="1" applyFill="1" applyBorder="1" applyAlignment="1">
      <alignment vertical="center"/>
    </xf>
    <xf numFmtId="1" fontId="0" fillId="0" borderId="0" xfId="0" applyNumberFormat="1"/>
    <xf numFmtId="3" fontId="78" fillId="12" borderId="44" xfId="18" applyNumberFormat="1" applyFont="1" applyFill="1" applyBorder="1" applyAlignment="1">
      <alignment vertical="center" wrapText="1"/>
    </xf>
    <xf numFmtId="3" fontId="78" fillId="12" borderId="22" xfId="18" applyNumberFormat="1" applyFont="1" applyFill="1" applyBorder="1" applyAlignment="1">
      <alignment vertical="center" wrapText="1"/>
    </xf>
    <xf numFmtId="3" fontId="78" fillId="12" borderId="58" xfId="18" applyNumberFormat="1" applyFont="1" applyFill="1" applyBorder="1" applyAlignment="1">
      <alignment vertical="center" wrapText="1"/>
    </xf>
    <xf numFmtId="0" fontId="95" fillId="0" borderId="0" xfId="0" applyFont="1"/>
    <xf numFmtId="0" fontId="0" fillId="51" borderId="0" xfId="0" applyFill="1"/>
    <xf numFmtId="0" fontId="96" fillId="17" borderId="59" xfId="0" applyFont="1" applyFill="1" applyBorder="1" applyAlignment="1">
      <alignment horizontal="center" vertical="center" wrapText="1"/>
    </xf>
    <xf numFmtId="0" fontId="44" fillId="29" borderId="0" xfId="0" applyFont="1" applyFill="1" applyAlignment="1">
      <alignment horizontal="center" vertical="center" wrapText="1"/>
    </xf>
    <xf numFmtId="0" fontId="0" fillId="19" borderId="0" xfId="0" applyFill="1" applyAlignment="1">
      <alignment vertical="center"/>
    </xf>
    <xf numFmtId="0" fontId="0" fillId="51" borderId="0" xfId="0" applyFill="1" applyAlignment="1">
      <alignment vertical="center"/>
    </xf>
    <xf numFmtId="0" fontId="96" fillId="17" borderId="59" xfId="0" applyFont="1" applyFill="1" applyBorder="1" applyAlignment="1">
      <alignment horizontal="center" vertical="center"/>
    </xf>
    <xf numFmtId="0" fontId="44" fillId="29" borderId="0" xfId="0" applyFont="1" applyFill="1" applyAlignment="1">
      <alignment horizontal="center" vertical="center"/>
    </xf>
    <xf numFmtId="0" fontId="41" fillId="51" borderId="4" xfId="0" applyFont="1" applyFill="1" applyBorder="1" applyAlignment="1">
      <alignment horizontal="center" vertical="center"/>
    </xf>
    <xf numFmtId="3" fontId="98" fillId="17" borderId="59" xfId="0" applyNumberFormat="1" applyFont="1" applyFill="1" applyBorder="1" applyAlignment="1">
      <alignment horizontal="center" vertical="center"/>
    </xf>
    <xf numFmtId="3" fontId="39" fillId="29" borderId="0" xfId="0" applyNumberFormat="1" applyFont="1" applyFill="1" applyAlignment="1">
      <alignment horizontal="center" vertical="center"/>
    </xf>
    <xf numFmtId="3" fontId="41" fillId="51" borderId="4" xfId="0" applyNumberFormat="1" applyFont="1" applyFill="1" applyBorder="1" applyAlignment="1">
      <alignment horizontal="center" vertical="center"/>
    </xf>
    <xf numFmtId="10" fontId="41" fillId="51" borderId="4" xfId="0" applyNumberFormat="1" applyFont="1" applyFill="1" applyBorder="1" applyAlignment="1">
      <alignment horizontal="center" vertical="center"/>
    </xf>
    <xf numFmtId="14" fontId="104" fillId="0" borderId="0" xfId="0" applyNumberFormat="1" applyFont="1" applyAlignment="1">
      <alignment vertical="center"/>
    </xf>
    <xf numFmtId="0" fontId="96" fillId="17" borderId="64" xfId="0" applyFont="1" applyFill="1" applyBorder="1" applyAlignment="1">
      <alignment horizontal="center" vertical="center" wrapText="1"/>
    </xf>
    <xf numFmtId="0" fontId="96" fillId="17" borderId="65" xfId="0" applyFont="1" applyFill="1" applyBorder="1" applyAlignment="1">
      <alignment horizontal="center" vertical="center" wrapText="1"/>
    </xf>
    <xf numFmtId="3" fontId="107" fillId="17" borderId="59" xfId="0" applyNumberFormat="1" applyFont="1" applyFill="1" applyBorder="1" applyAlignment="1">
      <alignment horizontal="center" vertical="center"/>
    </xf>
    <xf numFmtId="0" fontId="97" fillId="17" borderId="71" xfId="0" applyFont="1" applyFill="1" applyBorder="1" applyAlignment="1">
      <alignment vertical="center"/>
    </xf>
    <xf numFmtId="10" fontId="99" fillId="0" borderId="72" xfId="15" applyNumberFormat="1" applyFont="1" applyFill="1" applyBorder="1" applyAlignment="1">
      <alignment horizontal="center" vertical="center"/>
    </xf>
    <xf numFmtId="1" fontId="41" fillId="51" borderId="33" xfId="15" applyNumberFormat="1" applyFont="1" applyFill="1" applyBorder="1" applyAlignment="1">
      <alignment horizontal="center" vertical="center"/>
    </xf>
    <xf numFmtId="0" fontId="101" fillId="51" borderId="0" xfId="0" applyFont="1" applyFill="1"/>
    <xf numFmtId="0" fontId="39" fillId="51" borderId="0" xfId="0" applyFont="1" applyFill="1"/>
    <xf numFmtId="10" fontId="0" fillId="0" borderId="0" xfId="0" applyNumberFormat="1"/>
    <xf numFmtId="0" fontId="41" fillId="51" borderId="4" xfId="25" applyFont="1" applyFill="1" applyBorder="1" applyAlignment="1">
      <alignment horizontal="center" vertical="center"/>
    </xf>
    <xf numFmtId="0" fontId="96" fillId="17" borderId="59" xfId="25" applyFont="1" applyFill="1" applyBorder="1" applyAlignment="1">
      <alignment horizontal="center" vertical="center" wrapText="1"/>
    </xf>
    <xf numFmtId="0" fontId="96" fillId="17" borderId="59" xfId="25" applyFont="1" applyFill="1" applyBorder="1" applyAlignment="1">
      <alignment horizontal="center" vertical="center"/>
    </xf>
    <xf numFmtId="9" fontId="0" fillId="0" borderId="0" xfId="15" applyFont="1"/>
    <xf numFmtId="10" fontId="99" fillId="51" borderId="4" xfId="25" applyNumberFormat="1" applyFont="1" applyFill="1" applyBorder="1" applyAlignment="1">
      <alignment horizontal="center" vertical="center"/>
    </xf>
    <xf numFmtId="0" fontId="0" fillId="0" borderId="5" xfId="0" applyBorder="1" applyAlignment="1">
      <alignment vertical="center" wrapText="1"/>
    </xf>
    <xf numFmtId="0" fontId="0" fillId="0" borderId="0" xfId="0" applyAlignment="1">
      <alignment vertical="center" wrapText="1"/>
    </xf>
    <xf numFmtId="9" fontId="108" fillId="0" borderId="0" xfId="0" applyNumberFormat="1" applyFont="1"/>
    <xf numFmtId="173" fontId="108" fillId="0" borderId="0" xfId="0" applyNumberFormat="1" applyFont="1"/>
    <xf numFmtId="0" fontId="8" fillId="0" borderId="0" xfId="0" applyFont="1"/>
    <xf numFmtId="173" fontId="0" fillId="0" borderId="0" xfId="15" applyNumberFormat="1" applyFont="1"/>
    <xf numFmtId="9" fontId="108" fillId="0" borderId="0" xfId="15" applyFont="1" applyFill="1"/>
    <xf numFmtId="0" fontId="109" fillId="0" borderId="0" xfId="0" applyFont="1"/>
    <xf numFmtId="0" fontId="110" fillId="0" borderId="0" xfId="0" applyFont="1"/>
    <xf numFmtId="0" fontId="111" fillId="57" borderId="4" xfId="0" applyFont="1" applyFill="1" applyBorder="1" applyAlignment="1">
      <alignment horizontal="left" vertical="center" wrapText="1"/>
    </xf>
    <xf numFmtId="0" fontId="111" fillId="57" borderId="4" xfId="0" applyFont="1" applyFill="1" applyBorder="1" applyAlignment="1">
      <alignment horizontal="center" vertical="center" wrapText="1"/>
    </xf>
    <xf numFmtId="1" fontId="112" fillId="0" borderId="6" xfId="0" applyNumberFormat="1" applyFont="1" applyBorder="1"/>
    <xf numFmtId="0" fontId="0" fillId="0" borderId="4" xfId="0" applyBorder="1"/>
    <xf numFmtId="0" fontId="108" fillId="0" borderId="4" xfId="0" applyFont="1" applyBorder="1" applyAlignment="1">
      <alignment horizontal="center"/>
    </xf>
    <xf numFmtId="0" fontId="10" fillId="0" borderId="4" xfId="0" applyFont="1" applyBorder="1" applyAlignment="1">
      <alignment horizontal="center"/>
    </xf>
    <xf numFmtId="0" fontId="0" fillId="0" borderId="4" xfId="0" applyBorder="1" applyAlignment="1">
      <alignment horizontal="center"/>
    </xf>
    <xf numFmtId="1" fontId="113" fillId="0" borderId="6" xfId="0" applyNumberFormat="1" applyFont="1" applyBorder="1"/>
    <xf numFmtId="0" fontId="0" fillId="0" borderId="0" xfId="0" applyAlignment="1">
      <alignment vertical="center"/>
    </xf>
    <xf numFmtId="164" fontId="0" fillId="0" borderId="0" xfId="29" applyNumberFormat="1" applyFont="1"/>
    <xf numFmtId="164" fontId="108" fillId="0" borderId="0" xfId="29" applyNumberFormat="1" applyFont="1"/>
    <xf numFmtId="0" fontId="10" fillId="40" borderId="0" xfId="0" applyFont="1" applyFill="1"/>
    <xf numFmtId="164" fontId="0" fillId="0" borderId="0" xfId="1" applyNumberFormat="1" applyFont="1"/>
    <xf numFmtId="0" fontId="108" fillId="0" borderId="0" xfId="0" applyFont="1"/>
    <xf numFmtId="1" fontId="0" fillId="0" borderId="0" xfId="0" applyNumberFormat="1" applyAlignment="1">
      <alignment horizontal="center"/>
    </xf>
    <xf numFmtId="164" fontId="108" fillId="0" borderId="0" xfId="1" applyNumberFormat="1" applyFont="1"/>
    <xf numFmtId="0" fontId="0" fillId="0" borderId="0" xfId="1" applyNumberFormat="1" applyFont="1"/>
    <xf numFmtId="166" fontId="108" fillId="0" borderId="0" xfId="9" applyNumberFormat="1" applyFont="1"/>
    <xf numFmtId="177" fontId="0" fillId="0" borderId="0" xfId="0" applyNumberFormat="1"/>
    <xf numFmtId="171" fontId="0" fillId="0" borderId="0" xfId="0" applyNumberFormat="1"/>
    <xf numFmtId="165" fontId="108" fillId="0" borderId="0" xfId="1" applyNumberFormat="1" applyFont="1"/>
    <xf numFmtId="177" fontId="108" fillId="0" borderId="0" xfId="0" applyNumberFormat="1" applyFont="1"/>
    <xf numFmtId="164" fontId="10" fillId="0" borderId="0" xfId="1" applyNumberFormat="1" applyFont="1"/>
    <xf numFmtId="0" fontId="115" fillId="17" borderId="59" xfId="25" applyFont="1" applyFill="1" applyBorder="1" applyAlignment="1">
      <alignment horizontal="center" vertical="center" wrapText="1"/>
    </xf>
    <xf numFmtId="0" fontId="115" fillId="17" borderId="59" xfId="0" applyFont="1" applyFill="1" applyBorder="1" applyAlignment="1">
      <alignment horizontal="center" vertical="center" wrapText="1"/>
    </xf>
    <xf numFmtId="9" fontId="99" fillId="51" borderId="77" xfId="27" applyFont="1" applyFill="1" applyBorder="1" applyAlignment="1">
      <alignment horizontal="center" vertical="center"/>
    </xf>
    <xf numFmtId="9" fontId="99" fillId="51" borderId="78" xfId="27" applyFont="1" applyFill="1" applyBorder="1" applyAlignment="1">
      <alignment horizontal="center" vertical="center"/>
    </xf>
    <xf numFmtId="9" fontId="99" fillId="51" borderId="20" xfId="27" applyFont="1" applyFill="1" applyBorder="1" applyAlignment="1">
      <alignment horizontal="center" vertical="center"/>
    </xf>
    <xf numFmtId="171" fontId="108" fillId="0" borderId="0" xfId="0" applyNumberFormat="1" applyFont="1"/>
    <xf numFmtId="0" fontId="10" fillId="0" borderId="0" xfId="0" applyFont="1"/>
    <xf numFmtId="0" fontId="116" fillId="0" borderId="0" xfId="0" applyFont="1" applyAlignment="1">
      <alignment horizontal="center"/>
    </xf>
    <xf numFmtId="0" fontId="117" fillId="0" borderId="0" xfId="0" applyFont="1"/>
    <xf numFmtId="1" fontId="95" fillId="0" borderId="0" xfId="0" applyNumberFormat="1" applyFont="1"/>
    <xf numFmtId="1" fontId="108" fillId="0" borderId="0" xfId="0" applyNumberFormat="1" applyFont="1"/>
    <xf numFmtId="171" fontId="95" fillId="0" borderId="0" xfId="0" applyNumberFormat="1" applyFont="1"/>
    <xf numFmtId="0" fontId="0" fillId="58" borderId="0" xfId="0" applyFill="1" applyAlignment="1">
      <alignment horizontal="center"/>
    </xf>
    <xf numFmtId="0" fontId="0" fillId="58" borderId="0" xfId="0" applyFill="1"/>
    <xf numFmtId="9" fontId="108" fillId="0" borderId="0" xfId="15" applyFont="1"/>
    <xf numFmtId="0" fontId="0" fillId="0" borderId="0" xfId="0" quotePrefix="1"/>
    <xf numFmtId="0" fontId="120" fillId="0" borderId="0" xfId="0" applyFont="1"/>
    <xf numFmtId="164" fontId="118" fillId="0" borderId="79" xfId="0" applyNumberFormat="1" applyFont="1" applyBorder="1" applyAlignment="1">
      <alignment horizontal="left"/>
    </xf>
    <xf numFmtId="1" fontId="118" fillId="0" borderId="79" xfId="0" applyNumberFormat="1" applyFont="1" applyBorder="1" applyAlignment="1">
      <alignment horizontal="center"/>
    </xf>
    <xf numFmtId="164" fontId="0" fillId="0" borderId="0" xfId="0" applyNumberFormat="1" applyAlignment="1">
      <alignment horizontal="left" indent="1"/>
    </xf>
    <xf numFmtId="0" fontId="121" fillId="0" borderId="0" xfId="0" applyFont="1"/>
    <xf numFmtId="1" fontId="0" fillId="28" borderId="0" xfId="0" applyNumberFormat="1" applyFill="1"/>
    <xf numFmtId="1" fontId="122" fillId="28" borderId="0" xfId="0" applyNumberFormat="1" applyFont="1" applyFill="1"/>
    <xf numFmtId="9" fontId="122" fillId="28" borderId="0" xfId="0" applyNumberFormat="1" applyFont="1" applyFill="1"/>
    <xf numFmtId="173" fontId="122" fillId="28" borderId="0" xfId="0" applyNumberFormat="1" applyFont="1" applyFill="1"/>
    <xf numFmtId="49" fontId="0" fillId="0" borderId="0" xfId="0" applyNumberFormat="1"/>
    <xf numFmtId="9" fontId="10" fillId="0" borderId="0" xfId="15" applyFont="1"/>
    <xf numFmtId="178" fontId="118" fillId="0" borderId="0" xfId="1" quotePrefix="1" applyNumberFormat="1" applyFont="1"/>
    <xf numFmtId="178" fontId="0" fillId="0" borderId="0" xfId="1" applyNumberFormat="1" applyFont="1"/>
    <xf numFmtId="178" fontId="118" fillId="0" borderId="0" xfId="1" applyNumberFormat="1" applyFont="1"/>
    <xf numFmtId="0" fontId="0" fillId="59" borderId="0" xfId="0" applyFill="1" applyAlignment="1">
      <alignment horizontal="center"/>
    </xf>
    <xf numFmtId="0" fontId="118" fillId="59" borderId="0" xfId="0" applyFont="1" applyFill="1" applyAlignment="1">
      <alignment horizontal="center"/>
    </xf>
    <xf numFmtId="0" fontId="118" fillId="59" borderId="0" xfId="1" quotePrefix="1" applyNumberFormat="1" applyFont="1" applyFill="1" applyAlignment="1">
      <alignment horizontal="center"/>
    </xf>
    <xf numFmtId="0" fontId="0" fillId="39" borderId="0" xfId="0" quotePrefix="1" applyFill="1" applyAlignment="1">
      <alignment horizontal="left" indent="1"/>
    </xf>
    <xf numFmtId="3" fontId="0" fillId="39" borderId="0" xfId="0" quotePrefix="1" applyNumberFormat="1" applyFill="1" applyAlignment="1">
      <alignment horizontal="right" indent="1"/>
    </xf>
    <xf numFmtId="178" fontId="0" fillId="39" borderId="0" xfId="1" applyNumberFormat="1" applyFont="1" applyFill="1"/>
    <xf numFmtId="1" fontId="0" fillId="0" borderId="0" xfId="1" applyNumberFormat="1" applyFont="1"/>
    <xf numFmtId="0" fontId="116" fillId="0" borderId="0" xfId="0" applyFont="1"/>
    <xf numFmtId="179" fontId="13" fillId="0" borderId="0" xfId="4" applyNumberFormat="1"/>
    <xf numFmtId="1" fontId="78" fillId="46" borderId="45" xfId="18" applyNumberFormat="1" applyFont="1" applyFill="1" applyBorder="1" applyAlignment="1">
      <alignment vertical="center"/>
    </xf>
    <xf numFmtId="1" fontId="78" fillId="46" borderId="0" xfId="18" applyNumberFormat="1" applyFont="1" applyFill="1" applyAlignment="1">
      <alignment vertical="center"/>
    </xf>
    <xf numFmtId="0" fontId="0" fillId="60" borderId="0" xfId="0" applyFill="1"/>
    <xf numFmtId="0" fontId="0" fillId="61" borderId="0" xfId="0" applyFill="1"/>
    <xf numFmtId="0" fontId="0" fillId="52" borderId="0" xfId="0" applyFill="1"/>
    <xf numFmtId="0" fontId="0" fillId="46" borderId="0" xfId="0" applyFill="1"/>
    <xf numFmtId="0" fontId="0" fillId="62" borderId="0" xfId="0" applyFill="1"/>
    <xf numFmtId="0" fontId="0" fillId="63" borderId="0" xfId="0" applyFill="1"/>
    <xf numFmtId="0" fontId="0" fillId="64" borderId="0" xfId="0" applyFill="1"/>
    <xf numFmtId="0" fontId="6" fillId="10" borderId="0" xfId="0" applyFont="1" applyFill="1" applyAlignment="1">
      <alignment horizontal="left"/>
    </xf>
    <xf numFmtId="0" fontId="13" fillId="0" borderId="32" xfId="4" applyBorder="1"/>
    <xf numFmtId="0" fontId="0" fillId="65" borderId="0" xfId="0" applyFill="1"/>
    <xf numFmtId="0" fontId="0" fillId="66" borderId="0" xfId="0" applyFill="1"/>
    <xf numFmtId="0" fontId="0" fillId="67" borderId="0" xfId="0" applyFill="1"/>
    <xf numFmtId="0" fontId="0" fillId="68" borderId="0" xfId="0" applyFill="1"/>
    <xf numFmtId="2" fontId="13" fillId="0" borderId="0" xfId="4" applyNumberFormat="1" applyAlignment="1">
      <alignment horizontal="left"/>
    </xf>
    <xf numFmtId="0" fontId="124" fillId="51" borderId="0" xfId="30" applyFont="1" applyFill="1" applyAlignment="1">
      <alignment horizontal="left"/>
    </xf>
    <xf numFmtId="0" fontId="125" fillId="51" borderId="0" xfId="30" applyFont="1" applyFill="1" applyAlignment="1">
      <alignment horizontal="left"/>
    </xf>
    <xf numFmtId="0" fontId="126" fillId="69" borderId="0" xfId="30" applyFont="1" applyFill="1"/>
    <xf numFmtId="0" fontId="1" fillId="69" borderId="0" xfId="30" applyFill="1"/>
    <xf numFmtId="0" fontId="127" fillId="69" borderId="0" xfId="30" applyFont="1" applyFill="1"/>
    <xf numFmtId="0" fontId="1" fillId="0" borderId="0" xfId="30"/>
    <xf numFmtId="0" fontId="128" fillId="69" borderId="0" xfId="30" applyFont="1" applyFill="1"/>
    <xf numFmtId="0" fontId="129" fillId="69" borderId="0" xfId="30" applyFont="1" applyFill="1"/>
    <xf numFmtId="0" fontId="95" fillId="69" borderId="0" xfId="30" applyFont="1" applyFill="1"/>
    <xf numFmtId="0" fontId="95" fillId="69" borderId="0" xfId="30" quotePrefix="1" applyFont="1" applyFill="1"/>
    <xf numFmtId="14" fontId="95" fillId="69" borderId="0" xfId="30" applyNumberFormat="1" applyFont="1" applyFill="1" applyAlignment="1">
      <alignment horizontal="left"/>
    </xf>
    <xf numFmtId="14" fontId="1" fillId="0" borderId="0" xfId="30" applyNumberFormat="1"/>
    <xf numFmtId="0" fontId="131" fillId="0" borderId="0" xfId="30" applyFont="1" applyAlignment="1">
      <alignment horizontal="center"/>
    </xf>
    <xf numFmtId="0" fontId="110" fillId="0" borderId="0" xfId="30" applyFont="1"/>
    <xf numFmtId="0" fontId="132" fillId="0" borderId="0" xfId="30" applyFont="1"/>
    <xf numFmtId="0" fontId="121" fillId="0" borderId="0" xfId="30" applyFont="1"/>
    <xf numFmtId="0" fontId="133" fillId="0" borderId="0" xfId="32"/>
    <xf numFmtId="0" fontId="134" fillId="0" borderId="0" xfId="32" applyFont="1"/>
    <xf numFmtId="0" fontId="6" fillId="0" borderId="0" xfId="30" applyFont="1"/>
    <xf numFmtId="0" fontId="133" fillId="0" borderId="0" xfId="32" quotePrefix="1"/>
    <xf numFmtId="0" fontId="95" fillId="0" borderId="0" xfId="30" applyFont="1"/>
    <xf numFmtId="0" fontId="124" fillId="70" borderId="0" xfId="30" applyFont="1" applyFill="1" applyAlignment="1">
      <alignment horizontal="left"/>
    </xf>
    <xf numFmtId="0" fontId="125" fillId="70" borderId="0" xfId="30" applyFont="1" applyFill="1" applyAlignment="1">
      <alignment horizontal="left"/>
    </xf>
    <xf numFmtId="0" fontId="8" fillId="69" borderId="0" xfId="30" applyFont="1" applyFill="1"/>
    <xf numFmtId="0" fontId="6" fillId="69" borderId="0" xfId="30" applyFont="1" applyFill="1"/>
    <xf numFmtId="0" fontId="117" fillId="69" borderId="0" xfId="30" applyFont="1" applyFill="1"/>
    <xf numFmtId="0" fontId="117" fillId="69" borderId="0" xfId="30" applyFont="1" applyFill="1" applyAlignment="1">
      <alignment wrapText="1"/>
    </xf>
    <xf numFmtId="0" fontId="117" fillId="69" borderId="0" xfId="30" applyFont="1" applyFill="1" applyAlignment="1">
      <alignment horizontal="left" wrapText="1"/>
    </xf>
    <xf numFmtId="0" fontId="135" fillId="69" borderId="0" xfId="30" applyFont="1" applyFill="1" applyAlignment="1">
      <alignment horizontal="left"/>
    </xf>
    <xf numFmtId="0" fontId="133" fillId="69" borderId="0" xfId="32" applyFill="1" applyAlignment="1">
      <alignment horizontal="left"/>
    </xf>
    <xf numFmtId="0" fontId="6" fillId="69" borderId="0" xfId="30" applyFont="1" applyFill="1" applyAlignment="1">
      <alignment horizontal="left"/>
    </xf>
    <xf numFmtId="0" fontId="136" fillId="69" borderId="0" xfId="30" applyFont="1" applyFill="1"/>
    <xf numFmtId="0" fontId="137" fillId="69" borderId="0" xfId="30" applyFont="1" applyFill="1"/>
    <xf numFmtId="0" fontId="133" fillId="69" borderId="0" xfId="32" applyFill="1"/>
    <xf numFmtId="0" fontId="138" fillId="69" borderId="0" xfId="30" applyFont="1" applyFill="1"/>
    <xf numFmtId="0" fontId="10" fillId="69" borderId="0" xfId="30" applyFont="1" applyFill="1"/>
    <xf numFmtId="0" fontId="139" fillId="69" borderId="0" xfId="30" applyFont="1" applyFill="1"/>
    <xf numFmtId="0" fontId="140" fillId="69" borderId="0" xfId="30" applyFont="1" applyFill="1"/>
    <xf numFmtId="0" fontId="141" fillId="69" borderId="0" xfId="30" applyFont="1" applyFill="1"/>
    <xf numFmtId="0" fontId="142" fillId="69" borderId="0" xfId="30" applyFont="1" applyFill="1"/>
    <xf numFmtId="0" fontId="143" fillId="69" borderId="0" xfId="30" applyFont="1" applyFill="1"/>
    <xf numFmtId="0" fontId="144" fillId="69" borderId="0" xfId="30" applyFont="1" applyFill="1"/>
    <xf numFmtId="0" fontId="145" fillId="0" borderId="0" xfId="30" applyFont="1"/>
    <xf numFmtId="0" fontId="1" fillId="69" borderId="34" xfId="30" applyFill="1" applyBorder="1"/>
    <xf numFmtId="0" fontId="1" fillId="0" borderId="34" xfId="30" applyBorder="1"/>
    <xf numFmtId="0" fontId="116" fillId="69" borderId="0" xfId="30" applyFont="1" applyFill="1"/>
    <xf numFmtId="0" fontId="6" fillId="69" borderId="0" xfId="30" quotePrefix="1" applyFont="1" applyFill="1"/>
    <xf numFmtId="0" fontId="146" fillId="69" borderId="0" xfId="30" applyFont="1" applyFill="1"/>
    <xf numFmtId="0" fontId="130" fillId="0" borderId="0" xfId="31" quotePrefix="1"/>
    <xf numFmtId="2" fontId="0" fillId="0" borderId="0" xfId="0" applyNumberFormat="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8" fillId="28" borderId="16" xfId="16" applyFont="1" applyFill="1" applyBorder="1" applyAlignment="1">
      <alignment horizontal="center" vertical="center"/>
    </xf>
    <xf numFmtId="0" fontId="2" fillId="0" borderId="16" xfId="16" applyBorder="1" applyAlignment="1">
      <alignment horizontal="center" vertical="center"/>
    </xf>
    <xf numFmtId="0" fontId="68" fillId="28" borderId="0" xfId="0" applyFont="1" applyFill="1" applyAlignment="1">
      <alignment horizontal="center" vertical="center"/>
    </xf>
    <xf numFmtId="0" fontId="38" fillId="27" borderId="16" xfId="16" applyFont="1" applyFill="1" applyBorder="1" applyAlignment="1">
      <alignment horizontal="center" vertical="center"/>
    </xf>
    <xf numFmtId="0" fontId="64" fillId="0" borderId="16" xfId="16" applyFont="1" applyBorder="1" applyAlignment="1">
      <alignment horizontal="center" vertical="center"/>
    </xf>
    <xf numFmtId="0" fontId="101" fillId="51" borderId="0" xfId="0" applyFont="1" applyFill="1" applyAlignment="1">
      <alignment horizontal="left" vertical="center" wrapText="1"/>
    </xf>
    <xf numFmtId="0" fontId="101" fillId="51" borderId="27" xfId="0" applyFont="1" applyFill="1" applyBorder="1" applyAlignment="1">
      <alignment horizontal="left" vertical="center" wrapText="1"/>
    </xf>
    <xf numFmtId="0" fontId="101" fillId="51" borderId="16" xfId="0" applyFont="1" applyFill="1" applyBorder="1" applyAlignment="1">
      <alignment horizontal="left" vertical="center" wrapText="1"/>
    </xf>
    <xf numFmtId="0" fontId="101" fillId="51" borderId="43" xfId="0" applyFont="1" applyFill="1" applyBorder="1" applyAlignment="1">
      <alignment horizontal="left" vertical="center" wrapText="1"/>
    </xf>
    <xf numFmtId="0" fontId="101" fillId="51" borderId="17" xfId="0" applyFont="1" applyFill="1" applyBorder="1" applyAlignment="1">
      <alignment horizontal="left" vertical="center" wrapText="1"/>
    </xf>
    <xf numFmtId="0" fontId="101" fillId="51" borderId="34" xfId="0" applyFont="1" applyFill="1" applyBorder="1" applyAlignment="1">
      <alignment horizontal="left" vertical="center" wrapText="1"/>
    </xf>
    <xf numFmtId="0" fontId="101" fillId="51" borderId="29" xfId="0" applyFont="1" applyFill="1" applyBorder="1" applyAlignment="1">
      <alignment horizontal="left" vertical="center" wrapText="1"/>
    </xf>
    <xf numFmtId="0" fontId="100" fillId="51" borderId="27" xfId="0" applyFont="1" applyFill="1" applyBorder="1" applyAlignment="1">
      <alignment vertical="center" wrapText="1"/>
    </xf>
    <xf numFmtId="0" fontId="100" fillId="51" borderId="16" xfId="0" applyFont="1" applyFill="1" applyBorder="1" applyAlignment="1">
      <alignment vertical="center" wrapText="1"/>
    </xf>
    <xf numFmtId="0" fontId="100" fillId="51" borderId="43" xfId="0" applyFont="1" applyFill="1" applyBorder="1" applyAlignment="1">
      <alignment vertical="center" wrapText="1"/>
    </xf>
    <xf numFmtId="0" fontId="101" fillId="51" borderId="17" xfId="0" applyFont="1" applyFill="1" applyBorder="1" applyAlignment="1">
      <alignment vertical="center" wrapText="1"/>
    </xf>
    <xf numFmtId="0" fontId="101" fillId="51" borderId="34" xfId="0" applyFont="1" applyFill="1" applyBorder="1" applyAlignment="1">
      <alignment vertical="center" wrapText="1"/>
    </xf>
    <xf numFmtId="0" fontId="101" fillId="51" borderId="29" xfId="0" applyFont="1" applyFill="1" applyBorder="1" applyAlignment="1">
      <alignment vertical="center" wrapText="1"/>
    </xf>
    <xf numFmtId="0" fontId="101" fillId="51" borderId="73" xfId="0" applyFont="1" applyFill="1" applyBorder="1" applyAlignment="1">
      <alignment horizontal="left" vertical="center" wrapText="1"/>
    </xf>
    <xf numFmtId="0" fontId="101" fillId="51" borderId="74" xfId="0" applyFont="1" applyFill="1" applyBorder="1" applyAlignment="1">
      <alignment horizontal="left" vertical="center" wrapText="1"/>
    </xf>
    <xf numFmtId="0" fontId="101" fillId="51" borderId="75" xfId="0" applyFont="1" applyFill="1" applyBorder="1" applyAlignment="1">
      <alignment horizontal="left" vertical="center" wrapText="1"/>
    </xf>
    <xf numFmtId="0" fontId="96" fillId="17" borderId="64" xfId="0" applyFont="1" applyFill="1" applyBorder="1" applyAlignment="1">
      <alignment horizontal="center" vertical="center" wrapText="1"/>
    </xf>
    <xf numFmtId="0" fontId="96" fillId="17" borderId="65" xfId="0" applyFont="1" applyFill="1" applyBorder="1" applyAlignment="1">
      <alignment horizontal="center" vertical="center" wrapText="1"/>
    </xf>
    <xf numFmtId="0" fontId="96" fillId="17" borderId="67" xfId="0" applyFont="1" applyFill="1" applyBorder="1" applyAlignment="1">
      <alignment horizontal="center" vertical="center" wrapText="1"/>
    </xf>
    <xf numFmtId="0" fontId="96" fillId="17" borderId="68" xfId="0" applyFont="1" applyFill="1" applyBorder="1" applyAlignment="1">
      <alignment horizontal="center" vertical="center" wrapText="1"/>
    </xf>
    <xf numFmtId="0" fontId="96" fillId="17" borderId="66" xfId="0" applyFont="1" applyFill="1" applyBorder="1" applyAlignment="1">
      <alignment horizontal="center" vertical="center"/>
    </xf>
    <xf numFmtId="0" fontId="96" fillId="17" borderId="69" xfId="0" applyFont="1" applyFill="1" applyBorder="1" applyAlignment="1">
      <alignment horizontal="center" vertical="center"/>
    </xf>
    <xf numFmtId="0" fontId="96" fillId="17" borderId="70" xfId="0" applyFont="1" applyFill="1" applyBorder="1" applyAlignment="1">
      <alignment horizontal="center" vertical="center"/>
    </xf>
    <xf numFmtId="0" fontId="96" fillId="17" borderId="59" xfId="0" applyFont="1" applyFill="1" applyBorder="1" applyAlignment="1">
      <alignment horizontal="center" vertical="center"/>
    </xf>
    <xf numFmtId="0" fontId="101" fillId="51" borderId="61" xfId="0" applyFont="1" applyFill="1" applyBorder="1" applyAlignment="1">
      <alignment horizontal="left" vertical="center" wrapText="1"/>
    </xf>
    <xf numFmtId="0" fontId="101" fillId="51" borderId="62" xfId="0" applyFont="1" applyFill="1" applyBorder="1" applyAlignment="1">
      <alignment horizontal="left" vertical="center" wrapText="1"/>
    </xf>
    <xf numFmtId="0" fontId="101" fillId="51" borderId="63" xfId="0" applyFont="1" applyFill="1" applyBorder="1" applyAlignment="1">
      <alignment horizontal="left" vertical="center" wrapText="1"/>
    </xf>
    <xf numFmtId="0" fontId="28" fillId="0" borderId="7" xfId="24" applyFont="1" applyBorder="1" applyAlignment="1">
      <alignment horizontal="center"/>
    </xf>
    <xf numFmtId="0" fontId="28" fillId="0" borderId="8" xfId="24" applyFont="1" applyBorder="1" applyAlignment="1">
      <alignment horizontal="center"/>
    </xf>
    <xf numFmtId="0" fontId="100" fillId="51" borderId="60" xfId="0" applyFont="1" applyFill="1" applyBorder="1" applyAlignment="1">
      <alignment horizontal="left" vertical="center" wrapText="1"/>
    </xf>
    <xf numFmtId="0" fontId="101" fillId="51" borderId="60" xfId="0" applyFont="1" applyFill="1" applyBorder="1" applyAlignment="1">
      <alignment horizontal="left" vertical="center" wrapText="1"/>
    </xf>
    <xf numFmtId="0" fontId="28" fillId="0" borderId="7" xfId="28" applyFont="1" applyBorder="1" applyAlignment="1">
      <alignment horizontal="center"/>
    </xf>
    <xf numFmtId="0" fontId="28" fillId="0" borderId="8" xfId="28" applyFont="1" applyBorder="1" applyAlignment="1">
      <alignment horizontal="center"/>
    </xf>
    <xf numFmtId="0" fontId="0" fillId="0" borderId="0" xfId="0" applyAlignment="1">
      <alignment horizontal="center" vertical="center"/>
    </xf>
    <xf numFmtId="0" fontId="0" fillId="0" borderId="0" xfId="0" applyAlignment="1">
      <alignment horizontal="center"/>
    </xf>
    <xf numFmtId="0" fontId="37" fillId="22" borderId="15" xfId="4" applyFont="1" applyFill="1" applyBorder="1" applyAlignment="1">
      <alignment horizontal="center" vertical="center"/>
    </xf>
    <xf numFmtId="0" fontId="37" fillId="22" borderId="15" xfId="4" applyFont="1" applyFill="1" applyBorder="1" applyAlignment="1">
      <alignment horizontal="right" vertical="center"/>
    </xf>
    <xf numFmtId="0" fontId="100" fillId="51" borderId="76" xfId="25" applyFont="1" applyFill="1" applyBorder="1" applyAlignment="1">
      <alignment horizontal="left" vertical="center" wrapText="1"/>
    </xf>
    <xf numFmtId="0" fontId="25" fillId="16" borderId="0" xfId="10" applyFont="1" applyFill="1" applyAlignment="1">
      <alignment horizontal="left" wrapText="1"/>
    </xf>
    <xf numFmtId="0" fontId="20" fillId="16" borderId="0" xfId="10" applyFont="1" applyFill="1" applyAlignment="1">
      <alignment horizontal="left" wrapText="1"/>
    </xf>
    <xf numFmtId="0" fontId="19" fillId="16" borderId="0" xfId="10" applyFill="1" applyAlignment="1">
      <alignment horizontal="left"/>
    </xf>
    <xf numFmtId="0" fontId="21" fillId="16" borderId="0" xfId="10" applyFont="1" applyFill="1" applyAlignment="1">
      <alignment horizontal="left" vertical="top" wrapText="1"/>
    </xf>
    <xf numFmtId="0" fontId="22" fillId="16" borderId="0" xfId="10" applyFont="1" applyFill="1" applyAlignment="1">
      <alignment horizontal="left" vertical="top" wrapText="1"/>
    </xf>
    <xf numFmtId="0" fontId="26" fillId="16" borderId="0" xfId="10" applyFont="1" applyFill="1" applyAlignment="1">
      <alignment horizontal="left" vertical="top" wrapText="1"/>
    </xf>
    <xf numFmtId="0" fontId="27" fillId="16" borderId="0" xfId="10" applyFont="1" applyFill="1" applyAlignment="1">
      <alignment horizontal="left" vertical="top" wrapText="1"/>
    </xf>
    <xf numFmtId="9" fontId="0" fillId="0" borderId="0" xfId="0" applyNumberFormat="1" applyAlignment="1">
      <alignment horizontal="center"/>
    </xf>
    <xf numFmtId="0" fontId="8" fillId="0" borderId="0" xfId="0" applyFont="1" applyAlignment="1">
      <alignment horizontal="center"/>
    </xf>
    <xf numFmtId="171" fontId="0" fillId="0" borderId="0" xfId="0" applyNumberFormat="1" applyAlignment="1">
      <alignment horizontal="center" vertical="center" wrapText="1"/>
    </xf>
    <xf numFmtId="9" fontId="0" fillId="0" borderId="0" xfId="0" applyNumberFormat="1" applyAlignment="1">
      <alignment horizontal="center" vertical="center" wrapText="1"/>
    </xf>
    <xf numFmtId="0" fontId="119" fillId="0" borderId="0" xfId="0" applyFont="1" applyAlignment="1">
      <alignment horizontal="center" wrapText="1"/>
    </xf>
    <xf numFmtId="0" fontId="28" fillId="0" borderId="7" xfId="11" applyFont="1" applyBorder="1" applyAlignment="1">
      <alignment horizontal="center"/>
    </xf>
    <xf numFmtId="0" fontId="28" fillId="0" borderId="8" xfId="11" applyFont="1" applyBorder="1" applyAlignment="1">
      <alignment horizontal="center"/>
    </xf>
  </cellXfs>
  <cellStyles count="33">
    <cellStyle name="Body" xfId="3" xr:uid="{CB93DAF9-86B4-4098-8926-EA86FAC1267C}"/>
    <cellStyle name="Excel Built-in Explanatory Text" xfId="14" xr:uid="{D21394EB-709E-4991-9494-FA962815656F}"/>
    <cellStyle name="Header" xfId="2" xr:uid="{5BD36B50-DC78-42D0-9665-C2E3423130E7}"/>
    <cellStyle name="Lien hypertexte" xfId="31" builtinId="8"/>
    <cellStyle name="Lien hypertexte 2" xfId="32" xr:uid="{2CBC387D-C904-45F2-AC29-D1A46CD5390A}"/>
    <cellStyle name="Milliers" xfId="1" builtinId="3"/>
    <cellStyle name="Milliers 2" xfId="8" xr:uid="{EAAB2195-18F1-4D8F-BC3C-98D52ED35CBC}"/>
    <cellStyle name="Milliers 3" xfId="22" xr:uid="{B8F37F5F-AD7A-46C1-9FEE-C8307347BFE7}"/>
    <cellStyle name="Milliers 4" xfId="26" xr:uid="{646693AD-49C5-4C39-BF93-3C15C883D6D3}"/>
    <cellStyle name="Milliers 5" xfId="29" xr:uid="{B43592DE-280E-4387-AE87-9FCEEEEBBD70}"/>
    <cellStyle name="Normal" xfId="0" builtinId="0"/>
    <cellStyle name="Normal 2" xfId="4" xr:uid="{9CAB1214-16AA-4D2B-9117-9ACCA20FDD77}"/>
    <cellStyle name="Normal 2 2" xfId="5" xr:uid="{FF3900C9-3A53-4816-B323-341D72FC906B}"/>
    <cellStyle name="Normal 3" xfId="6" xr:uid="{D2FD3B89-E791-4B03-95F2-084AAD938C8E}"/>
    <cellStyle name="Normal 4" xfId="9" xr:uid="{9DF5B9EE-144B-4607-AA02-B84414CD0333}"/>
    <cellStyle name="Normal 5" xfId="10" xr:uid="{ACA0B39D-671F-4DF4-BD56-2E608B733785}"/>
    <cellStyle name="Normal 6" xfId="16" xr:uid="{B3FAF0FE-82A7-4C52-848F-2EBDAB9DEFEC}"/>
    <cellStyle name="Normal 7" xfId="25" xr:uid="{59F9B6E2-B419-4F2F-A77A-1C889E226BBC}"/>
    <cellStyle name="Normal 8" xfId="30" xr:uid="{2DC25A1A-CF7D-4848-B873-638B1A3A5316}"/>
    <cellStyle name="Normal 8 2" xfId="12" xr:uid="{7BFEC092-A740-4AC2-989D-D62ACC0AA220}"/>
    <cellStyle name="Normal 9" xfId="11" xr:uid="{D9661232-691A-4F42-9DF1-824404998627}"/>
    <cellStyle name="Normal 9 2" xfId="13" xr:uid="{43B9C52C-6AEF-4B5A-B2E7-B14BD2281D89}"/>
    <cellStyle name="Normal 9 2 2" xfId="28" xr:uid="{723D2B88-D838-418E-B8CB-CB865187E670}"/>
    <cellStyle name="Normal 9 3" xfId="24" xr:uid="{516B9914-8644-4D3B-A29D-10524979D556}"/>
    <cellStyle name="Normal_bilan oleo 2009 et 2010 V2" xfId="18" xr:uid="{BCFC3547-1409-4ECD-88F1-FA9A1951E6B0}"/>
    <cellStyle name="Normal_Bilans_BLET_Simul" xfId="19" xr:uid="{D55B703F-6980-4F5B-BE83-582C4DF9587D}"/>
    <cellStyle name="Normal_Bilans_Maïs_Simul" xfId="20" xr:uid="{7C35E4A9-1391-461C-AE5D-7C1B2D75956A}"/>
    <cellStyle name="Normal_Bilans_Orges_Simul" xfId="17" xr:uid="{B121976C-E5D7-4FE4-9F21-5FB7A7A517C2}"/>
    <cellStyle name="Normal_Bilans_Orges_Simul 2" xfId="23" xr:uid="{F5E1E820-37CB-44B7-83D2-8161BBDF96AD}"/>
    <cellStyle name="Pourcentage" xfId="15" builtinId="5"/>
    <cellStyle name="Pourcentage 2" xfId="7" xr:uid="{11929990-FF89-4570-8196-3D9A680BE7AB}"/>
    <cellStyle name="Pourcentage 3" xfId="21" xr:uid="{03EB9D21-55F2-42E1-ADE6-462E1E46FD25}"/>
    <cellStyle name="Pourcentage 4" xfId="27" xr:uid="{A217F41D-FABE-4C4C-9DA5-14D22DF2B65C}"/>
  </cellStyles>
  <dxfs count="9">
    <dxf>
      <font>
        <condense val="0"/>
        <extend val="0"/>
        <color indexed="9"/>
      </font>
    </dxf>
    <dxf>
      <font>
        <color rgb="FF9C0006"/>
      </font>
      <fill>
        <patternFill>
          <bgColor rgb="FFFFC7CE"/>
        </patternFill>
      </fill>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9999"/>
      <color rgb="FFFFFFCC"/>
      <color rgb="FFB5E6A2"/>
      <color rgb="FF94DCF8"/>
      <color rgb="FFFFCC99"/>
      <color rgb="FFCB9763"/>
      <color rgb="FFD9B28B"/>
      <color rgb="FF996633"/>
      <color rgb="FF808000"/>
      <color rgb="FFFF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eetMetadata" Target="metadata.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86"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2.xml"/><Relationship Id="rId61" Type="http://schemas.openxmlformats.org/officeDocument/2006/relationships/worksheet" Target="worksheets/sheet61.xml"/><Relationship Id="rId8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8" Type="http://schemas.openxmlformats.org/officeDocument/2006/relationships/image" Target="../media/image46.png"/><Relationship Id="rId13" Type="http://schemas.openxmlformats.org/officeDocument/2006/relationships/image" Target="../media/image51.png"/><Relationship Id="rId18" Type="http://schemas.openxmlformats.org/officeDocument/2006/relationships/image" Target="../media/image56.png"/><Relationship Id="rId3" Type="http://schemas.openxmlformats.org/officeDocument/2006/relationships/image" Target="../media/image41.png"/><Relationship Id="rId21" Type="http://schemas.openxmlformats.org/officeDocument/2006/relationships/image" Target="../media/image59.png"/><Relationship Id="rId7" Type="http://schemas.openxmlformats.org/officeDocument/2006/relationships/image" Target="../media/image45.png"/><Relationship Id="rId12" Type="http://schemas.openxmlformats.org/officeDocument/2006/relationships/image" Target="../media/image50.png"/><Relationship Id="rId17" Type="http://schemas.openxmlformats.org/officeDocument/2006/relationships/image" Target="../media/image55.png"/><Relationship Id="rId2" Type="http://schemas.openxmlformats.org/officeDocument/2006/relationships/image" Target="../media/image40.png"/><Relationship Id="rId16" Type="http://schemas.openxmlformats.org/officeDocument/2006/relationships/image" Target="../media/image54.png"/><Relationship Id="rId20" Type="http://schemas.openxmlformats.org/officeDocument/2006/relationships/image" Target="../media/image58.png"/><Relationship Id="rId1" Type="http://schemas.openxmlformats.org/officeDocument/2006/relationships/image" Target="../media/image39.png"/><Relationship Id="rId6" Type="http://schemas.openxmlformats.org/officeDocument/2006/relationships/image" Target="../media/image44.png"/><Relationship Id="rId11" Type="http://schemas.openxmlformats.org/officeDocument/2006/relationships/image" Target="../media/image49.png"/><Relationship Id="rId5" Type="http://schemas.openxmlformats.org/officeDocument/2006/relationships/image" Target="../media/image43.png"/><Relationship Id="rId15" Type="http://schemas.openxmlformats.org/officeDocument/2006/relationships/image" Target="../media/image53.png"/><Relationship Id="rId10" Type="http://schemas.openxmlformats.org/officeDocument/2006/relationships/image" Target="../media/image48.png"/><Relationship Id="rId19" Type="http://schemas.openxmlformats.org/officeDocument/2006/relationships/image" Target="../media/image57.png"/><Relationship Id="rId4" Type="http://schemas.openxmlformats.org/officeDocument/2006/relationships/image" Target="../media/image42.png"/><Relationship Id="rId9" Type="http://schemas.openxmlformats.org/officeDocument/2006/relationships/image" Target="../media/image47.png"/><Relationship Id="rId14" Type="http://schemas.openxmlformats.org/officeDocument/2006/relationships/image" Target="../media/image52.png"/><Relationship Id="rId22" Type="http://schemas.openxmlformats.org/officeDocument/2006/relationships/image" Target="../media/image6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3.png"/><Relationship Id="rId2" Type="http://schemas.openxmlformats.org/officeDocument/2006/relationships/image" Target="../media/image62.png"/><Relationship Id="rId1" Type="http://schemas.openxmlformats.org/officeDocument/2006/relationships/image" Target="../media/image6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7.png"/><Relationship Id="rId2" Type="http://schemas.openxmlformats.org/officeDocument/2006/relationships/image" Target="../media/image66.png"/><Relationship Id="rId1" Type="http://schemas.openxmlformats.org/officeDocument/2006/relationships/image" Target="../media/image65.png"/><Relationship Id="rId4" Type="http://schemas.openxmlformats.org/officeDocument/2006/relationships/image" Target="../media/image68.png"/></Relationships>
</file>

<file path=xl/drawings/_rels/drawing14.xml.rels><?xml version="1.0" encoding="UTF-8" standalone="yes"?>
<Relationships xmlns="http://schemas.openxmlformats.org/package/2006/relationships"><Relationship Id="rId8" Type="http://schemas.openxmlformats.org/officeDocument/2006/relationships/image" Target="../media/image76.png"/><Relationship Id="rId13" Type="http://schemas.openxmlformats.org/officeDocument/2006/relationships/image" Target="../media/image80.png"/><Relationship Id="rId3" Type="http://schemas.openxmlformats.org/officeDocument/2006/relationships/image" Target="../media/image71.png"/><Relationship Id="rId7" Type="http://schemas.openxmlformats.org/officeDocument/2006/relationships/image" Target="../media/image75.png"/><Relationship Id="rId12" Type="http://schemas.openxmlformats.org/officeDocument/2006/relationships/image" Target="../media/image79.png"/><Relationship Id="rId2" Type="http://schemas.openxmlformats.org/officeDocument/2006/relationships/image" Target="../media/image70.png"/><Relationship Id="rId1" Type="http://schemas.openxmlformats.org/officeDocument/2006/relationships/image" Target="../media/image69.png"/><Relationship Id="rId6" Type="http://schemas.openxmlformats.org/officeDocument/2006/relationships/image" Target="../media/image74.png"/><Relationship Id="rId11" Type="http://schemas.openxmlformats.org/officeDocument/2006/relationships/image" Target="../media/image78.png"/><Relationship Id="rId5" Type="http://schemas.openxmlformats.org/officeDocument/2006/relationships/image" Target="../media/image73.png"/><Relationship Id="rId15" Type="http://schemas.openxmlformats.org/officeDocument/2006/relationships/image" Target="../media/image82.png"/><Relationship Id="rId10" Type="http://schemas.openxmlformats.org/officeDocument/2006/relationships/image" Target="../media/image22.png"/><Relationship Id="rId4" Type="http://schemas.openxmlformats.org/officeDocument/2006/relationships/image" Target="../media/image72.png"/><Relationship Id="rId9" Type="http://schemas.openxmlformats.org/officeDocument/2006/relationships/image" Target="../media/image77.png"/><Relationship Id="rId14" Type="http://schemas.openxmlformats.org/officeDocument/2006/relationships/image" Target="../media/image8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4.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9.png"/><Relationship Id="rId7"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 Id="rId9" Type="http://schemas.openxmlformats.org/officeDocument/2006/relationships/image" Target="../media/image1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4" Type="http://schemas.openxmlformats.org/officeDocument/2006/relationships/image" Target="../media/image19.png"/></Relationships>
</file>

<file path=xl/drawings/_rels/drawing8.xml.rels><?xml version="1.0" encoding="UTF-8" standalone="yes"?>
<Relationships xmlns="http://schemas.openxmlformats.org/package/2006/relationships"><Relationship Id="rId1" Type="http://schemas.openxmlformats.org/officeDocument/2006/relationships/image" Target="../media/image22.png"/></Relationships>
</file>

<file path=xl/drawings/_rels/drawing9.xml.rels><?xml version="1.0" encoding="UTF-8" standalone="yes"?>
<Relationships xmlns="http://schemas.openxmlformats.org/package/2006/relationships"><Relationship Id="rId8" Type="http://schemas.openxmlformats.org/officeDocument/2006/relationships/image" Target="../media/image30.png"/><Relationship Id="rId13" Type="http://schemas.openxmlformats.org/officeDocument/2006/relationships/image" Target="../media/image35.png"/><Relationship Id="rId3" Type="http://schemas.openxmlformats.org/officeDocument/2006/relationships/image" Target="../media/image25.png"/><Relationship Id="rId7" Type="http://schemas.openxmlformats.org/officeDocument/2006/relationships/image" Target="../media/image29.png"/><Relationship Id="rId12" Type="http://schemas.openxmlformats.org/officeDocument/2006/relationships/image" Target="../media/image34.png"/><Relationship Id="rId2" Type="http://schemas.openxmlformats.org/officeDocument/2006/relationships/image" Target="../media/image24.png"/><Relationship Id="rId16" Type="http://schemas.openxmlformats.org/officeDocument/2006/relationships/image" Target="../media/image38.png"/><Relationship Id="rId1" Type="http://schemas.openxmlformats.org/officeDocument/2006/relationships/image" Target="../media/image23.png"/><Relationship Id="rId6" Type="http://schemas.openxmlformats.org/officeDocument/2006/relationships/image" Target="../media/image28.png"/><Relationship Id="rId11" Type="http://schemas.openxmlformats.org/officeDocument/2006/relationships/image" Target="../media/image33.png"/><Relationship Id="rId5" Type="http://schemas.openxmlformats.org/officeDocument/2006/relationships/image" Target="../media/image27.png"/><Relationship Id="rId15" Type="http://schemas.openxmlformats.org/officeDocument/2006/relationships/image" Target="../media/image37.png"/><Relationship Id="rId10" Type="http://schemas.openxmlformats.org/officeDocument/2006/relationships/image" Target="../media/image32.png"/><Relationship Id="rId4" Type="http://schemas.openxmlformats.org/officeDocument/2006/relationships/image" Target="../media/image26.png"/><Relationship Id="rId9" Type="http://schemas.openxmlformats.org/officeDocument/2006/relationships/image" Target="../media/image31.png"/><Relationship Id="rId14" Type="http://schemas.openxmlformats.org/officeDocument/2006/relationships/image" Target="../media/image3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1828800</xdr:colOff>
      <xdr:row>0</xdr:row>
      <xdr:rowOff>741045</xdr:rowOff>
    </xdr:to>
    <xdr:pic>
      <xdr:nvPicPr>
        <xdr:cNvPr id="2" name="Picture 1" descr="logoFAM">
          <a:extLst>
            <a:ext uri="{FF2B5EF4-FFF2-40B4-BE49-F238E27FC236}">
              <a16:creationId xmlns:a16="http://schemas.microsoft.com/office/drawing/2014/main" id="{173E46EB-5D4D-460A-BAF4-2B16347BE8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1828800" cy="75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627781</xdr:colOff>
      <xdr:row>22</xdr:row>
      <xdr:rowOff>98572</xdr:rowOff>
    </xdr:to>
    <xdr:pic>
      <xdr:nvPicPr>
        <xdr:cNvPr id="2" name="Image 1">
          <a:extLst>
            <a:ext uri="{FF2B5EF4-FFF2-40B4-BE49-F238E27FC236}">
              <a16:creationId xmlns:a16="http://schemas.microsoft.com/office/drawing/2014/main" id="{C6CD5584-2E72-3A76-F858-F0891507EEA0}"/>
            </a:ext>
          </a:extLst>
        </xdr:cNvPr>
        <xdr:cNvPicPr>
          <a:picLocks noChangeAspect="1"/>
        </xdr:cNvPicPr>
      </xdr:nvPicPr>
      <xdr:blipFill>
        <a:blip xmlns:r="http://schemas.openxmlformats.org/officeDocument/2006/relationships" r:embed="rId1"/>
        <a:stretch>
          <a:fillRect/>
        </a:stretch>
      </xdr:blipFill>
      <xdr:spPr>
        <a:xfrm>
          <a:off x="0" y="180975"/>
          <a:ext cx="6952381" cy="3904762"/>
        </a:xfrm>
        <a:prstGeom prst="rect">
          <a:avLst/>
        </a:prstGeom>
      </xdr:spPr>
    </xdr:pic>
    <xdr:clientData/>
  </xdr:twoCellAnchor>
  <xdr:twoCellAnchor editAs="oneCell">
    <xdr:from>
      <xdr:col>0</xdr:col>
      <xdr:colOff>0</xdr:colOff>
      <xdr:row>25</xdr:row>
      <xdr:rowOff>0</xdr:rowOff>
    </xdr:from>
    <xdr:to>
      <xdr:col>8</xdr:col>
      <xdr:colOff>209550</xdr:colOff>
      <xdr:row>45</xdr:row>
      <xdr:rowOff>174639</xdr:rowOff>
    </xdr:to>
    <xdr:pic>
      <xdr:nvPicPr>
        <xdr:cNvPr id="3" name="Image 2">
          <a:extLst>
            <a:ext uri="{FF2B5EF4-FFF2-40B4-BE49-F238E27FC236}">
              <a16:creationId xmlns:a16="http://schemas.microsoft.com/office/drawing/2014/main" id="{8FE3C387-CC82-2090-271A-82FF8A96CE71}"/>
            </a:ext>
          </a:extLst>
        </xdr:cNvPr>
        <xdr:cNvPicPr>
          <a:picLocks noChangeAspect="1"/>
        </xdr:cNvPicPr>
      </xdr:nvPicPr>
      <xdr:blipFill>
        <a:blip xmlns:r="http://schemas.openxmlformats.org/officeDocument/2006/relationships" r:embed="rId2"/>
        <a:stretch>
          <a:fillRect/>
        </a:stretch>
      </xdr:blipFill>
      <xdr:spPr>
        <a:xfrm>
          <a:off x="0" y="4524375"/>
          <a:ext cx="6534150" cy="3794139"/>
        </a:xfrm>
        <a:prstGeom prst="rect">
          <a:avLst/>
        </a:prstGeom>
      </xdr:spPr>
    </xdr:pic>
    <xdr:clientData/>
  </xdr:twoCellAnchor>
  <xdr:twoCellAnchor editAs="oneCell">
    <xdr:from>
      <xdr:col>0</xdr:col>
      <xdr:colOff>0</xdr:colOff>
      <xdr:row>46</xdr:row>
      <xdr:rowOff>180974</xdr:rowOff>
    </xdr:from>
    <xdr:to>
      <xdr:col>7</xdr:col>
      <xdr:colOff>208495</xdr:colOff>
      <xdr:row>65</xdr:row>
      <xdr:rowOff>137159</xdr:rowOff>
    </xdr:to>
    <xdr:pic>
      <xdr:nvPicPr>
        <xdr:cNvPr id="4" name="Image 3">
          <a:extLst>
            <a:ext uri="{FF2B5EF4-FFF2-40B4-BE49-F238E27FC236}">
              <a16:creationId xmlns:a16="http://schemas.microsoft.com/office/drawing/2014/main" id="{A4644A6D-EC78-46DB-7227-C761E65252F1}"/>
            </a:ext>
          </a:extLst>
        </xdr:cNvPr>
        <xdr:cNvPicPr>
          <a:picLocks noChangeAspect="1"/>
        </xdr:cNvPicPr>
      </xdr:nvPicPr>
      <xdr:blipFill>
        <a:blip xmlns:r="http://schemas.openxmlformats.org/officeDocument/2006/relationships" r:embed="rId3"/>
        <a:stretch>
          <a:fillRect/>
        </a:stretch>
      </xdr:blipFill>
      <xdr:spPr>
        <a:xfrm>
          <a:off x="0" y="8505824"/>
          <a:ext cx="5742520" cy="3400425"/>
        </a:xfrm>
        <a:prstGeom prst="rect">
          <a:avLst/>
        </a:prstGeom>
      </xdr:spPr>
    </xdr:pic>
    <xdr:clientData/>
  </xdr:twoCellAnchor>
  <xdr:twoCellAnchor editAs="oneCell">
    <xdr:from>
      <xdr:col>0</xdr:col>
      <xdr:colOff>0</xdr:colOff>
      <xdr:row>68</xdr:row>
      <xdr:rowOff>0</xdr:rowOff>
    </xdr:from>
    <xdr:to>
      <xdr:col>4</xdr:col>
      <xdr:colOff>94843</xdr:colOff>
      <xdr:row>97</xdr:row>
      <xdr:rowOff>18392</xdr:rowOff>
    </xdr:to>
    <xdr:pic>
      <xdr:nvPicPr>
        <xdr:cNvPr id="5" name="Image 4">
          <a:extLst>
            <a:ext uri="{FF2B5EF4-FFF2-40B4-BE49-F238E27FC236}">
              <a16:creationId xmlns:a16="http://schemas.microsoft.com/office/drawing/2014/main" id="{0A4E6709-25CF-183E-855D-19F3A534E0C3}"/>
            </a:ext>
          </a:extLst>
        </xdr:cNvPr>
        <xdr:cNvPicPr>
          <a:picLocks noChangeAspect="1"/>
        </xdr:cNvPicPr>
      </xdr:nvPicPr>
      <xdr:blipFill>
        <a:blip xmlns:r="http://schemas.openxmlformats.org/officeDocument/2006/relationships" r:embed="rId4"/>
        <a:stretch>
          <a:fillRect/>
        </a:stretch>
      </xdr:blipFill>
      <xdr:spPr>
        <a:xfrm>
          <a:off x="0" y="13030200"/>
          <a:ext cx="3257143" cy="5266667"/>
        </a:xfrm>
        <a:prstGeom prst="rect">
          <a:avLst/>
        </a:prstGeom>
      </xdr:spPr>
    </xdr:pic>
    <xdr:clientData/>
  </xdr:twoCellAnchor>
  <xdr:twoCellAnchor editAs="oneCell">
    <xdr:from>
      <xdr:col>4</xdr:col>
      <xdr:colOff>0</xdr:colOff>
      <xdr:row>67</xdr:row>
      <xdr:rowOff>0</xdr:rowOff>
    </xdr:from>
    <xdr:to>
      <xdr:col>11</xdr:col>
      <xdr:colOff>361213</xdr:colOff>
      <xdr:row>68</xdr:row>
      <xdr:rowOff>59026</xdr:rowOff>
    </xdr:to>
    <xdr:pic>
      <xdr:nvPicPr>
        <xdr:cNvPr id="6" name="Image 5">
          <a:extLst>
            <a:ext uri="{FF2B5EF4-FFF2-40B4-BE49-F238E27FC236}">
              <a16:creationId xmlns:a16="http://schemas.microsoft.com/office/drawing/2014/main" id="{F556C8C0-C192-F1F6-0D80-6B528606DF18}"/>
            </a:ext>
          </a:extLst>
        </xdr:cNvPr>
        <xdr:cNvPicPr>
          <a:picLocks noChangeAspect="1"/>
        </xdr:cNvPicPr>
      </xdr:nvPicPr>
      <xdr:blipFill>
        <a:blip xmlns:r="http://schemas.openxmlformats.org/officeDocument/2006/relationships" r:embed="rId5"/>
        <a:stretch>
          <a:fillRect/>
        </a:stretch>
      </xdr:blipFill>
      <xdr:spPr>
        <a:xfrm>
          <a:off x="3162300" y="12849225"/>
          <a:ext cx="5895238" cy="228571"/>
        </a:xfrm>
        <a:prstGeom prst="rect">
          <a:avLst/>
        </a:prstGeom>
      </xdr:spPr>
    </xdr:pic>
    <xdr:clientData/>
  </xdr:twoCellAnchor>
  <xdr:twoCellAnchor editAs="oneCell">
    <xdr:from>
      <xdr:col>4</xdr:col>
      <xdr:colOff>0</xdr:colOff>
      <xdr:row>98</xdr:row>
      <xdr:rowOff>0</xdr:rowOff>
    </xdr:from>
    <xdr:to>
      <xdr:col>11</xdr:col>
      <xdr:colOff>479308</xdr:colOff>
      <xdr:row>99</xdr:row>
      <xdr:rowOff>173312</xdr:rowOff>
    </xdr:to>
    <xdr:pic>
      <xdr:nvPicPr>
        <xdr:cNvPr id="7" name="Image 6">
          <a:extLst>
            <a:ext uri="{FF2B5EF4-FFF2-40B4-BE49-F238E27FC236}">
              <a16:creationId xmlns:a16="http://schemas.microsoft.com/office/drawing/2014/main" id="{39A5D81E-FD18-B659-32CF-8D6F8B80F395}"/>
            </a:ext>
          </a:extLst>
        </xdr:cNvPr>
        <xdr:cNvPicPr>
          <a:picLocks noChangeAspect="1"/>
        </xdr:cNvPicPr>
      </xdr:nvPicPr>
      <xdr:blipFill>
        <a:blip xmlns:r="http://schemas.openxmlformats.org/officeDocument/2006/relationships" r:embed="rId6"/>
        <a:stretch>
          <a:fillRect/>
        </a:stretch>
      </xdr:blipFill>
      <xdr:spPr>
        <a:xfrm>
          <a:off x="3162300" y="18459450"/>
          <a:ext cx="6019048" cy="342857"/>
        </a:xfrm>
        <a:prstGeom prst="rect">
          <a:avLst/>
        </a:prstGeom>
      </xdr:spPr>
    </xdr:pic>
    <xdr:clientData/>
  </xdr:twoCellAnchor>
  <xdr:twoCellAnchor editAs="oneCell">
    <xdr:from>
      <xdr:col>0</xdr:col>
      <xdr:colOff>0</xdr:colOff>
      <xdr:row>99</xdr:row>
      <xdr:rowOff>0</xdr:rowOff>
    </xdr:from>
    <xdr:to>
      <xdr:col>4</xdr:col>
      <xdr:colOff>96749</xdr:colOff>
      <xdr:row>121</xdr:row>
      <xdr:rowOff>60454</xdr:rowOff>
    </xdr:to>
    <xdr:pic>
      <xdr:nvPicPr>
        <xdr:cNvPr id="8" name="Image 7">
          <a:extLst>
            <a:ext uri="{FF2B5EF4-FFF2-40B4-BE49-F238E27FC236}">
              <a16:creationId xmlns:a16="http://schemas.microsoft.com/office/drawing/2014/main" id="{6A6F9054-AC59-F8AD-8342-DA082D3D4826}"/>
            </a:ext>
          </a:extLst>
        </xdr:cNvPr>
        <xdr:cNvPicPr>
          <a:picLocks noChangeAspect="1"/>
        </xdr:cNvPicPr>
      </xdr:nvPicPr>
      <xdr:blipFill>
        <a:blip xmlns:r="http://schemas.openxmlformats.org/officeDocument/2006/relationships" r:embed="rId7"/>
        <a:stretch>
          <a:fillRect/>
        </a:stretch>
      </xdr:blipFill>
      <xdr:spPr>
        <a:xfrm>
          <a:off x="0" y="18640425"/>
          <a:ext cx="3247619" cy="4047619"/>
        </a:xfrm>
        <a:prstGeom prst="rect">
          <a:avLst/>
        </a:prstGeom>
      </xdr:spPr>
    </xdr:pic>
    <xdr:clientData/>
  </xdr:twoCellAnchor>
  <xdr:twoCellAnchor editAs="oneCell">
    <xdr:from>
      <xdr:col>0</xdr:col>
      <xdr:colOff>0</xdr:colOff>
      <xdr:row>141</xdr:row>
      <xdr:rowOff>0</xdr:rowOff>
    </xdr:from>
    <xdr:to>
      <xdr:col>8</xdr:col>
      <xdr:colOff>591592</xdr:colOff>
      <xdr:row>160</xdr:row>
      <xdr:rowOff>134810</xdr:rowOff>
    </xdr:to>
    <xdr:pic>
      <xdr:nvPicPr>
        <xdr:cNvPr id="9" name="Image 8">
          <a:extLst>
            <a:ext uri="{FF2B5EF4-FFF2-40B4-BE49-F238E27FC236}">
              <a16:creationId xmlns:a16="http://schemas.microsoft.com/office/drawing/2014/main" id="{D1F0DB41-F759-F746-DC14-6F2A420F8079}"/>
            </a:ext>
          </a:extLst>
        </xdr:cNvPr>
        <xdr:cNvPicPr>
          <a:picLocks noChangeAspect="1"/>
        </xdr:cNvPicPr>
      </xdr:nvPicPr>
      <xdr:blipFill>
        <a:blip xmlns:r="http://schemas.openxmlformats.org/officeDocument/2006/relationships" r:embed="rId8"/>
        <a:stretch>
          <a:fillRect/>
        </a:stretch>
      </xdr:blipFill>
      <xdr:spPr>
        <a:xfrm>
          <a:off x="0" y="22983825"/>
          <a:ext cx="6904762" cy="3561905"/>
        </a:xfrm>
        <a:prstGeom prst="rect">
          <a:avLst/>
        </a:prstGeom>
      </xdr:spPr>
    </xdr:pic>
    <xdr:clientData/>
  </xdr:twoCellAnchor>
  <xdr:twoCellAnchor editAs="oneCell">
    <xdr:from>
      <xdr:col>9</xdr:col>
      <xdr:colOff>0</xdr:colOff>
      <xdr:row>141</xdr:row>
      <xdr:rowOff>0</xdr:rowOff>
    </xdr:from>
    <xdr:to>
      <xdr:col>17</xdr:col>
      <xdr:colOff>326828</xdr:colOff>
      <xdr:row>155</xdr:row>
      <xdr:rowOff>173018</xdr:rowOff>
    </xdr:to>
    <xdr:pic>
      <xdr:nvPicPr>
        <xdr:cNvPr id="10" name="Image 9">
          <a:extLst>
            <a:ext uri="{FF2B5EF4-FFF2-40B4-BE49-F238E27FC236}">
              <a16:creationId xmlns:a16="http://schemas.microsoft.com/office/drawing/2014/main" id="{CFB307C9-85FB-B718-3BA1-8F4379C09871}"/>
            </a:ext>
          </a:extLst>
        </xdr:cNvPr>
        <xdr:cNvPicPr>
          <a:picLocks noChangeAspect="1"/>
        </xdr:cNvPicPr>
      </xdr:nvPicPr>
      <xdr:blipFill>
        <a:blip xmlns:r="http://schemas.openxmlformats.org/officeDocument/2006/relationships" r:embed="rId9"/>
        <a:stretch>
          <a:fillRect/>
        </a:stretch>
      </xdr:blipFill>
      <xdr:spPr>
        <a:xfrm>
          <a:off x="7115175" y="22983825"/>
          <a:ext cx="6657143" cy="2695238"/>
        </a:xfrm>
        <a:prstGeom prst="rect">
          <a:avLst/>
        </a:prstGeom>
      </xdr:spPr>
    </xdr:pic>
    <xdr:clientData/>
  </xdr:twoCellAnchor>
  <xdr:twoCellAnchor editAs="oneCell">
    <xdr:from>
      <xdr:col>0</xdr:col>
      <xdr:colOff>0</xdr:colOff>
      <xdr:row>162</xdr:row>
      <xdr:rowOff>0</xdr:rowOff>
    </xdr:from>
    <xdr:to>
      <xdr:col>8</xdr:col>
      <xdr:colOff>555400</xdr:colOff>
      <xdr:row>183</xdr:row>
      <xdr:rowOff>98573</xdr:rowOff>
    </xdr:to>
    <xdr:pic>
      <xdr:nvPicPr>
        <xdr:cNvPr id="11" name="Image 10">
          <a:extLst>
            <a:ext uri="{FF2B5EF4-FFF2-40B4-BE49-F238E27FC236}">
              <a16:creationId xmlns:a16="http://schemas.microsoft.com/office/drawing/2014/main" id="{7BE92FD1-71D4-E8F8-BD3B-E86CF4341976}"/>
            </a:ext>
          </a:extLst>
        </xdr:cNvPr>
        <xdr:cNvPicPr>
          <a:picLocks noChangeAspect="1"/>
        </xdr:cNvPicPr>
      </xdr:nvPicPr>
      <xdr:blipFill>
        <a:blip xmlns:r="http://schemas.openxmlformats.org/officeDocument/2006/relationships" r:embed="rId10"/>
        <a:stretch>
          <a:fillRect/>
        </a:stretch>
      </xdr:blipFill>
      <xdr:spPr>
        <a:xfrm>
          <a:off x="0" y="26784300"/>
          <a:ext cx="6876190" cy="3895238"/>
        </a:xfrm>
        <a:prstGeom prst="rect">
          <a:avLst/>
        </a:prstGeom>
      </xdr:spPr>
    </xdr:pic>
    <xdr:clientData/>
  </xdr:twoCellAnchor>
  <xdr:twoCellAnchor editAs="oneCell">
    <xdr:from>
      <xdr:col>9</xdr:col>
      <xdr:colOff>0</xdr:colOff>
      <xdr:row>162</xdr:row>
      <xdr:rowOff>0</xdr:rowOff>
    </xdr:from>
    <xdr:to>
      <xdr:col>17</xdr:col>
      <xdr:colOff>323018</xdr:colOff>
      <xdr:row>176</xdr:row>
      <xdr:rowOff>174922</xdr:rowOff>
    </xdr:to>
    <xdr:pic>
      <xdr:nvPicPr>
        <xdr:cNvPr id="12" name="Image 11">
          <a:extLst>
            <a:ext uri="{FF2B5EF4-FFF2-40B4-BE49-F238E27FC236}">
              <a16:creationId xmlns:a16="http://schemas.microsoft.com/office/drawing/2014/main" id="{8220CD4C-3B2B-6EA8-0225-3E90445B066C}"/>
            </a:ext>
          </a:extLst>
        </xdr:cNvPr>
        <xdr:cNvPicPr>
          <a:picLocks noChangeAspect="1"/>
        </xdr:cNvPicPr>
      </xdr:nvPicPr>
      <xdr:blipFill>
        <a:blip xmlns:r="http://schemas.openxmlformats.org/officeDocument/2006/relationships" r:embed="rId11"/>
        <a:stretch>
          <a:fillRect/>
        </a:stretch>
      </xdr:blipFill>
      <xdr:spPr>
        <a:xfrm>
          <a:off x="7115175" y="26784300"/>
          <a:ext cx="6657143" cy="2704762"/>
        </a:xfrm>
        <a:prstGeom prst="rect">
          <a:avLst/>
        </a:prstGeom>
      </xdr:spPr>
    </xdr:pic>
    <xdr:clientData/>
  </xdr:twoCellAnchor>
  <xdr:twoCellAnchor editAs="oneCell">
    <xdr:from>
      <xdr:col>0</xdr:col>
      <xdr:colOff>0</xdr:colOff>
      <xdr:row>123</xdr:row>
      <xdr:rowOff>57150</xdr:rowOff>
    </xdr:from>
    <xdr:to>
      <xdr:col>8</xdr:col>
      <xdr:colOff>98258</xdr:colOff>
      <xdr:row>139</xdr:row>
      <xdr:rowOff>16788</xdr:rowOff>
    </xdr:to>
    <xdr:pic>
      <xdr:nvPicPr>
        <xdr:cNvPr id="13" name="Image 12">
          <a:extLst>
            <a:ext uri="{FF2B5EF4-FFF2-40B4-BE49-F238E27FC236}">
              <a16:creationId xmlns:a16="http://schemas.microsoft.com/office/drawing/2014/main" id="{A5B86EA7-4CBB-971A-64D2-97F8F60ABFF5}"/>
            </a:ext>
          </a:extLst>
        </xdr:cNvPr>
        <xdr:cNvPicPr>
          <a:picLocks noChangeAspect="1"/>
        </xdr:cNvPicPr>
      </xdr:nvPicPr>
      <xdr:blipFill>
        <a:blip xmlns:r="http://schemas.openxmlformats.org/officeDocument/2006/relationships" r:embed="rId12"/>
        <a:stretch>
          <a:fillRect/>
        </a:stretch>
      </xdr:blipFill>
      <xdr:spPr>
        <a:xfrm>
          <a:off x="0" y="23221950"/>
          <a:ext cx="6419048" cy="2851428"/>
        </a:xfrm>
        <a:prstGeom prst="rect">
          <a:avLst/>
        </a:prstGeom>
      </xdr:spPr>
    </xdr:pic>
    <xdr:clientData/>
  </xdr:twoCellAnchor>
  <xdr:twoCellAnchor editAs="oneCell">
    <xdr:from>
      <xdr:col>0</xdr:col>
      <xdr:colOff>0</xdr:colOff>
      <xdr:row>185</xdr:row>
      <xdr:rowOff>0</xdr:rowOff>
    </xdr:from>
    <xdr:to>
      <xdr:col>8</xdr:col>
      <xdr:colOff>517304</xdr:colOff>
      <xdr:row>204</xdr:row>
      <xdr:rowOff>37665</xdr:rowOff>
    </xdr:to>
    <xdr:pic>
      <xdr:nvPicPr>
        <xdr:cNvPr id="14" name="Image 13">
          <a:extLst>
            <a:ext uri="{FF2B5EF4-FFF2-40B4-BE49-F238E27FC236}">
              <a16:creationId xmlns:a16="http://schemas.microsoft.com/office/drawing/2014/main" id="{7DF57D60-2211-73B1-2496-9877F8CFE6CB}"/>
            </a:ext>
          </a:extLst>
        </xdr:cNvPr>
        <xdr:cNvPicPr>
          <a:picLocks noChangeAspect="1"/>
        </xdr:cNvPicPr>
      </xdr:nvPicPr>
      <xdr:blipFill>
        <a:blip xmlns:r="http://schemas.openxmlformats.org/officeDocument/2006/relationships" r:embed="rId13"/>
        <a:stretch>
          <a:fillRect/>
        </a:stretch>
      </xdr:blipFill>
      <xdr:spPr>
        <a:xfrm>
          <a:off x="0" y="34204275"/>
          <a:ext cx="6847619" cy="3476190"/>
        </a:xfrm>
        <a:prstGeom prst="rect">
          <a:avLst/>
        </a:prstGeom>
      </xdr:spPr>
    </xdr:pic>
    <xdr:clientData/>
  </xdr:twoCellAnchor>
  <xdr:twoCellAnchor editAs="oneCell">
    <xdr:from>
      <xdr:col>0</xdr:col>
      <xdr:colOff>0</xdr:colOff>
      <xdr:row>207</xdr:row>
      <xdr:rowOff>0</xdr:rowOff>
    </xdr:from>
    <xdr:to>
      <xdr:col>8</xdr:col>
      <xdr:colOff>629687</xdr:colOff>
      <xdr:row>230</xdr:row>
      <xdr:rowOff>96624</xdr:rowOff>
    </xdr:to>
    <xdr:pic>
      <xdr:nvPicPr>
        <xdr:cNvPr id="17" name="Image 16">
          <a:extLst>
            <a:ext uri="{FF2B5EF4-FFF2-40B4-BE49-F238E27FC236}">
              <a16:creationId xmlns:a16="http://schemas.microsoft.com/office/drawing/2014/main" id="{F1FCD710-043E-383E-E660-0BDC1581D711}"/>
            </a:ext>
          </a:extLst>
        </xdr:cNvPr>
        <xdr:cNvPicPr>
          <a:picLocks noChangeAspect="1"/>
        </xdr:cNvPicPr>
      </xdr:nvPicPr>
      <xdr:blipFill>
        <a:blip xmlns:r="http://schemas.openxmlformats.org/officeDocument/2006/relationships" r:embed="rId14"/>
        <a:stretch>
          <a:fillRect/>
        </a:stretch>
      </xdr:blipFill>
      <xdr:spPr>
        <a:xfrm>
          <a:off x="0" y="40900350"/>
          <a:ext cx="6942857" cy="4247619"/>
        </a:xfrm>
        <a:prstGeom prst="rect">
          <a:avLst/>
        </a:prstGeom>
      </xdr:spPr>
    </xdr:pic>
    <xdr:clientData/>
  </xdr:twoCellAnchor>
  <xdr:twoCellAnchor editAs="oneCell">
    <xdr:from>
      <xdr:col>0</xdr:col>
      <xdr:colOff>0</xdr:colOff>
      <xdr:row>232</xdr:row>
      <xdr:rowOff>0</xdr:rowOff>
    </xdr:from>
    <xdr:to>
      <xdr:col>8</xdr:col>
      <xdr:colOff>646828</xdr:colOff>
      <xdr:row>255</xdr:row>
      <xdr:rowOff>94718</xdr:rowOff>
    </xdr:to>
    <xdr:pic>
      <xdr:nvPicPr>
        <xdr:cNvPr id="18" name="Image 17">
          <a:extLst>
            <a:ext uri="{FF2B5EF4-FFF2-40B4-BE49-F238E27FC236}">
              <a16:creationId xmlns:a16="http://schemas.microsoft.com/office/drawing/2014/main" id="{390205D8-99A0-2C68-2432-267A121E8904}"/>
            </a:ext>
          </a:extLst>
        </xdr:cNvPr>
        <xdr:cNvPicPr>
          <a:picLocks noChangeAspect="1"/>
        </xdr:cNvPicPr>
      </xdr:nvPicPr>
      <xdr:blipFill>
        <a:blip xmlns:r="http://schemas.openxmlformats.org/officeDocument/2006/relationships" r:embed="rId15"/>
        <a:stretch>
          <a:fillRect/>
        </a:stretch>
      </xdr:blipFill>
      <xdr:spPr>
        <a:xfrm>
          <a:off x="0" y="45424725"/>
          <a:ext cx="6971428" cy="4257143"/>
        </a:xfrm>
        <a:prstGeom prst="rect">
          <a:avLst/>
        </a:prstGeom>
      </xdr:spPr>
    </xdr:pic>
    <xdr:clientData/>
  </xdr:twoCellAnchor>
  <xdr:twoCellAnchor editAs="oneCell">
    <xdr:from>
      <xdr:col>0</xdr:col>
      <xdr:colOff>0</xdr:colOff>
      <xdr:row>257</xdr:row>
      <xdr:rowOff>0</xdr:rowOff>
    </xdr:from>
    <xdr:to>
      <xdr:col>8</xdr:col>
      <xdr:colOff>549687</xdr:colOff>
      <xdr:row>280</xdr:row>
      <xdr:rowOff>37575</xdr:rowOff>
    </xdr:to>
    <xdr:pic>
      <xdr:nvPicPr>
        <xdr:cNvPr id="19" name="Image 18">
          <a:extLst>
            <a:ext uri="{FF2B5EF4-FFF2-40B4-BE49-F238E27FC236}">
              <a16:creationId xmlns:a16="http://schemas.microsoft.com/office/drawing/2014/main" id="{3DAB08A5-6649-BF5D-58A3-246E6B440F08}"/>
            </a:ext>
          </a:extLst>
        </xdr:cNvPr>
        <xdr:cNvPicPr>
          <a:picLocks noChangeAspect="1"/>
        </xdr:cNvPicPr>
      </xdr:nvPicPr>
      <xdr:blipFill>
        <a:blip xmlns:r="http://schemas.openxmlformats.org/officeDocument/2006/relationships" r:embed="rId16"/>
        <a:stretch>
          <a:fillRect/>
        </a:stretch>
      </xdr:blipFill>
      <xdr:spPr>
        <a:xfrm>
          <a:off x="0" y="47234475"/>
          <a:ext cx="6866667" cy="4200000"/>
        </a:xfrm>
        <a:prstGeom prst="rect">
          <a:avLst/>
        </a:prstGeom>
      </xdr:spPr>
    </xdr:pic>
    <xdr:clientData/>
  </xdr:twoCellAnchor>
  <xdr:twoCellAnchor editAs="oneCell">
    <xdr:from>
      <xdr:col>0</xdr:col>
      <xdr:colOff>0</xdr:colOff>
      <xdr:row>282</xdr:row>
      <xdr:rowOff>0</xdr:rowOff>
    </xdr:from>
    <xdr:to>
      <xdr:col>8</xdr:col>
      <xdr:colOff>589686</xdr:colOff>
      <xdr:row>305</xdr:row>
      <xdr:rowOff>94718</xdr:rowOff>
    </xdr:to>
    <xdr:pic>
      <xdr:nvPicPr>
        <xdr:cNvPr id="20" name="Image 19">
          <a:extLst>
            <a:ext uri="{FF2B5EF4-FFF2-40B4-BE49-F238E27FC236}">
              <a16:creationId xmlns:a16="http://schemas.microsoft.com/office/drawing/2014/main" id="{6A98981F-5D45-3120-C2E8-B8E311839EBD}"/>
            </a:ext>
          </a:extLst>
        </xdr:cNvPr>
        <xdr:cNvPicPr>
          <a:picLocks noChangeAspect="1"/>
        </xdr:cNvPicPr>
      </xdr:nvPicPr>
      <xdr:blipFill>
        <a:blip xmlns:r="http://schemas.openxmlformats.org/officeDocument/2006/relationships" r:embed="rId17"/>
        <a:stretch>
          <a:fillRect/>
        </a:stretch>
      </xdr:blipFill>
      <xdr:spPr>
        <a:xfrm>
          <a:off x="0" y="51758850"/>
          <a:ext cx="6914286" cy="4257143"/>
        </a:xfrm>
        <a:prstGeom prst="rect">
          <a:avLst/>
        </a:prstGeom>
      </xdr:spPr>
    </xdr:pic>
    <xdr:clientData/>
  </xdr:twoCellAnchor>
  <xdr:twoCellAnchor editAs="oneCell">
    <xdr:from>
      <xdr:col>0</xdr:col>
      <xdr:colOff>0</xdr:colOff>
      <xdr:row>307</xdr:row>
      <xdr:rowOff>0</xdr:rowOff>
    </xdr:from>
    <xdr:to>
      <xdr:col>8</xdr:col>
      <xdr:colOff>723019</xdr:colOff>
      <xdr:row>330</xdr:row>
      <xdr:rowOff>56621</xdr:rowOff>
    </xdr:to>
    <xdr:pic>
      <xdr:nvPicPr>
        <xdr:cNvPr id="21" name="Image 20">
          <a:extLst>
            <a:ext uri="{FF2B5EF4-FFF2-40B4-BE49-F238E27FC236}">
              <a16:creationId xmlns:a16="http://schemas.microsoft.com/office/drawing/2014/main" id="{C9CADFEA-9BDD-9A2A-FE1F-D42339BBFF78}"/>
            </a:ext>
          </a:extLst>
        </xdr:cNvPr>
        <xdr:cNvPicPr>
          <a:picLocks noChangeAspect="1"/>
        </xdr:cNvPicPr>
      </xdr:nvPicPr>
      <xdr:blipFill>
        <a:blip xmlns:r="http://schemas.openxmlformats.org/officeDocument/2006/relationships" r:embed="rId18"/>
        <a:stretch>
          <a:fillRect/>
        </a:stretch>
      </xdr:blipFill>
      <xdr:spPr>
        <a:xfrm>
          <a:off x="0" y="56283225"/>
          <a:ext cx="7047619" cy="4228571"/>
        </a:xfrm>
        <a:prstGeom prst="rect">
          <a:avLst/>
        </a:prstGeom>
      </xdr:spPr>
    </xdr:pic>
    <xdr:clientData/>
  </xdr:twoCellAnchor>
  <xdr:twoCellAnchor editAs="oneCell">
    <xdr:from>
      <xdr:col>0</xdr:col>
      <xdr:colOff>0</xdr:colOff>
      <xdr:row>332</xdr:row>
      <xdr:rowOff>0</xdr:rowOff>
    </xdr:from>
    <xdr:to>
      <xdr:col>8</xdr:col>
      <xdr:colOff>570638</xdr:colOff>
      <xdr:row>355</xdr:row>
      <xdr:rowOff>22336</xdr:rowOff>
    </xdr:to>
    <xdr:pic>
      <xdr:nvPicPr>
        <xdr:cNvPr id="22" name="Image 21">
          <a:extLst>
            <a:ext uri="{FF2B5EF4-FFF2-40B4-BE49-F238E27FC236}">
              <a16:creationId xmlns:a16="http://schemas.microsoft.com/office/drawing/2014/main" id="{8CA5DE2C-2103-88F0-C5E6-335F2E048C94}"/>
            </a:ext>
          </a:extLst>
        </xdr:cNvPr>
        <xdr:cNvPicPr>
          <a:picLocks noChangeAspect="1"/>
        </xdr:cNvPicPr>
      </xdr:nvPicPr>
      <xdr:blipFill>
        <a:blip xmlns:r="http://schemas.openxmlformats.org/officeDocument/2006/relationships" r:embed="rId19"/>
        <a:stretch>
          <a:fillRect/>
        </a:stretch>
      </xdr:blipFill>
      <xdr:spPr>
        <a:xfrm>
          <a:off x="0" y="60807600"/>
          <a:ext cx="6895238" cy="4190476"/>
        </a:xfrm>
        <a:prstGeom prst="rect">
          <a:avLst/>
        </a:prstGeom>
      </xdr:spPr>
    </xdr:pic>
    <xdr:clientData/>
  </xdr:twoCellAnchor>
  <xdr:twoCellAnchor editAs="oneCell">
    <xdr:from>
      <xdr:col>0</xdr:col>
      <xdr:colOff>0</xdr:colOff>
      <xdr:row>357</xdr:row>
      <xdr:rowOff>0</xdr:rowOff>
    </xdr:from>
    <xdr:to>
      <xdr:col>8</xdr:col>
      <xdr:colOff>517304</xdr:colOff>
      <xdr:row>388</xdr:row>
      <xdr:rowOff>134538</xdr:rowOff>
    </xdr:to>
    <xdr:pic>
      <xdr:nvPicPr>
        <xdr:cNvPr id="23" name="Image 22">
          <a:extLst>
            <a:ext uri="{FF2B5EF4-FFF2-40B4-BE49-F238E27FC236}">
              <a16:creationId xmlns:a16="http://schemas.microsoft.com/office/drawing/2014/main" id="{BD67B565-FD67-6A7D-A6C9-48DBA80C7FDB}"/>
            </a:ext>
          </a:extLst>
        </xdr:cNvPr>
        <xdr:cNvPicPr>
          <a:picLocks noChangeAspect="1"/>
        </xdr:cNvPicPr>
      </xdr:nvPicPr>
      <xdr:blipFill>
        <a:blip xmlns:r="http://schemas.openxmlformats.org/officeDocument/2006/relationships" r:embed="rId20"/>
        <a:stretch>
          <a:fillRect/>
        </a:stretch>
      </xdr:blipFill>
      <xdr:spPr>
        <a:xfrm>
          <a:off x="0" y="65331975"/>
          <a:ext cx="6847619" cy="5733333"/>
        </a:xfrm>
        <a:prstGeom prst="rect">
          <a:avLst/>
        </a:prstGeom>
      </xdr:spPr>
    </xdr:pic>
    <xdr:clientData/>
  </xdr:twoCellAnchor>
  <xdr:twoCellAnchor editAs="oneCell">
    <xdr:from>
      <xdr:col>0</xdr:col>
      <xdr:colOff>0</xdr:colOff>
      <xdr:row>390</xdr:row>
      <xdr:rowOff>0</xdr:rowOff>
    </xdr:from>
    <xdr:to>
      <xdr:col>6</xdr:col>
      <xdr:colOff>570836</xdr:colOff>
      <xdr:row>431</xdr:row>
      <xdr:rowOff>174311</xdr:rowOff>
    </xdr:to>
    <xdr:pic>
      <xdr:nvPicPr>
        <xdr:cNvPr id="24" name="Image 23">
          <a:extLst>
            <a:ext uri="{FF2B5EF4-FFF2-40B4-BE49-F238E27FC236}">
              <a16:creationId xmlns:a16="http://schemas.microsoft.com/office/drawing/2014/main" id="{308F2367-88A5-92D0-6CED-E5899CBA9821}"/>
            </a:ext>
          </a:extLst>
        </xdr:cNvPr>
        <xdr:cNvPicPr>
          <a:picLocks noChangeAspect="1"/>
        </xdr:cNvPicPr>
      </xdr:nvPicPr>
      <xdr:blipFill>
        <a:blip xmlns:r="http://schemas.openxmlformats.org/officeDocument/2006/relationships" r:embed="rId21"/>
        <a:stretch>
          <a:fillRect/>
        </a:stretch>
      </xdr:blipFill>
      <xdr:spPr>
        <a:xfrm>
          <a:off x="0" y="71304150"/>
          <a:ext cx="5314286" cy="7590476"/>
        </a:xfrm>
        <a:prstGeom prst="rect">
          <a:avLst/>
        </a:prstGeom>
      </xdr:spPr>
    </xdr:pic>
    <xdr:clientData/>
  </xdr:twoCellAnchor>
  <xdr:twoCellAnchor editAs="oneCell">
    <xdr:from>
      <xdr:col>21</xdr:col>
      <xdr:colOff>0</xdr:colOff>
      <xdr:row>23</xdr:row>
      <xdr:rowOff>1</xdr:rowOff>
    </xdr:from>
    <xdr:to>
      <xdr:col>25</xdr:col>
      <xdr:colOff>0</xdr:colOff>
      <xdr:row>27</xdr:row>
      <xdr:rowOff>79491</xdr:rowOff>
    </xdr:to>
    <xdr:pic>
      <xdr:nvPicPr>
        <xdr:cNvPr id="15" name="Image 14">
          <a:extLst>
            <a:ext uri="{FF2B5EF4-FFF2-40B4-BE49-F238E27FC236}">
              <a16:creationId xmlns:a16="http://schemas.microsoft.com/office/drawing/2014/main" id="{B278B601-4100-427F-58EB-BD3E3FF7BEC4}"/>
            </a:ext>
          </a:extLst>
        </xdr:cNvPr>
        <xdr:cNvPicPr>
          <a:picLocks noChangeAspect="1"/>
        </xdr:cNvPicPr>
      </xdr:nvPicPr>
      <xdr:blipFill>
        <a:blip xmlns:r="http://schemas.openxmlformats.org/officeDocument/2006/relationships" r:embed="rId22"/>
        <a:stretch>
          <a:fillRect/>
        </a:stretch>
      </xdr:blipFill>
      <xdr:spPr>
        <a:xfrm>
          <a:off x="16602075" y="4162426"/>
          <a:ext cx="5591175" cy="8033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xdr:row>
      <xdr:rowOff>95250</xdr:rowOff>
    </xdr:from>
    <xdr:to>
      <xdr:col>5</xdr:col>
      <xdr:colOff>247220</xdr:colOff>
      <xdr:row>7</xdr:row>
      <xdr:rowOff>117996</xdr:rowOff>
    </xdr:to>
    <xdr:pic>
      <xdr:nvPicPr>
        <xdr:cNvPr id="2" name="Image 1">
          <a:extLst>
            <a:ext uri="{FF2B5EF4-FFF2-40B4-BE49-F238E27FC236}">
              <a16:creationId xmlns:a16="http://schemas.microsoft.com/office/drawing/2014/main" id="{E15F644C-6D4A-4E69-8287-41AEE45D3595}"/>
            </a:ext>
          </a:extLst>
        </xdr:cNvPr>
        <xdr:cNvPicPr>
          <a:picLocks noChangeAspect="1"/>
        </xdr:cNvPicPr>
      </xdr:nvPicPr>
      <xdr:blipFill>
        <a:blip xmlns:r="http://schemas.openxmlformats.org/officeDocument/2006/relationships" r:embed="rId1"/>
        <a:stretch>
          <a:fillRect/>
        </a:stretch>
      </xdr:blipFill>
      <xdr:spPr>
        <a:xfrm>
          <a:off x="790575" y="457200"/>
          <a:ext cx="3409520" cy="927621"/>
        </a:xfrm>
        <a:prstGeom prst="rect">
          <a:avLst/>
        </a:prstGeom>
      </xdr:spPr>
    </xdr:pic>
    <xdr:clientData/>
  </xdr:twoCellAnchor>
  <xdr:twoCellAnchor editAs="oneCell">
    <xdr:from>
      <xdr:col>1</xdr:col>
      <xdr:colOff>1</xdr:colOff>
      <xdr:row>9</xdr:row>
      <xdr:rowOff>87630</xdr:rowOff>
    </xdr:from>
    <xdr:to>
      <xdr:col>5</xdr:col>
      <xdr:colOff>419101</xdr:colOff>
      <xdr:row>22</xdr:row>
      <xdr:rowOff>172924</xdr:rowOff>
    </xdr:to>
    <xdr:pic>
      <xdr:nvPicPr>
        <xdr:cNvPr id="3" name="Image 2">
          <a:extLst>
            <a:ext uri="{FF2B5EF4-FFF2-40B4-BE49-F238E27FC236}">
              <a16:creationId xmlns:a16="http://schemas.microsoft.com/office/drawing/2014/main" id="{09BD4D3A-F075-D3DA-2353-367951755CD2}"/>
            </a:ext>
          </a:extLst>
        </xdr:cNvPr>
        <xdr:cNvPicPr>
          <a:picLocks noChangeAspect="1"/>
        </xdr:cNvPicPr>
      </xdr:nvPicPr>
      <xdr:blipFill>
        <a:blip xmlns:r="http://schemas.openxmlformats.org/officeDocument/2006/relationships" r:embed="rId2"/>
        <a:stretch>
          <a:fillRect/>
        </a:stretch>
      </xdr:blipFill>
      <xdr:spPr>
        <a:xfrm>
          <a:off x="790576" y="1716405"/>
          <a:ext cx="3581400" cy="2437969"/>
        </a:xfrm>
        <a:prstGeom prst="rect">
          <a:avLst/>
        </a:prstGeom>
      </xdr:spPr>
    </xdr:pic>
    <xdr:clientData/>
  </xdr:twoCellAnchor>
  <xdr:twoCellAnchor editAs="oneCell">
    <xdr:from>
      <xdr:col>1</xdr:col>
      <xdr:colOff>0</xdr:colOff>
      <xdr:row>29</xdr:row>
      <xdr:rowOff>0</xdr:rowOff>
    </xdr:from>
    <xdr:to>
      <xdr:col>5</xdr:col>
      <xdr:colOff>552664</xdr:colOff>
      <xdr:row>42</xdr:row>
      <xdr:rowOff>129540</xdr:rowOff>
    </xdr:to>
    <xdr:pic>
      <xdr:nvPicPr>
        <xdr:cNvPr id="4" name="Image 3">
          <a:extLst>
            <a:ext uri="{FF2B5EF4-FFF2-40B4-BE49-F238E27FC236}">
              <a16:creationId xmlns:a16="http://schemas.microsoft.com/office/drawing/2014/main" id="{FFDF57FB-D63D-E7D0-3BF5-8C102D7604E7}"/>
            </a:ext>
          </a:extLst>
        </xdr:cNvPr>
        <xdr:cNvPicPr>
          <a:picLocks noChangeAspect="1"/>
        </xdr:cNvPicPr>
      </xdr:nvPicPr>
      <xdr:blipFill>
        <a:blip xmlns:r="http://schemas.openxmlformats.org/officeDocument/2006/relationships" r:embed="rId3"/>
        <a:stretch>
          <a:fillRect/>
        </a:stretch>
      </xdr:blipFill>
      <xdr:spPr>
        <a:xfrm>
          <a:off x="790575" y="5610225"/>
          <a:ext cx="3701629" cy="24860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266700</xdr:colOff>
      <xdr:row>4</xdr:row>
      <xdr:rowOff>19050</xdr:rowOff>
    </xdr:from>
    <xdr:to>
      <xdr:col>14</xdr:col>
      <xdr:colOff>740944</xdr:colOff>
      <xdr:row>11</xdr:row>
      <xdr:rowOff>15240</xdr:rowOff>
    </xdr:to>
    <xdr:pic>
      <xdr:nvPicPr>
        <xdr:cNvPr id="2" name="Image 1">
          <a:extLst>
            <a:ext uri="{FF2B5EF4-FFF2-40B4-BE49-F238E27FC236}">
              <a16:creationId xmlns:a16="http://schemas.microsoft.com/office/drawing/2014/main" id="{E51AC8C7-1D59-B3DA-632D-A359A0144BDD}"/>
            </a:ext>
          </a:extLst>
        </xdr:cNvPr>
        <xdr:cNvPicPr>
          <a:picLocks noChangeAspect="1"/>
        </xdr:cNvPicPr>
      </xdr:nvPicPr>
      <xdr:blipFill>
        <a:blip xmlns:r="http://schemas.openxmlformats.org/officeDocument/2006/relationships" r:embed="rId1"/>
        <a:stretch>
          <a:fillRect/>
        </a:stretch>
      </xdr:blipFill>
      <xdr:spPr>
        <a:xfrm>
          <a:off x="7019925" y="742950"/>
          <a:ext cx="6789319" cy="12534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11</xdr:col>
      <xdr:colOff>589587</xdr:colOff>
      <xdr:row>21</xdr:row>
      <xdr:rowOff>165446</xdr:rowOff>
    </xdr:to>
    <xdr:pic>
      <xdr:nvPicPr>
        <xdr:cNvPr id="2" name="Image 1">
          <a:extLst>
            <a:ext uri="{FF2B5EF4-FFF2-40B4-BE49-F238E27FC236}">
              <a16:creationId xmlns:a16="http://schemas.microsoft.com/office/drawing/2014/main" id="{07FDA44F-06EB-4975-8A69-CC1D6B06D178}"/>
            </a:ext>
          </a:extLst>
        </xdr:cNvPr>
        <xdr:cNvPicPr>
          <a:picLocks noChangeAspect="1"/>
        </xdr:cNvPicPr>
      </xdr:nvPicPr>
      <xdr:blipFill>
        <a:blip xmlns:r="http://schemas.openxmlformats.org/officeDocument/2006/relationships" r:embed="rId1"/>
        <a:stretch>
          <a:fillRect/>
        </a:stretch>
      </xdr:blipFill>
      <xdr:spPr>
        <a:xfrm>
          <a:off x="3451860" y="1661160"/>
          <a:ext cx="7704762" cy="2329526"/>
        </a:xfrm>
        <a:prstGeom prst="rect">
          <a:avLst/>
        </a:prstGeom>
      </xdr:spPr>
    </xdr:pic>
    <xdr:clientData/>
  </xdr:twoCellAnchor>
  <xdr:twoCellAnchor editAs="oneCell">
    <xdr:from>
      <xdr:col>2</xdr:col>
      <xdr:colOff>0</xdr:colOff>
      <xdr:row>24</xdr:row>
      <xdr:rowOff>0</xdr:rowOff>
    </xdr:from>
    <xdr:to>
      <xdr:col>10</xdr:col>
      <xdr:colOff>608732</xdr:colOff>
      <xdr:row>39</xdr:row>
      <xdr:rowOff>58710</xdr:rowOff>
    </xdr:to>
    <xdr:pic>
      <xdr:nvPicPr>
        <xdr:cNvPr id="3" name="Image 2">
          <a:extLst>
            <a:ext uri="{FF2B5EF4-FFF2-40B4-BE49-F238E27FC236}">
              <a16:creationId xmlns:a16="http://schemas.microsoft.com/office/drawing/2014/main" id="{E437103A-358E-4255-BB8B-62B2507C9E51}"/>
            </a:ext>
          </a:extLst>
        </xdr:cNvPr>
        <xdr:cNvPicPr>
          <a:picLocks noChangeAspect="1"/>
        </xdr:cNvPicPr>
      </xdr:nvPicPr>
      <xdr:blipFill>
        <a:blip xmlns:r="http://schemas.openxmlformats.org/officeDocument/2006/relationships" r:embed="rId2"/>
        <a:stretch>
          <a:fillRect/>
        </a:stretch>
      </xdr:blipFill>
      <xdr:spPr>
        <a:xfrm>
          <a:off x="3451860" y="4404360"/>
          <a:ext cx="6933332" cy="2761905"/>
        </a:xfrm>
        <a:prstGeom prst="rect">
          <a:avLst/>
        </a:prstGeom>
      </xdr:spPr>
    </xdr:pic>
    <xdr:clientData/>
  </xdr:twoCellAnchor>
  <xdr:twoCellAnchor editAs="oneCell">
    <xdr:from>
      <xdr:col>2</xdr:col>
      <xdr:colOff>0</xdr:colOff>
      <xdr:row>40</xdr:row>
      <xdr:rowOff>0</xdr:rowOff>
    </xdr:from>
    <xdr:to>
      <xdr:col>10</xdr:col>
      <xdr:colOff>606829</xdr:colOff>
      <xdr:row>43</xdr:row>
      <xdr:rowOff>135172</xdr:rowOff>
    </xdr:to>
    <xdr:pic>
      <xdr:nvPicPr>
        <xdr:cNvPr id="4" name="Image 3">
          <a:extLst>
            <a:ext uri="{FF2B5EF4-FFF2-40B4-BE49-F238E27FC236}">
              <a16:creationId xmlns:a16="http://schemas.microsoft.com/office/drawing/2014/main" id="{100CF20C-7687-4FC3-8CBF-A4F09FC65341}"/>
            </a:ext>
          </a:extLst>
        </xdr:cNvPr>
        <xdr:cNvPicPr>
          <a:picLocks noChangeAspect="1"/>
        </xdr:cNvPicPr>
      </xdr:nvPicPr>
      <xdr:blipFill>
        <a:blip xmlns:r="http://schemas.openxmlformats.org/officeDocument/2006/relationships" r:embed="rId3"/>
        <a:stretch>
          <a:fillRect/>
        </a:stretch>
      </xdr:blipFill>
      <xdr:spPr>
        <a:xfrm>
          <a:off x="3451860" y="7330440"/>
          <a:ext cx="6931429" cy="666667"/>
        </a:xfrm>
        <a:prstGeom prst="rect">
          <a:avLst/>
        </a:prstGeom>
      </xdr:spPr>
    </xdr:pic>
    <xdr:clientData/>
  </xdr:twoCellAnchor>
  <xdr:twoCellAnchor editAs="oneCell">
    <xdr:from>
      <xdr:col>2</xdr:col>
      <xdr:colOff>123825</xdr:colOff>
      <xdr:row>47</xdr:row>
      <xdr:rowOff>123825</xdr:rowOff>
    </xdr:from>
    <xdr:to>
      <xdr:col>12</xdr:col>
      <xdr:colOff>339979</xdr:colOff>
      <xdr:row>73</xdr:row>
      <xdr:rowOff>45141</xdr:rowOff>
    </xdr:to>
    <xdr:pic>
      <xdr:nvPicPr>
        <xdr:cNvPr id="5" name="Image 4">
          <a:extLst>
            <a:ext uri="{FF2B5EF4-FFF2-40B4-BE49-F238E27FC236}">
              <a16:creationId xmlns:a16="http://schemas.microsoft.com/office/drawing/2014/main" id="{13C4A4D3-9CA3-A2DE-2497-93BD7C62A052}"/>
            </a:ext>
          </a:extLst>
        </xdr:cNvPr>
        <xdr:cNvPicPr>
          <a:picLocks noChangeAspect="1"/>
        </xdr:cNvPicPr>
      </xdr:nvPicPr>
      <xdr:blipFill>
        <a:blip xmlns:r="http://schemas.openxmlformats.org/officeDocument/2006/relationships" r:embed="rId4"/>
        <a:stretch>
          <a:fillRect/>
        </a:stretch>
      </xdr:blipFill>
      <xdr:spPr>
        <a:xfrm>
          <a:off x="3571875" y="8648700"/>
          <a:ext cx="8121904" cy="46266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87630</xdr:rowOff>
    </xdr:from>
    <xdr:to>
      <xdr:col>12</xdr:col>
      <xdr:colOff>54015</xdr:colOff>
      <xdr:row>24</xdr:row>
      <xdr:rowOff>54729</xdr:rowOff>
    </xdr:to>
    <xdr:pic>
      <xdr:nvPicPr>
        <xdr:cNvPr id="3" name="Image 2">
          <a:extLst>
            <a:ext uri="{FF2B5EF4-FFF2-40B4-BE49-F238E27FC236}">
              <a16:creationId xmlns:a16="http://schemas.microsoft.com/office/drawing/2014/main" id="{99EBF94F-BE9D-8844-A177-398A0AB3F812}"/>
            </a:ext>
          </a:extLst>
        </xdr:cNvPr>
        <xdr:cNvPicPr>
          <a:picLocks noChangeAspect="1"/>
        </xdr:cNvPicPr>
      </xdr:nvPicPr>
      <xdr:blipFill>
        <a:blip xmlns:r="http://schemas.openxmlformats.org/officeDocument/2006/relationships" r:embed="rId1"/>
        <a:stretch>
          <a:fillRect/>
        </a:stretch>
      </xdr:blipFill>
      <xdr:spPr>
        <a:xfrm>
          <a:off x="0" y="268605"/>
          <a:ext cx="9845715" cy="4129524"/>
        </a:xfrm>
        <a:prstGeom prst="rect">
          <a:avLst/>
        </a:prstGeom>
      </xdr:spPr>
    </xdr:pic>
    <xdr:clientData/>
  </xdr:twoCellAnchor>
  <xdr:twoCellAnchor editAs="oneCell">
    <xdr:from>
      <xdr:col>0</xdr:col>
      <xdr:colOff>0</xdr:colOff>
      <xdr:row>26</xdr:row>
      <xdr:rowOff>76200</xdr:rowOff>
    </xdr:from>
    <xdr:to>
      <xdr:col>12</xdr:col>
      <xdr:colOff>663537</xdr:colOff>
      <xdr:row>62</xdr:row>
      <xdr:rowOff>172529</xdr:rowOff>
    </xdr:to>
    <xdr:pic>
      <xdr:nvPicPr>
        <xdr:cNvPr id="4" name="Image 3">
          <a:extLst>
            <a:ext uri="{FF2B5EF4-FFF2-40B4-BE49-F238E27FC236}">
              <a16:creationId xmlns:a16="http://schemas.microsoft.com/office/drawing/2014/main" id="{8B77144E-C670-3B34-4CC7-532EFF71CBF3}"/>
            </a:ext>
          </a:extLst>
        </xdr:cNvPr>
        <xdr:cNvPicPr>
          <a:picLocks noChangeAspect="1"/>
        </xdr:cNvPicPr>
      </xdr:nvPicPr>
      <xdr:blipFill>
        <a:blip xmlns:r="http://schemas.openxmlformats.org/officeDocument/2006/relationships" r:embed="rId2"/>
        <a:stretch>
          <a:fillRect/>
        </a:stretch>
      </xdr:blipFill>
      <xdr:spPr>
        <a:xfrm>
          <a:off x="0" y="4781550"/>
          <a:ext cx="10466667" cy="6611429"/>
        </a:xfrm>
        <a:prstGeom prst="rect">
          <a:avLst/>
        </a:prstGeom>
      </xdr:spPr>
    </xdr:pic>
    <xdr:clientData/>
  </xdr:twoCellAnchor>
  <xdr:twoCellAnchor editAs="oneCell">
    <xdr:from>
      <xdr:col>0</xdr:col>
      <xdr:colOff>0</xdr:colOff>
      <xdr:row>64</xdr:row>
      <xdr:rowOff>0</xdr:rowOff>
    </xdr:from>
    <xdr:to>
      <xdr:col>9</xdr:col>
      <xdr:colOff>361008</xdr:colOff>
      <xdr:row>81</xdr:row>
      <xdr:rowOff>20569</xdr:rowOff>
    </xdr:to>
    <xdr:pic>
      <xdr:nvPicPr>
        <xdr:cNvPr id="5" name="Image 4">
          <a:extLst>
            <a:ext uri="{FF2B5EF4-FFF2-40B4-BE49-F238E27FC236}">
              <a16:creationId xmlns:a16="http://schemas.microsoft.com/office/drawing/2014/main" id="{BBE08E53-8D6B-710D-53FF-250FBAC76B02}"/>
            </a:ext>
          </a:extLst>
        </xdr:cNvPr>
        <xdr:cNvPicPr>
          <a:picLocks noChangeAspect="1"/>
        </xdr:cNvPicPr>
      </xdr:nvPicPr>
      <xdr:blipFill>
        <a:blip xmlns:r="http://schemas.openxmlformats.org/officeDocument/2006/relationships" r:embed="rId3"/>
        <a:stretch>
          <a:fillRect/>
        </a:stretch>
      </xdr:blipFill>
      <xdr:spPr>
        <a:xfrm>
          <a:off x="0" y="11582400"/>
          <a:ext cx="7533333" cy="3085714"/>
        </a:xfrm>
        <a:prstGeom prst="rect">
          <a:avLst/>
        </a:prstGeom>
      </xdr:spPr>
    </xdr:pic>
    <xdr:clientData/>
  </xdr:twoCellAnchor>
  <xdr:twoCellAnchor editAs="oneCell">
    <xdr:from>
      <xdr:col>0</xdr:col>
      <xdr:colOff>0</xdr:colOff>
      <xdr:row>83</xdr:row>
      <xdr:rowOff>0</xdr:rowOff>
    </xdr:from>
    <xdr:to>
      <xdr:col>8</xdr:col>
      <xdr:colOff>132543</xdr:colOff>
      <xdr:row>100</xdr:row>
      <xdr:rowOff>22472</xdr:rowOff>
    </xdr:to>
    <xdr:pic>
      <xdr:nvPicPr>
        <xdr:cNvPr id="6" name="Image 5">
          <a:extLst>
            <a:ext uri="{FF2B5EF4-FFF2-40B4-BE49-F238E27FC236}">
              <a16:creationId xmlns:a16="http://schemas.microsoft.com/office/drawing/2014/main" id="{EC53CABC-6A57-B492-390A-72CF50ECD893}"/>
            </a:ext>
          </a:extLst>
        </xdr:cNvPr>
        <xdr:cNvPicPr>
          <a:picLocks noChangeAspect="1"/>
        </xdr:cNvPicPr>
      </xdr:nvPicPr>
      <xdr:blipFill>
        <a:blip xmlns:r="http://schemas.openxmlformats.org/officeDocument/2006/relationships" r:embed="rId4"/>
        <a:stretch>
          <a:fillRect/>
        </a:stretch>
      </xdr:blipFill>
      <xdr:spPr>
        <a:xfrm>
          <a:off x="0" y="15020925"/>
          <a:ext cx="6457143" cy="3104762"/>
        </a:xfrm>
        <a:prstGeom prst="rect">
          <a:avLst/>
        </a:prstGeom>
      </xdr:spPr>
    </xdr:pic>
    <xdr:clientData/>
  </xdr:twoCellAnchor>
  <xdr:twoCellAnchor editAs="oneCell">
    <xdr:from>
      <xdr:col>0</xdr:col>
      <xdr:colOff>0</xdr:colOff>
      <xdr:row>124</xdr:row>
      <xdr:rowOff>34290</xdr:rowOff>
    </xdr:from>
    <xdr:to>
      <xdr:col>8</xdr:col>
      <xdr:colOff>534448</xdr:colOff>
      <xdr:row>140</xdr:row>
      <xdr:rowOff>113927</xdr:rowOff>
    </xdr:to>
    <xdr:pic>
      <xdr:nvPicPr>
        <xdr:cNvPr id="7" name="Image 6">
          <a:extLst>
            <a:ext uri="{FF2B5EF4-FFF2-40B4-BE49-F238E27FC236}">
              <a16:creationId xmlns:a16="http://schemas.microsoft.com/office/drawing/2014/main" id="{9A6A9064-A258-07E9-BC91-D2A19B3EB21D}"/>
            </a:ext>
          </a:extLst>
        </xdr:cNvPr>
        <xdr:cNvPicPr>
          <a:picLocks noChangeAspect="1"/>
        </xdr:cNvPicPr>
      </xdr:nvPicPr>
      <xdr:blipFill>
        <a:blip xmlns:r="http://schemas.openxmlformats.org/officeDocument/2006/relationships" r:embed="rId5"/>
        <a:stretch>
          <a:fillRect/>
        </a:stretch>
      </xdr:blipFill>
      <xdr:spPr>
        <a:xfrm>
          <a:off x="0" y="22475190"/>
          <a:ext cx="6859048" cy="2975237"/>
        </a:xfrm>
        <a:prstGeom prst="rect">
          <a:avLst/>
        </a:prstGeom>
      </xdr:spPr>
    </xdr:pic>
    <xdr:clientData/>
  </xdr:twoCellAnchor>
  <xdr:twoCellAnchor editAs="oneCell">
    <xdr:from>
      <xdr:col>0</xdr:col>
      <xdr:colOff>40005</xdr:colOff>
      <xdr:row>102</xdr:row>
      <xdr:rowOff>68580</xdr:rowOff>
    </xdr:from>
    <xdr:to>
      <xdr:col>5</xdr:col>
      <xdr:colOff>155702</xdr:colOff>
      <xdr:row>122</xdr:row>
      <xdr:rowOff>56699</xdr:rowOff>
    </xdr:to>
    <xdr:pic>
      <xdr:nvPicPr>
        <xdr:cNvPr id="8" name="Image 7">
          <a:extLst>
            <a:ext uri="{FF2B5EF4-FFF2-40B4-BE49-F238E27FC236}">
              <a16:creationId xmlns:a16="http://schemas.microsoft.com/office/drawing/2014/main" id="{339BCD1D-3762-C543-955A-A742930E354D}"/>
            </a:ext>
          </a:extLst>
        </xdr:cNvPr>
        <xdr:cNvPicPr>
          <a:picLocks noChangeAspect="1"/>
        </xdr:cNvPicPr>
      </xdr:nvPicPr>
      <xdr:blipFill>
        <a:blip xmlns:r="http://schemas.openxmlformats.org/officeDocument/2006/relationships" r:embed="rId6"/>
        <a:stretch>
          <a:fillRect/>
        </a:stretch>
      </xdr:blipFill>
      <xdr:spPr>
        <a:xfrm>
          <a:off x="40005" y="18528030"/>
          <a:ext cx="4068572" cy="3619049"/>
        </a:xfrm>
        <a:prstGeom prst="rect">
          <a:avLst/>
        </a:prstGeom>
      </xdr:spPr>
    </xdr:pic>
    <xdr:clientData/>
  </xdr:twoCellAnchor>
  <xdr:twoCellAnchor editAs="oneCell">
    <xdr:from>
      <xdr:col>0</xdr:col>
      <xdr:colOff>0</xdr:colOff>
      <xdr:row>142</xdr:row>
      <xdr:rowOff>0</xdr:rowOff>
    </xdr:from>
    <xdr:to>
      <xdr:col>4</xdr:col>
      <xdr:colOff>435796</xdr:colOff>
      <xdr:row>163</xdr:row>
      <xdr:rowOff>92859</xdr:rowOff>
    </xdr:to>
    <xdr:pic>
      <xdr:nvPicPr>
        <xdr:cNvPr id="9" name="Image 8">
          <a:extLst>
            <a:ext uri="{FF2B5EF4-FFF2-40B4-BE49-F238E27FC236}">
              <a16:creationId xmlns:a16="http://schemas.microsoft.com/office/drawing/2014/main" id="{9C390106-B863-1D2F-9857-6985E393B398}"/>
            </a:ext>
          </a:extLst>
        </xdr:cNvPr>
        <xdr:cNvPicPr>
          <a:picLocks noChangeAspect="1"/>
        </xdr:cNvPicPr>
      </xdr:nvPicPr>
      <xdr:blipFill>
        <a:blip xmlns:r="http://schemas.openxmlformats.org/officeDocument/2006/relationships" r:embed="rId7"/>
        <a:stretch>
          <a:fillRect/>
        </a:stretch>
      </xdr:blipFill>
      <xdr:spPr>
        <a:xfrm>
          <a:off x="0" y="25698450"/>
          <a:ext cx="3590476" cy="3885714"/>
        </a:xfrm>
        <a:prstGeom prst="rect">
          <a:avLst/>
        </a:prstGeom>
      </xdr:spPr>
    </xdr:pic>
    <xdr:clientData/>
  </xdr:twoCellAnchor>
  <xdr:twoCellAnchor editAs="oneCell">
    <xdr:from>
      <xdr:col>0</xdr:col>
      <xdr:colOff>0</xdr:colOff>
      <xdr:row>165</xdr:row>
      <xdr:rowOff>0</xdr:rowOff>
    </xdr:from>
    <xdr:to>
      <xdr:col>12</xdr:col>
      <xdr:colOff>92107</xdr:colOff>
      <xdr:row>195</xdr:row>
      <xdr:rowOff>170749</xdr:rowOff>
    </xdr:to>
    <xdr:pic>
      <xdr:nvPicPr>
        <xdr:cNvPr id="10" name="Image 9">
          <a:extLst>
            <a:ext uri="{FF2B5EF4-FFF2-40B4-BE49-F238E27FC236}">
              <a16:creationId xmlns:a16="http://schemas.microsoft.com/office/drawing/2014/main" id="{AC3833F3-09C6-0336-D78C-0B842DDD3400}"/>
            </a:ext>
          </a:extLst>
        </xdr:cNvPr>
        <xdr:cNvPicPr>
          <a:picLocks noChangeAspect="1"/>
        </xdr:cNvPicPr>
      </xdr:nvPicPr>
      <xdr:blipFill>
        <a:blip xmlns:r="http://schemas.openxmlformats.org/officeDocument/2006/relationships" r:embed="rId8"/>
        <a:stretch>
          <a:fillRect/>
        </a:stretch>
      </xdr:blipFill>
      <xdr:spPr>
        <a:xfrm>
          <a:off x="0" y="29860875"/>
          <a:ext cx="9904762" cy="5609524"/>
        </a:xfrm>
        <a:prstGeom prst="rect">
          <a:avLst/>
        </a:prstGeom>
      </xdr:spPr>
    </xdr:pic>
    <xdr:clientData/>
  </xdr:twoCellAnchor>
  <xdr:twoCellAnchor editAs="oneCell">
    <xdr:from>
      <xdr:col>0</xdr:col>
      <xdr:colOff>0</xdr:colOff>
      <xdr:row>198</xdr:row>
      <xdr:rowOff>104775</xdr:rowOff>
    </xdr:from>
    <xdr:to>
      <xdr:col>6</xdr:col>
      <xdr:colOff>666074</xdr:colOff>
      <xdr:row>220</xdr:row>
      <xdr:rowOff>115706</xdr:rowOff>
    </xdr:to>
    <xdr:pic>
      <xdr:nvPicPr>
        <xdr:cNvPr id="11" name="Image 10">
          <a:extLst>
            <a:ext uri="{FF2B5EF4-FFF2-40B4-BE49-F238E27FC236}">
              <a16:creationId xmlns:a16="http://schemas.microsoft.com/office/drawing/2014/main" id="{E1AF5537-7B70-A8E6-3CE9-B4C8694A62B1}"/>
            </a:ext>
          </a:extLst>
        </xdr:cNvPr>
        <xdr:cNvPicPr>
          <a:picLocks noChangeAspect="1"/>
        </xdr:cNvPicPr>
      </xdr:nvPicPr>
      <xdr:blipFill>
        <a:blip xmlns:r="http://schemas.openxmlformats.org/officeDocument/2006/relationships" r:embed="rId9"/>
        <a:stretch>
          <a:fillRect/>
        </a:stretch>
      </xdr:blipFill>
      <xdr:spPr>
        <a:xfrm>
          <a:off x="0" y="35937825"/>
          <a:ext cx="5413334" cy="3992381"/>
        </a:xfrm>
        <a:prstGeom prst="rect">
          <a:avLst/>
        </a:prstGeom>
      </xdr:spPr>
    </xdr:pic>
    <xdr:clientData/>
  </xdr:twoCellAnchor>
  <xdr:twoCellAnchor editAs="oneCell">
    <xdr:from>
      <xdr:col>0</xdr:col>
      <xdr:colOff>0</xdr:colOff>
      <xdr:row>222</xdr:row>
      <xdr:rowOff>38100</xdr:rowOff>
    </xdr:from>
    <xdr:to>
      <xdr:col>12</xdr:col>
      <xdr:colOff>549252</xdr:colOff>
      <xdr:row>252</xdr:row>
      <xdr:rowOff>134566</xdr:rowOff>
    </xdr:to>
    <xdr:pic>
      <xdr:nvPicPr>
        <xdr:cNvPr id="12" name="Image 11">
          <a:extLst>
            <a:ext uri="{FF2B5EF4-FFF2-40B4-BE49-F238E27FC236}">
              <a16:creationId xmlns:a16="http://schemas.microsoft.com/office/drawing/2014/main" id="{DA74709F-C60C-7007-8521-311814D90883}"/>
            </a:ext>
          </a:extLst>
        </xdr:cNvPr>
        <xdr:cNvPicPr>
          <a:picLocks noChangeAspect="1"/>
        </xdr:cNvPicPr>
      </xdr:nvPicPr>
      <xdr:blipFill>
        <a:blip xmlns:r="http://schemas.openxmlformats.org/officeDocument/2006/relationships" r:embed="rId10"/>
        <a:stretch>
          <a:fillRect/>
        </a:stretch>
      </xdr:blipFill>
      <xdr:spPr>
        <a:xfrm>
          <a:off x="0" y="40214550"/>
          <a:ext cx="10340952" cy="5516191"/>
        </a:xfrm>
        <a:prstGeom prst="rect">
          <a:avLst/>
        </a:prstGeom>
      </xdr:spPr>
    </xdr:pic>
    <xdr:clientData/>
  </xdr:twoCellAnchor>
  <xdr:twoCellAnchor editAs="oneCell">
    <xdr:from>
      <xdr:col>0</xdr:col>
      <xdr:colOff>0</xdr:colOff>
      <xdr:row>254</xdr:row>
      <xdr:rowOff>0</xdr:rowOff>
    </xdr:from>
    <xdr:to>
      <xdr:col>12</xdr:col>
      <xdr:colOff>358775</xdr:colOff>
      <xdr:row>265</xdr:row>
      <xdr:rowOff>75942</xdr:rowOff>
    </xdr:to>
    <xdr:pic>
      <xdr:nvPicPr>
        <xdr:cNvPr id="13" name="Image 12">
          <a:extLst>
            <a:ext uri="{FF2B5EF4-FFF2-40B4-BE49-F238E27FC236}">
              <a16:creationId xmlns:a16="http://schemas.microsoft.com/office/drawing/2014/main" id="{9981A306-0402-71DD-A959-3C82215C8004}"/>
            </a:ext>
          </a:extLst>
        </xdr:cNvPr>
        <xdr:cNvPicPr>
          <a:picLocks noChangeAspect="1"/>
        </xdr:cNvPicPr>
      </xdr:nvPicPr>
      <xdr:blipFill>
        <a:blip xmlns:r="http://schemas.openxmlformats.org/officeDocument/2006/relationships" r:embed="rId11"/>
        <a:stretch>
          <a:fillRect/>
        </a:stretch>
      </xdr:blipFill>
      <xdr:spPr>
        <a:xfrm>
          <a:off x="0" y="45967650"/>
          <a:ext cx="10161905" cy="2066667"/>
        </a:xfrm>
        <a:prstGeom prst="rect">
          <a:avLst/>
        </a:prstGeom>
      </xdr:spPr>
    </xdr:pic>
    <xdr:clientData/>
  </xdr:twoCellAnchor>
  <xdr:twoCellAnchor editAs="oneCell">
    <xdr:from>
      <xdr:col>0</xdr:col>
      <xdr:colOff>0</xdr:colOff>
      <xdr:row>267</xdr:row>
      <xdr:rowOff>0</xdr:rowOff>
    </xdr:from>
    <xdr:to>
      <xdr:col>12</xdr:col>
      <xdr:colOff>206394</xdr:colOff>
      <xdr:row>300</xdr:row>
      <xdr:rowOff>130683</xdr:rowOff>
    </xdr:to>
    <xdr:pic>
      <xdr:nvPicPr>
        <xdr:cNvPr id="14" name="Image 13">
          <a:extLst>
            <a:ext uri="{FF2B5EF4-FFF2-40B4-BE49-F238E27FC236}">
              <a16:creationId xmlns:a16="http://schemas.microsoft.com/office/drawing/2014/main" id="{0D1D8D29-D605-13AD-BABC-F0CBA5781F2A}"/>
            </a:ext>
          </a:extLst>
        </xdr:cNvPr>
        <xdr:cNvPicPr>
          <a:picLocks noChangeAspect="1"/>
        </xdr:cNvPicPr>
      </xdr:nvPicPr>
      <xdr:blipFill>
        <a:blip xmlns:r="http://schemas.openxmlformats.org/officeDocument/2006/relationships" r:embed="rId12"/>
        <a:stretch>
          <a:fillRect/>
        </a:stretch>
      </xdr:blipFill>
      <xdr:spPr>
        <a:xfrm>
          <a:off x="0" y="48320325"/>
          <a:ext cx="10009524" cy="6095238"/>
        </a:xfrm>
        <a:prstGeom prst="rect">
          <a:avLst/>
        </a:prstGeom>
      </xdr:spPr>
    </xdr:pic>
    <xdr:clientData/>
  </xdr:twoCellAnchor>
  <xdr:twoCellAnchor editAs="oneCell">
    <xdr:from>
      <xdr:col>0</xdr:col>
      <xdr:colOff>0</xdr:colOff>
      <xdr:row>302</xdr:row>
      <xdr:rowOff>0</xdr:rowOff>
    </xdr:from>
    <xdr:to>
      <xdr:col>12</xdr:col>
      <xdr:colOff>358775</xdr:colOff>
      <xdr:row>326</xdr:row>
      <xdr:rowOff>16601</xdr:rowOff>
    </xdr:to>
    <xdr:pic>
      <xdr:nvPicPr>
        <xdr:cNvPr id="15" name="Image 14">
          <a:extLst>
            <a:ext uri="{FF2B5EF4-FFF2-40B4-BE49-F238E27FC236}">
              <a16:creationId xmlns:a16="http://schemas.microsoft.com/office/drawing/2014/main" id="{B58323D8-BE15-AD07-12F1-66CDABFDACAC}"/>
            </a:ext>
          </a:extLst>
        </xdr:cNvPr>
        <xdr:cNvPicPr>
          <a:picLocks noChangeAspect="1"/>
        </xdr:cNvPicPr>
      </xdr:nvPicPr>
      <xdr:blipFill>
        <a:blip xmlns:r="http://schemas.openxmlformats.org/officeDocument/2006/relationships" r:embed="rId13"/>
        <a:stretch>
          <a:fillRect/>
        </a:stretch>
      </xdr:blipFill>
      <xdr:spPr>
        <a:xfrm>
          <a:off x="0" y="54654450"/>
          <a:ext cx="10161905" cy="4352381"/>
        </a:xfrm>
        <a:prstGeom prst="rect">
          <a:avLst/>
        </a:prstGeom>
      </xdr:spPr>
    </xdr:pic>
    <xdr:clientData/>
  </xdr:twoCellAnchor>
  <xdr:twoCellAnchor editAs="oneCell">
    <xdr:from>
      <xdr:col>0</xdr:col>
      <xdr:colOff>0</xdr:colOff>
      <xdr:row>328</xdr:row>
      <xdr:rowOff>123825</xdr:rowOff>
    </xdr:from>
    <xdr:to>
      <xdr:col>12</xdr:col>
      <xdr:colOff>282585</xdr:colOff>
      <xdr:row>362</xdr:row>
      <xdr:rowOff>58295</xdr:rowOff>
    </xdr:to>
    <xdr:pic>
      <xdr:nvPicPr>
        <xdr:cNvPr id="16" name="Image 15">
          <a:extLst>
            <a:ext uri="{FF2B5EF4-FFF2-40B4-BE49-F238E27FC236}">
              <a16:creationId xmlns:a16="http://schemas.microsoft.com/office/drawing/2014/main" id="{DCAE7DED-2E11-E80A-9583-C592804546C2}"/>
            </a:ext>
          </a:extLst>
        </xdr:cNvPr>
        <xdr:cNvPicPr>
          <a:picLocks noChangeAspect="1"/>
        </xdr:cNvPicPr>
      </xdr:nvPicPr>
      <xdr:blipFill>
        <a:blip xmlns:r="http://schemas.openxmlformats.org/officeDocument/2006/relationships" r:embed="rId14"/>
        <a:stretch>
          <a:fillRect/>
        </a:stretch>
      </xdr:blipFill>
      <xdr:spPr>
        <a:xfrm>
          <a:off x="0" y="59483625"/>
          <a:ext cx="10080000" cy="6074285"/>
        </a:xfrm>
        <a:prstGeom prst="rect">
          <a:avLst/>
        </a:prstGeom>
      </xdr:spPr>
    </xdr:pic>
    <xdr:clientData/>
  </xdr:twoCellAnchor>
  <xdr:twoCellAnchor editAs="oneCell">
    <xdr:from>
      <xdr:col>0</xdr:col>
      <xdr:colOff>0</xdr:colOff>
      <xdr:row>364</xdr:row>
      <xdr:rowOff>0</xdr:rowOff>
    </xdr:from>
    <xdr:to>
      <xdr:col>12</xdr:col>
      <xdr:colOff>473060</xdr:colOff>
      <xdr:row>386</xdr:row>
      <xdr:rowOff>92837</xdr:rowOff>
    </xdr:to>
    <xdr:pic>
      <xdr:nvPicPr>
        <xdr:cNvPr id="17" name="Image 16">
          <a:extLst>
            <a:ext uri="{FF2B5EF4-FFF2-40B4-BE49-F238E27FC236}">
              <a16:creationId xmlns:a16="http://schemas.microsoft.com/office/drawing/2014/main" id="{600BB59A-5B26-6BE1-4BB0-6B0D5C925A73}"/>
            </a:ext>
          </a:extLst>
        </xdr:cNvPr>
        <xdr:cNvPicPr>
          <a:picLocks noChangeAspect="1"/>
        </xdr:cNvPicPr>
      </xdr:nvPicPr>
      <xdr:blipFill>
        <a:blip xmlns:r="http://schemas.openxmlformats.org/officeDocument/2006/relationships" r:embed="rId15"/>
        <a:stretch>
          <a:fillRect/>
        </a:stretch>
      </xdr:blipFill>
      <xdr:spPr>
        <a:xfrm>
          <a:off x="0" y="65874900"/>
          <a:ext cx="10276190" cy="40666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353495</xdr:colOff>
      <xdr:row>30</xdr:row>
      <xdr:rowOff>48845</xdr:rowOff>
    </xdr:to>
    <xdr:pic>
      <xdr:nvPicPr>
        <xdr:cNvPr id="2" name="Image 1">
          <a:extLst>
            <a:ext uri="{FF2B5EF4-FFF2-40B4-BE49-F238E27FC236}">
              <a16:creationId xmlns:a16="http://schemas.microsoft.com/office/drawing/2014/main" id="{81CDB83B-C2BF-5C66-FE26-B7404DF520D2}"/>
            </a:ext>
          </a:extLst>
        </xdr:cNvPr>
        <xdr:cNvPicPr>
          <a:picLocks noChangeAspect="1"/>
        </xdr:cNvPicPr>
      </xdr:nvPicPr>
      <xdr:blipFill>
        <a:blip xmlns:r="http://schemas.openxmlformats.org/officeDocument/2006/relationships" r:embed="rId1"/>
        <a:stretch>
          <a:fillRect/>
        </a:stretch>
      </xdr:blipFill>
      <xdr:spPr>
        <a:xfrm>
          <a:off x="0" y="0"/>
          <a:ext cx="6676190" cy="54761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8</xdr:col>
      <xdr:colOff>608733</xdr:colOff>
      <xdr:row>34</xdr:row>
      <xdr:rowOff>37349</xdr:rowOff>
    </xdr:to>
    <xdr:pic>
      <xdr:nvPicPr>
        <xdr:cNvPr id="2" name="Image 1">
          <a:extLst>
            <a:ext uri="{FF2B5EF4-FFF2-40B4-BE49-F238E27FC236}">
              <a16:creationId xmlns:a16="http://schemas.microsoft.com/office/drawing/2014/main" id="{3B72C2C2-BBE0-89D6-911D-8974DA51275B}"/>
            </a:ext>
          </a:extLst>
        </xdr:cNvPr>
        <xdr:cNvPicPr>
          <a:picLocks noChangeAspect="1"/>
        </xdr:cNvPicPr>
      </xdr:nvPicPr>
      <xdr:blipFill>
        <a:blip xmlns:r="http://schemas.openxmlformats.org/officeDocument/2006/relationships" r:embed="rId1"/>
        <a:stretch>
          <a:fillRect/>
        </a:stretch>
      </xdr:blipFill>
      <xdr:spPr>
        <a:xfrm>
          <a:off x="0" y="180975"/>
          <a:ext cx="6933333" cy="6009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0</xdr:col>
      <xdr:colOff>1443990</xdr:colOff>
      <xdr:row>0</xdr:row>
      <xdr:rowOff>720091</xdr:rowOff>
    </xdr:to>
    <xdr:pic>
      <xdr:nvPicPr>
        <xdr:cNvPr id="2" name="Picture 1" descr="logoFAM">
          <a:extLst>
            <a:ext uri="{FF2B5EF4-FFF2-40B4-BE49-F238E27FC236}">
              <a16:creationId xmlns:a16="http://schemas.microsoft.com/office/drawing/2014/main" id="{1ABA37FF-8586-4FAE-B1A3-5B90021D3A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1"/>
          <a:ext cx="14287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0</xdr:row>
      <xdr:rowOff>0</xdr:rowOff>
    </xdr:from>
    <xdr:to>
      <xdr:col>16</xdr:col>
      <xdr:colOff>93232</xdr:colOff>
      <xdr:row>0</xdr:row>
      <xdr:rowOff>759996</xdr:rowOff>
    </xdr:to>
    <xdr:pic>
      <xdr:nvPicPr>
        <xdr:cNvPr id="3" name="Image 2" descr="http://portail-intranet.franceagrimer.fr/OutilsCommunication/B+F%20COULEUR%20INT.jpg">
          <a:extLst>
            <a:ext uri="{FF2B5EF4-FFF2-40B4-BE49-F238E27FC236}">
              <a16:creationId xmlns:a16="http://schemas.microsoft.com/office/drawing/2014/main" id="{E8FB5762-5A72-42C1-B954-D7DC3CA2DE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655457" cy="7599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0</xdr:col>
      <xdr:colOff>1482090</xdr:colOff>
      <xdr:row>0</xdr:row>
      <xdr:rowOff>758190</xdr:rowOff>
    </xdr:to>
    <xdr:pic>
      <xdr:nvPicPr>
        <xdr:cNvPr id="2" name="Picture 1" descr="logoFAM">
          <a:extLst>
            <a:ext uri="{FF2B5EF4-FFF2-40B4-BE49-F238E27FC236}">
              <a16:creationId xmlns:a16="http://schemas.microsoft.com/office/drawing/2014/main" id="{E083A043-ED76-432E-9B7E-4F527BE891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1"/>
          <a:ext cx="1466850" cy="742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0</xdr:col>
      <xdr:colOff>1464945</xdr:colOff>
      <xdr:row>0</xdr:row>
      <xdr:rowOff>758191</xdr:rowOff>
    </xdr:to>
    <xdr:pic>
      <xdr:nvPicPr>
        <xdr:cNvPr id="2" name="Picture 1" descr="logoFAM">
          <a:extLst>
            <a:ext uri="{FF2B5EF4-FFF2-40B4-BE49-F238E27FC236}">
              <a16:creationId xmlns:a16="http://schemas.microsoft.com/office/drawing/2014/main" id="{133CA709-0361-44B6-8BF4-C5BBC1A59F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1"/>
          <a:ext cx="14573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0</xdr:col>
      <xdr:colOff>1504950</xdr:colOff>
      <xdr:row>1</xdr:row>
      <xdr:rowOff>19050</xdr:rowOff>
    </xdr:to>
    <xdr:pic>
      <xdr:nvPicPr>
        <xdr:cNvPr id="2" name="Picture 2" descr="logoFAM">
          <a:extLst>
            <a:ext uri="{FF2B5EF4-FFF2-40B4-BE49-F238E27FC236}">
              <a16:creationId xmlns:a16="http://schemas.microsoft.com/office/drawing/2014/main" id="{8176FD52-7DE8-4DC2-99F9-55C90CF37B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4859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18</xdr:col>
      <xdr:colOff>666794</xdr:colOff>
      <xdr:row>24</xdr:row>
      <xdr:rowOff>132836</xdr:rowOff>
    </xdr:to>
    <xdr:pic>
      <xdr:nvPicPr>
        <xdr:cNvPr id="3" name="Image 2">
          <a:extLst>
            <a:ext uri="{FF2B5EF4-FFF2-40B4-BE49-F238E27FC236}">
              <a16:creationId xmlns:a16="http://schemas.microsoft.com/office/drawing/2014/main" id="{4665730E-9E11-31C1-DD99-8EC16D5A939C}"/>
            </a:ext>
          </a:extLst>
        </xdr:cNvPr>
        <xdr:cNvPicPr>
          <a:picLocks noChangeAspect="1"/>
        </xdr:cNvPicPr>
      </xdr:nvPicPr>
      <xdr:blipFill>
        <a:blip xmlns:r="http://schemas.openxmlformats.org/officeDocument/2006/relationships" r:embed="rId1"/>
        <a:stretch>
          <a:fillRect/>
        </a:stretch>
      </xdr:blipFill>
      <xdr:spPr>
        <a:xfrm>
          <a:off x="0" y="361950"/>
          <a:ext cx="14885714" cy="4114286"/>
        </a:xfrm>
        <a:prstGeom prst="rect">
          <a:avLst/>
        </a:prstGeom>
      </xdr:spPr>
    </xdr:pic>
    <xdr:clientData/>
  </xdr:twoCellAnchor>
  <xdr:twoCellAnchor editAs="oneCell">
    <xdr:from>
      <xdr:col>0</xdr:col>
      <xdr:colOff>0</xdr:colOff>
      <xdr:row>25</xdr:row>
      <xdr:rowOff>0</xdr:rowOff>
    </xdr:from>
    <xdr:to>
      <xdr:col>18</xdr:col>
      <xdr:colOff>628699</xdr:colOff>
      <xdr:row>46</xdr:row>
      <xdr:rowOff>132858</xdr:rowOff>
    </xdr:to>
    <xdr:pic>
      <xdr:nvPicPr>
        <xdr:cNvPr id="4" name="Image 3">
          <a:extLst>
            <a:ext uri="{FF2B5EF4-FFF2-40B4-BE49-F238E27FC236}">
              <a16:creationId xmlns:a16="http://schemas.microsoft.com/office/drawing/2014/main" id="{B08FD9E8-0618-0B36-C86E-5C2B3C9B3D00}"/>
            </a:ext>
          </a:extLst>
        </xdr:cNvPr>
        <xdr:cNvPicPr>
          <a:picLocks noChangeAspect="1"/>
        </xdr:cNvPicPr>
      </xdr:nvPicPr>
      <xdr:blipFill>
        <a:blip xmlns:r="http://schemas.openxmlformats.org/officeDocument/2006/relationships" r:embed="rId2"/>
        <a:stretch>
          <a:fillRect/>
        </a:stretch>
      </xdr:blipFill>
      <xdr:spPr>
        <a:xfrm>
          <a:off x="0" y="4524375"/>
          <a:ext cx="14847619" cy="3933333"/>
        </a:xfrm>
        <a:prstGeom prst="rect">
          <a:avLst/>
        </a:prstGeom>
      </xdr:spPr>
    </xdr:pic>
    <xdr:clientData/>
  </xdr:twoCellAnchor>
  <xdr:twoCellAnchor editAs="oneCell">
    <xdr:from>
      <xdr:col>0</xdr:col>
      <xdr:colOff>9525</xdr:colOff>
      <xdr:row>62</xdr:row>
      <xdr:rowOff>104775</xdr:rowOff>
    </xdr:from>
    <xdr:to>
      <xdr:col>18</xdr:col>
      <xdr:colOff>607695</xdr:colOff>
      <xdr:row>89</xdr:row>
      <xdr:rowOff>135768</xdr:rowOff>
    </xdr:to>
    <xdr:pic>
      <xdr:nvPicPr>
        <xdr:cNvPr id="5" name="Image 4">
          <a:extLst>
            <a:ext uri="{FF2B5EF4-FFF2-40B4-BE49-F238E27FC236}">
              <a16:creationId xmlns:a16="http://schemas.microsoft.com/office/drawing/2014/main" id="{7AF3103B-6A0D-85E7-5A87-167974CBB2F4}"/>
            </a:ext>
          </a:extLst>
        </xdr:cNvPr>
        <xdr:cNvPicPr>
          <a:picLocks noChangeAspect="1"/>
        </xdr:cNvPicPr>
      </xdr:nvPicPr>
      <xdr:blipFill>
        <a:blip xmlns:r="http://schemas.openxmlformats.org/officeDocument/2006/relationships" r:embed="rId3"/>
        <a:stretch>
          <a:fillRect/>
        </a:stretch>
      </xdr:blipFill>
      <xdr:spPr>
        <a:xfrm>
          <a:off x="9525" y="11325225"/>
          <a:ext cx="14828520" cy="4923033"/>
        </a:xfrm>
        <a:prstGeom prst="rect">
          <a:avLst/>
        </a:prstGeom>
      </xdr:spPr>
    </xdr:pic>
    <xdr:clientData/>
  </xdr:twoCellAnchor>
  <xdr:twoCellAnchor editAs="oneCell">
    <xdr:from>
      <xdr:col>0</xdr:col>
      <xdr:colOff>133350</xdr:colOff>
      <xdr:row>89</xdr:row>
      <xdr:rowOff>142875</xdr:rowOff>
    </xdr:from>
    <xdr:to>
      <xdr:col>18</xdr:col>
      <xdr:colOff>552450</xdr:colOff>
      <xdr:row>112</xdr:row>
      <xdr:rowOff>114785</xdr:rowOff>
    </xdr:to>
    <xdr:pic>
      <xdr:nvPicPr>
        <xdr:cNvPr id="6" name="Image 5">
          <a:extLst>
            <a:ext uri="{FF2B5EF4-FFF2-40B4-BE49-F238E27FC236}">
              <a16:creationId xmlns:a16="http://schemas.microsoft.com/office/drawing/2014/main" id="{DB3FE593-5042-0A07-78D2-FF79273E9905}"/>
            </a:ext>
          </a:extLst>
        </xdr:cNvPr>
        <xdr:cNvPicPr>
          <a:picLocks noChangeAspect="1"/>
        </xdr:cNvPicPr>
      </xdr:nvPicPr>
      <xdr:blipFill>
        <a:blip xmlns:r="http://schemas.openxmlformats.org/officeDocument/2006/relationships" r:embed="rId4"/>
        <a:stretch>
          <a:fillRect/>
        </a:stretch>
      </xdr:blipFill>
      <xdr:spPr>
        <a:xfrm>
          <a:off x="133350" y="16249650"/>
          <a:ext cx="14649450" cy="4134335"/>
        </a:xfrm>
        <a:prstGeom prst="rect">
          <a:avLst/>
        </a:prstGeom>
      </xdr:spPr>
    </xdr:pic>
    <xdr:clientData/>
  </xdr:twoCellAnchor>
  <xdr:twoCellAnchor editAs="oneCell">
    <xdr:from>
      <xdr:col>0</xdr:col>
      <xdr:colOff>220980</xdr:colOff>
      <xdr:row>128</xdr:row>
      <xdr:rowOff>123825</xdr:rowOff>
    </xdr:from>
    <xdr:to>
      <xdr:col>18</xdr:col>
      <xdr:colOff>741045</xdr:colOff>
      <xdr:row>152</xdr:row>
      <xdr:rowOff>95789</xdr:rowOff>
    </xdr:to>
    <xdr:pic>
      <xdr:nvPicPr>
        <xdr:cNvPr id="7" name="Image 6">
          <a:extLst>
            <a:ext uri="{FF2B5EF4-FFF2-40B4-BE49-F238E27FC236}">
              <a16:creationId xmlns:a16="http://schemas.microsoft.com/office/drawing/2014/main" id="{9FFA8BDA-61D2-9F52-28B8-3F0A15050CAA}"/>
            </a:ext>
          </a:extLst>
        </xdr:cNvPr>
        <xdr:cNvPicPr>
          <a:picLocks noChangeAspect="1"/>
        </xdr:cNvPicPr>
      </xdr:nvPicPr>
      <xdr:blipFill>
        <a:blip xmlns:r="http://schemas.openxmlformats.org/officeDocument/2006/relationships" r:embed="rId5"/>
        <a:stretch>
          <a:fillRect/>
        </a:stretch>
      </xdr:blipFill>
      <xdr:spPr>
        <a:xfrm>
          <a:off x="220980" y="23288625"/>
          <a:ext cx="14750415" cy="4315364"/>
        </a:xfrm>
        <a:prstGeom prst="rect">
          <a:avLst/>
        </a:prstGeom>
      </xdr:spPr>
    </xdr:pic>
    <xdr:clientData/>
  </xdr:twoCellAnchor>
  <xdr:twoCellAnchor editAs="oneCell">
    <xdr:from>
      <xdr:col>0</xdr:col>
      <xdr:colOff>363856</xdr:colOff>
      <xdr:row>152</xdr:row>
      <xdr:rowOff>177165</xdr:rowOff>
    </xdr:from>
    <xdr:to>
      <xdr:col>18</xdr:col>
      <xdr:colOff>588646</xdr:colOff>
      <xdr:row>175</xdr:row>
      <xdr:rowOff>20435</xdr:rowOff>
    </xdr:to>
    <xdr:pic>
      <xdr:nvPicPr>
        <xdr:cNvPr id="8" name="Image 7">
          <a:extLst>
            <a:ext uri="{FF2B5EF4-FFF2-40B4-BE49-F238E27FC236}">
              <a16:creationId xmlns:a16="http://schemas.microsoft.com/office/drawing/2014/main" id="{BDF6E841-B056-E0CE-41BD-EE9826B9E0AB}"/>
            </a:ext>
          </a:extLst>
        </xdr:cNvPr>
        <xdr:cNvPicPr>
          <a:picLocks noChangeAspect="1"/>
        </xdr:cNvPicPr>
      </xdr:nvPicPr>
      <xdr:blipFill>
        <a:blip xmlns:r="http://schemas.openxmlformats.org/officeDocument/2006/relationships" r:embed="rId6"/>
        <a:stretch>
          <a:fillRect/>
        </a:stretch>
      </xdr:blipFill>
      <xdr:spPr>
        <a:xfrm>
          <a:off x="363856" y="27685365"/>
          <a:ext cx="14466570" cy="3990455"/>
        </a:xfrm>
        <a:prstGeom prst="rect">
          <a:avLst/>
        </a:prstGeom>
      </xdr:spPr>
    </xdr:pic>
    <xdr:clientData/>
  </xdr:twoCellAnchor>
  <xdr:twoCellAnchor editAs="oneCell">
    <xdr:from>
      <xdr:col>0</xdr:col>
      <xdr:colOff>249556</xdr:colOff>
      <xdr:row>176</xdr:row>
      <xdr:rowOff>15240</xdr:rowOff>
    </xdr:from>
    <xdr:to>
      <xdr:col>18</xdr:col>
      <xdr:colOff>739141</xdr:colOff>
      <xdr:row>191</xdr:row>
      <xdr:rowOff>135979</xdr:rowOff>
    </xdr:to>
    <xdr:pic>
      <xdr:nvPicPr>
        <xdr:cNvPr id="9" name="Image 8">
          <a:extLst>
            <a:ext uri="{FF2B5EF4-FFF2-40B4-BE49-F238E27FC236}">
              <a16:creationId xmlns:a16="http://schemas.microsoft.com/office/drawing/2014/main" id="{7B32E991-6A86-8642-AF6C-B2AFE7F3732D}"/>
            </a:ext>
          </a:extLst>
        </xdr:cNvPr>
        <xdr:cNvPicPr>
          <a:picLocks noChangeAspect="1"/>
        </xdr:cNvPicPr>
      </xdr:nvPicPr>
      <xdr:blipFill>
        <a:blip xmlns:r="http://schemas.openxmlformats.org/officeDocument/2006/relationships" r:embed="rId7"/>
        <a:stretch>
          <a:fillRect/>
        </a:stretch>
      </xdr:blipFill>
      <xdr:spPr>
        <a:xfrm>
          <a:off x="249556" y="31866840"/>
          <a:ext cx="14714220" cy="2844889"/>
        </a:xfrm>
        <a:prstGeom prst="rect">
          <a:avLst/>
        </a:prstGeom>
      </xdr:spPr>
    </xdr:pic>
    <xdr:clientData/>
  </xdr:twoCellAnchor>
  <xdr:twoCellAnchor editAs="oneCell">
    <xdr:from>
      <xdr:col>0</xdr:col>
      <xdr:colOff>0</xdr:colOff>
      <xdr:row>47</xdr:row>
      <xdr:rowOff>0</xdr:rowOff>
    </xdr:from>
    <xdr:to>
      <xdr:col>18</xdr:col>
      <xdr:colOff>533460</xdr:colOff>
      <xdr:row>62</xdr:row>
      <xdr:rowOff>54900</xdr:rowOff>
    </xdr:to>
    <xdr:pic>
      <xdr:nvPicPr>
        <xdr:cNvPr id="12" name="Image 11">
          <a:extLst>
            <a:ext uri="{FF2B5EF4-FFF2-40B4-BE49-F238E27FC236}">
              <a16:creationId xmlns:a16="http://schemas.microsoft.com/office/drawing/2014/main" id="{C8029C5B-8A22-4728-8BC4-5EBD097740C3}"/>
            </a:ext>
          </a:extLst>
        </xdr:cNvPr>
        <xdr:cNvPicPr>
          <a:picLocks noChangeAspect="1"/>
        </xdr:cNvPicPr>
      </xdr:nvPicPr>
      <xdr:blipFill>
        <a:blip xmlns:r="http://schemas.openxmlformats.org/officeDocument/2006/relationships" r:embed="rId8"/>
        <a:stretch>
          <a:fillRect/>
        </a:stretch>
      </xdr:blipFill>
      <xdr:spPr>
        <a:xfrm>
          <a:off x="0" y="8505825"/>
          <a:ext cx="14763810" cy="2769525"/>
        </a:xfrm>
        <a:prstGeom prst="rect">
          <a:avLst/>
        </a:prstGeom>
      </xdr:spPr>
    </xdr:pic>
    <xdr:clientData/>
  </xdr:twoCellAnchor>
  <xdr:twoCellAnchor editAs="oneCell">
    <xdr:from>
      <xdr:col>0</xdr:col>
      <xdr:colOff>0</xdr:colOff>
      <xdr:row>113</xdr:row>
      <xdr:rowOff>0</xdr:rowOff>
    </xdr:from>
    <xdr:to>
      <xdr:col>18</xdr:col>
      <xdr:colOff>402030</xdr:colOff>
      <xdr:row>128</xdr:row>
      <xdr:rowOff>20614</xdr:rowOff>
    </xdr:to>
    <xdr:pic>
      <xdr:nvPicPr>
        <xdr:cNvPr id="13" name="Image 12">
          <a:extLst>
            <a:ext uri="{FF2B5EF4-FFF2-40B4-BE49-F238E27FC236}">
              <a16:creationId xmlns:a16="http://schemas.microsoft.com/office/drawing/2014/main" id="{1C12A353-12D3-4507-90F8-9D4EA646536D}"/>
            </a:ext>
          </a:extLst>
        </xdr:cNvPr>
        <xdr:cNvPicPr>
          <a:picLocks noChangeAspect="1"/>
        </xdr:cNvPicPr>
      </xdr:nvPicPr>
      <xdr:blipFill>
        <a:blip xmlns:r="http://schemas.openxmlformats.org/officeDocument/2006/relationships" r:embed="rId9"/>
        <a:stretch>
          <a:fillRect/>
        </a:stretch>
      </xdr:blipFill>
      <xdr:spPr>
        <a:xfrm>
          <a:off x="0" y="20450175"/>
          <a:ext cx="14632380" cy="2719999"/>
        </a:xfrm>
        <a:prstGeom prst="rect">
          <a:avLst/>
        </a:prstGeom>
      </xdr:spPr>
    </xdr:pic>
    <xdr:clientData/>
  </xdr:twoCellAnchor>
  <xdr:twoCellAnchor>
    <xdr:from>
      <xdr:col>5</xdr:col>
      <xdr:colOff>247650</xdr:colOff>
      <xdr:row>10</xdr:row>
      <xdr:rowOff>76199</xdr:rowOff>
    </xdr:from>
    <xdr:to>
      <xdr:col>6</xdr:col>
      <xdr:colOff>95250</xdr:colOff>
      <xdr:row>24</xdr:row>
      <xdr:rowOff>114300</xdr:rowOff>
    </xdr:to>
    <xdr:sp macro="" textlink="">
      <xdr:nvSpPr>
        <xdr:cNvPr id="14" name="Rectangle 13">
          <a:extLst>
            <a:ext uri="{FF2B5EF4-FFF2-40B4-BE49-F238E27FC236}">
              <a16:creationId xmlns:a16="http://schemas.microsoft.com/office/drawing/2014/main" id="{64554476-7C88-5F7B-5317-121123D98A56}"/>
            </a:ext>
          </a:extLst>
        </xdr:cNvPr>
        <xdr:cNvSpPr/>
      </xdr:nvSpPr>
      <xdr:spPr>
        <a:xfrm>
          <a:off x="4200525" y="1885949"/>
          <a:ext cx="638175" cy="257175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253365</xdr:colOff>
      <xdr:row>33</xdr:row>
      <xdr:rowOff>142874</xdr:rowOff>
    </xdr:from>
    <xdr:to>
      <xdr:col>6</xdr:col>
      <xdr:colOff>100965</xdr:colOff>
      <xdr:row>48</xdr:row>
      <xdr:rowOff>0</xdr:rowOff>
    </xdr:to>
    <xdr:sp macro="" textlink="">
      <xdr:nvSpPr>
        <xdr:cNvPr id="15" name="Rectangle 14">
          <a:extLst>
            <a:ext uri="{FF2B5EF4-FFF2-40B4-BE49-F238E27FC236}">
              <a16:creationId xmlns:a16="http://schemas.microsoft.com/office/drawing/2014/main" id="{32ED8D5E-60C9-473C-9677-25A632546E45}"/>
            </a:ext>
          </a:extLst>
        </xdr:cNvPr>
        <xdr:cNvSpPr/>
      </xdr:nvSpPr>
      <xdr:spPr>
        <a:xfrm>
          <a:off x="4206240" y="6115049"/>
          <a:ext cx="638175" cy="257175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249555</xdr:colOff>
      <xdr:row>49</xdr:row>
      <xdr:rowOff>45719</xdr:rowOff>
    </xdr:from>
    <xdr:to>
      <xdr:col>6</xdr:col>
      <xdr:colOff>97155</xdr:colOff>
      <xdr:row>63</xdr:row>
      <xdr:rowOff>87630</xdr:rowOff>
    </xdr:to>
    <xdr:sp macro="" textlink="">
      <xdr:nvSpPr>
        <xdr:cNvPr id="16" name="Rectangle 15">
          <a:extLst>
            <a:ext uri="{FF2B5EF4-FFF2-40B4-BE49-F238E27FC236}">
              <a16:creationId xmlns:a16="http://schemas.microsoft.com/office/drawing/2014/main" id="{8FA53955-3D0B-433A-864F-5301385556BC}"/>
            </a:ext>
          </a:extLst>
        </xdr:cNvPr>
        <xdr:cNvSpPr/>
      </xdr:nvSpPr>
      <xdr:spPr>
        <a:xfrm>
          <a:off x="4202430" y="8913494"/>
          <a:ext cx="638175" cy="257556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207645</xdr:colOff>
      <xdr:row>75</xdr:row>
      <xdr:rowOff>28574</xdr:rowOff>
    </xdr:from>
    <xdr:to>
      <xdr:col>6</xdr:col>
      <xdr:colOff>55245</xdr:colOff>
      <xdr:row>89</xdr:row>
      <xdr:rowOff>74295</xdr:rowOff>
    </xdr:to>
    <xdr:sp macro="" textlink="">
      <xdr:nvSpPr>
        <xdr:cNvPr id="17" name="Rectangle 16">
          <a:extLst>
            <a:ext uri="{FF2B5EF4-FFF2-40B4-BE49-F238E27FC236}">
              <a16:creationId xmlns:a16="http://schemas.microsoft.com/office/drawing/2014/main" id="{6FD04BCB-32DA-4D55-A01C-44E9DB8EE2B9}"/>
            </a:ext>
          </a:extLst>
        </xdr:cNvPr>
        <xdr:cNvSpPr/>
      </xdr:nvSpPr>
      <xdr:spPr>
        <a:xfrm>
          <a:off x="4160520" y="13601699"/>
          <a:ext cx="638175" cy="257937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268605</xdr:colOff>
      <xdr:row>97</xdr:row>
      <xdr:rowOff>160019</xdr:rowOff>
    </xdr:from>
    <xdr:to>
      <xdr:col>6</xdr:col>
      <xdr:colOff>116205</xdr:colOff>
      <xdr:row>112</xdr:row>
      <xdr:rowOff>28575</xdr:rowOff>
    </xdr:to>
    <xdr:sp macro="" textlink="">
      <xdr:nvSpPr>
        <xdr:cNvPr id="18" name="Rectangle 17">
          <a:extLst>
            <a:ext uri="{FF2B5EF4-FFF2-40B4-BE49-F238E27FC236}">
              <a16:creationId xmlns:a16="http://schemas.microsoft.com/office/drawing/2014/main" id="{4D79BC57-9815-4269-A7B0-9F0F0445F381}"/>
            </a:ext>
          </a:extLst>
        </xdr:cNvPr>
        <xdr:cNvSpPr/>
      </xdr:nvSpPr>
      <xdr:spPr>
        <a:xfrm>
          <a:off x="4221480" y="17714594"/>
          <a:ext cx="638175" cy="258318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150495</xdr:colOff>
      <xdr:row>114</xdr:row>
      <xdr:rowOff>22859</xdr:rowOff>
    </xdr:from>
    <xdr:to>
      <xdr:col>5</xdr:col>
      <xdr:colOff>788670</xdr:colOff>
      <xdr:row>128</xdr:row>
      <xdr:rowOff>57150</xdr:rowOff>
    </xdr:to>
    <xdr:sp macro="" textlink="">
      <xdr:nvSpPr>
        <xdr:cNvPr id="19" name="Rectangle 18">
          <a:extLst>
            <a:ext uri="{FF2B5EF4-FFF2-40B4-BE49-F238E27FC236}">
              <a16:creationId xmlns:a16="http://schemas.microsoft.com/office/drawing/2014/main" id="{B8EBEDCC-E20B-4847-A030-3BC5DB744031}"/>
            </a:ext>
          </a:extLst>
        </xdr:cNvPr>
        <xdr:cNvSpPr/>
      </xdr:nvSpPr>
      <xdr:spPr>
        <a:xfrm>
          <a:off x="4103370" y="20654009"/>
          <a:ext cx="638175" cy="256794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464820</xdr:colOff>
      <xdr:row>137</xdr:row>
      <xdr:rowOff>114299</xdr:rowOff>
    </xdr:from>
    <xdr:to>
      <xdr:col>6</xdr:col>
      <xdr:colOff>306705</xdr:colOff>
      <xdr:row>151</xdr:row>
      <xdr:rowOff>148590</xdr:rowOff>
    </xdr:to>
    <xdr:sp macro="" textlink="">
      <xdr:nvSpPr>
        <xdr:cNvPr id="20" name="Rectangle 19">
          <a:extLst>
            <a:ext uri="{FF2B5EF4-FFF2-40B4-BE49-F238E27FC236}">
              <a16:creationId xmlns:a16="http://schemas.microsoft.com/office/drawing/2014/main" id="{344DF974-C352-4593-8ED9-1B7F7F2DF75E}"/>
            </a:ext>
          </a:extLst>
        </xdr:cNvPr>
        <xdr:cNvSpPr/>
      </xdr:nvSpPr>
      <xdr:spPr>
        <a:xfrm>
          <a:off x="4417695" y="24907874"/>
          <a:ext cx="632460" cy="256794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544830</xdr:colOff>
      <xdr:row>162</xdr:row>
      <xdr:rowOff>19049</xdr:rowOff>
    </xdr:from>
    <xdr:to>
      <xdr:col>6</xdr:col>
      <xdr:colOff>373380</xdr:colOff>
      <xdr:row>176</xdr:row>
      <xdr:rowOff>53340</xdr:rowOff>
    </xdr:to>
    <xdr:sp macro="" textlink="">
      <xdr:nvSpPr>
        <xdr:cNvPr id="21" name="Rectangle 20">
          <a:extLst>
            <a:ext uri="{FF2B5EF4-FFF2-40B4-BE49-F238E27FC236}">
              <a16:creationId xmlns:a16="http://schemas.microsoft.com/office/drawing/2014/main" id="{DEE5135E-1D7C-422D-9761-AECC15797ACA}"/>
            </a:ext>
          </a:extLst>
        </xdr:cNvPr>
        <xdr:cNvSpPr/>
      </xdr:nvSpPr>
      <xdr:spPr>
        <a:xfrm>
          <a:off x="4497705" y="29336999"/>
          <a:ext cx="619125" cy="256794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5</xdr:col>
      <xdr:colOff>510540</xdr:colOff>
      <xdr:row>177</xdr:row>
      <xdr:rowOff>80009</xdr:rowOff>
    </xdr:from>
    <xdr:to>
      <xdr:col>6</xdr:col>
      <xdr:colOff>325755</xdr:colOff>
      <xdr:row>191</xdr:row>
      <xdr:rowOff>114300</xdr:rowOff>
    </xdr:to>
    <xdr:sp macro="" textlink="">
      <xdr:nvSpPr>
        <xdr:cNvPr id="22" name="Rectangle 21">
          <a:extLst>
            <a:ext uri="{FF2B5EF4-FFF2-40B4-BE49-F238E27FC236}">
              <a16:creationId xmlns:a16="http://schemas.microsoft.com/office/drawing/2014/main" id="{C3496E2D-697E-4556-9E8C-D4E1E24C4EDA}"/>
            </a:ext>
          </a:extLst>
        </xdr:cNvPr>
        <xdr:cNvSpPr/>
      </xdr:nvSpPr>
      <xdr:spPr>
        <a:xfrm>
          <a:off x="4463415" y="32112584"/>
          <a:ext cx="605790" cy="2567941"/>
        </a:xfrm>
        <a:prstGeom prst="rect">
          <a:avLst/>
        </a:prstGeom>
        <a:noFill/>
        <a:ln w="5715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426720</xdr:colOff>
      <xdr:row>1</xdr:row>
      <xdr:rowOff>125730</xdr:rowOff>
    </xdr:from>
    <xdr:to>
      <xdr:col>3</xdr:col>
      <xdr:colOff>510540</xdr:colOff>
      <xdr:row>19</xdr:row>
      <xdr:rowOff>19099</xdr:rowOff>
    </xdr:to>
    <xdr:pic>
      <xdr:nvPicPr>
        <xdr:cNvPr id="2" name="Image 1">
          <a:extLst>
            <a:ext uri="{FF2B5EF4-FFF2-40B4-BE49-F238E27FC236}">
              <a16:creationId xmlns:a16="http://schemas.microsoft.com/office/drawing/2014/main" id="{4A617DEB-00EB-A4D6-4363-077C6BA3E4D0}"/>
            </a:ext>
          </a:extLst>
        </xdr:cNvPr>
        <xdr:cNvPicPr>
          <a:picLocks noChangeAspect="1"/>
        </xdr:cNvPicPr>
      </xdr:nvPicPr>
      <xdr:blipFill>
        <a:blip xmlns:r="http://schemas.openxmlformats.org/officeDocument/2006/relationships" r:embed="rId1"/>
        <a:stretch>
          <a:fillRect/>
        </a:stretch>
      </xdr:blipFill>
      <xdr:spPr>
        <a:xfrm>
          <a:off x="426720" y="306705"/>
          <a:ext cx="2451735" cy="3147109"/>
        </a:xfrm>
        <a:prstGeom prst="rect">
          <a:avLst/>
        </a:prstGeom>
      </xdr:spPr>
    </xdr:pic>
    <xdr:clientData/>
  </xdr:twoCellAnchor>
  <xdr:twoCellAnchor editAs="oneCell">
    <xdr:from>
      <xdr:col>3</xdr:col>
      <xdr:colOff>760095</xdr:colOff>
      <xdr:row>1</xdr:row>
      <xdr:rowOff>114300</xdr:rowOff>
    </xdr:from>
    <xdr:to>
      <xdr:col>6</xdr:col>
      <xdr:colOff>478155</xdr:colOff>
      <xdr:row>19</xdr:row>
      <xdr:rowOff>22166</xdr:rowOff>
    </xdr:to>
    <xdr:pic>
      <xdr:nvPicPr>
        <xdr:cNvPr id="4" name="Image 3">
          <a:extLst>
            <a:ext uri="{FF2B5EF4-FFF2-40B4-BE49-F238E27FC236}">
              <a16:creationId xmlns:a16="http://schemas.microsoft.com/office/drawing/2014/main" id="{287C56FC-D2EE-F542-3F23-882D2E68E099}"/>
            </a:ext>
          </a:extLst>
        </xdr:cNvPr>
        <xdr:cNvPicPr>
          <a:picLocks noChangeAspect="1"/>
        </xdr:cNvPicPr>
      </xdr:nvPicPr>
      <xdr:blipFill>
        <a:blip xmlns:r="http://schemas.openxmlformats.org/officeDocument/2006/relationships" r:embed="rId2"/>
        <a:stretch>
          <a:fillRect/>
        </a:stretch>
      </xdr:blipFill>
      <xdr:spPr>
        <a:xfrm>
          <a:off x="3131820" y="295275"/>
          <a:ext cx="2084070" cy="3169226"/>
        </a:xfrm>
        <a:prstGeom prst="rect">
          <a:avLst/>
        </a:prstGeom>
      </xdr:spPr>
    </xdr:pic>
    <xdr:clientData/>
  </xdr:twoCellAnchor>
  <xdr:twoCellAnchor editAs="oneCell">
    <xdr:from>
      <xdr:col>0</xdr:col>
      <xdr:colOff>293371</xdr:colOff>
      <xdr:row>19</xdr:row>
      <xdr:rowOff>125731</xdr:rowOff>
    </xdr:from>
    <xdr:to>
      <xdr:col>3</xdr:col>
      <xdr:colOff>401955</xdr:colOff>
      <xdr:row>38</xdr:row>
      <xdr:rowOff>72758</xdr:rowOff>
    </xdr:to>
    <xdr:pic>
      <xdr:nvPicPr>
        <xdr:cNvPr id="5" name="Image 4">
          <a:extLst>
            <a:ext uri="{FF2B5EF4-FFF2-40B4-BE49-F238E27FC236}">
              <a16:creationId xmlns:a16="http://schemas.microsoft.com/office/drawing/2014/main" id="{0199E6ED-548C-20F8-76EC-71132EA9B185}"/>
            </a:ext>
          </a:extLst>
        </xdr:cNvPr>
        <xdr:cNvPicPr>
          <a:picLocks noChangeAspect="1"/>
        </xdr:cNvPicPr>
      </xdr:nvPicPr>
      <xdr:blipFill>
        <a:blip xmlns:r="http://schemas.openxmlformats.org/officeDocument/2006/relationships" r:embed="rId3"/>
        <a:stretch>
          <a:fillRect/>
        </a:stretch>
      </xdr:blipFill>
      <xdr:spPr>
        <a:xfrm>
          <a:off x="293371" y="3564256"/>
          <a:ext cx="2487929" cy="3385552"/>
        </a:xfrm>
        <a:prstGeom prst="rect">
          <a:avLst/>
        </a:prstGeom>
      </xdr:spPr>
    </xdr:pic>
    <xdr:clientData/>
  </xdr:twoCellAnchor>
  <xdr:twoCellAnchor editAs="oneCell">
    <xdr:from>
      <xdr:col>3</xdr:col>
      <xdr:colOff>695325</xdr:colOff>
      <xdr:row>20</xdr:row>
      <xdr:rowOff>1</xdr:rowOff>
    </xdr:from>
    <xdr:to>
      <xdr:col>6</xdr:col>
      <xdr:colOff>534080</xdr:colOff>
      <xdr:row>38</xdr:row>
      <xdr:rowOff>76201</xdr:rowOff>
    </xdr:to>
    <xdr:pic>
      <xdr:nvPicPr>
        <xdr:cNvPr id="6" name="Image 5">
          <a:extLst>
            <a:ext uri="{FF2B5EF4-FFF2-40B4-BE49-F238E27FC236}">
              <a16:creationId xmlns:a16="http://schemas.microsoft.com/office/drawing/2014/main" id="{15DFD635-8FE0-73B5-8B82-B4207DB7EC93}"/>
            </a:ext>
          </a:extLst>
        </xdr:cNvPr>
        <xdr:cNvPicPr>
          <a:picLocks noChangeAspect="1"/>
        </xdr:cNvPicPr>
      </xdr:nvPicPr>
      <xdr:blipFill>
        <a:blip xmlns:r="http://schemas.openxmlformats.org/officeDocument/2006/relationships" r:embed="rId4"/>
        <a:stretch>
          <a:fillRect/>
        </a:stretch>
      </xdr:blipFill>
      <xdr:spPr>
        <a:xfrm>
          <a:off x="3067050" y="3619501"/>
          <a:ext cx="2200955" cy="3333750"/>
        </a:xfrm>
        <a:prstGeom prst="rect">
          <a:avLst/>
        </a:prstGeom>
      </xdr:spPr>
    </xdr:pic>
    <xdr:clientData/>
  </xdr:twoCellAnchor>
  <xdr:twoCellAnchor editAs="oneCell">
    <xdr:from>
      <xdr:col>0</xdr:col>
      <xdr:colOff>133351</xdr:colOff>
      <xdr:row>38</xdr:row>
      <xdr:rowOff>152400</xdr:rowOff>
    </xdr:from>
    <xdr:to>
      <xdr:col>3</xdr:col>
      <xdr:colOff>514351</xdr:colOff>
      <xdr:row>59</xdr:row>
      <xdr:rowOff>174398</xdr:rowOff>
    </xdr:to>
    <xdr:pic>
      <xdr:nvPicPr>
        <xdr:cNvPr id="7" name="Image 6">
          <a:extLst>
            <a:ext uri="{FF2B5EF4-FFF2-40B4-BE49-F238E27FC236}">
              <a16:creationId xmlns:a16="http://schemas.microsoft.com/office/drawing/2014/main" id="{3D12B7A8-6E00-9CEE-51CC-D87F28FA3EAD}"/>
            </a:ext>
          </a:extLst>
        </xdr:cNvPr>
        <xdr:cNvPicPr>
          <a:picLocks noChangeAspect="1"/>
        </xdr:cNvPicPr>
      </xdr:nvPicPr>
      <xdr:blipFill>
        <a:blip xmlns:r="http://schemas.openxmlformats.org/officeDocument/2006/relationships" r:embed="rId5"/>
        <a:stretch>
          <a:fillRect/>
        </a:stretch>
      </xdr:blipFill>
      <xdr:spPr>
        <a:xfrm>
          <a:off x="133351" y="7029450"/>
          <a:ext cx="2741295" cy="3828188"/>
        </a:xfrm>
        <a:prstGeom prst="rect">
          <a:avLst/>
        </a:prstGeom>
      </xdr:spPr>
    </xdr:pic>
    <xdr:clientData/>
  </xdr:twoCellAnchor>
  <xdr:twoCellAnchor editAs="oneCell">
    <xdr:from>
      <xdr:col>3</xdr:col>
      <xdr:colOff>624841</xdr:colOff>
      <xdr:row>38</xdr:row>
      <xdr:rowOff>152400</xdr:rowOff>
    </xdr:from>
    <xdr:to>
      <xdr:col>6</xdr:col>
      <xdr:colOff>669867</xdr:colOff>
      <xdr:row>58</xdr:row>
      <xdr:rowOff>167640</xdr:rowOff>
    </xdr:to>
    <xdr:pic>
      <xdr:nvPicPr>
        <xdr:cNvPr id="8" name="Image 7">
          <a:extLst>
            <a:ext uri="{FF2B5EF4-FFF2-40B4-BE49-F238E27FC236}">
              <a16:creationId xmlns:a16="http://schemas.microsoft.com/office/drawing/2014/main" id="{9D24686B-724E-CC17-BFCC-DA944ED7AFEE}"/>
            </a:ext>
          </a:extLst>
        </xdr:cNvPr>
        <xdr:cNvPicPr>
          <a:picLocks noChangeAspect="1"/>
        </xdr:cNvPicPr>
      </xdr:nvPicPr>
      <xdr:blipFill>
        <a:blip xmlns:r="http://schemas.openxmlformats.org/officeDocument/2006/relationships" r:embed="rId6"/>
        <a:stretch>
          <a:fillRect/>
        </a:stretch>
      </xdr:blipFill>
      <xdr:spPr>
        <a:xfrm>
          <a:off x="2996566" y="7029450"/>
          <a:ext cx="2414846" cy="3638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516867</xdr:colOff>
      <xdr:row>30</xdr:row>
      <xdr:rowOff>96466</xdr:rowOff>
    </xdr:to>
    <xdr:pic>
      <xdr:nvPicPr>
        <xdr:cNvPr id="2" name="Image 1">
          <a:extLst>
            <a:ext uri="{FF2B5EF4-FFF2-40B4-BE49-F238E27FC236}">
              <a16:creationId xmlns:a16="http://schemas.microsoft.com/office/drawing/2014/main" id="{40B1E182-FDC6-4D30-A042-2A9F23A7F3E9}"/>
            </a:ext>
          </a:extLst>
        </xdr:cNvPr>
        <xdr:cNvPicPr>
          <a:picLocks noChangeAspect="1"/>
        </xdr:cNvPicPr>
      </xdr:nvPicPr>
      <xdr:blipFill>
        <a:blip xmlns:r="http://schemas.openxmlformats.org/officeDocument/2006/relationships" r:embed="rId1"/>
        <a:stretch>
          <a:fillRect/>
        </a:stretch>
      </xdr:blipFill>
      <xdr:spPr>
        <a:xfrm>
          <a:off x="0" y="0"/>
          <a:ext cx="10350477" cy="552571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687705</xdr:colOff>
      <xdr:row>2</xdr:row>
      <xdr:rowOff>116205</xdr:rowOff>
    </xdr:from>
    <xdr:to>
      <xdr:col>20</xdr:col>
      <xdr:colOff>53340</xdr:colOff>
      <xdr:row>12</xdr:row>
      <xdr:rowOff>77899</xdr:rowOff>
    </xdr:to>
    <xdr:pic>
      <xdr:nvPicPr>
        <xdr:cNvPr id="2" name="Image 1">
          <a:extLst>
            <a:ext uri="{FF2B5EF4-FFF2-40B4-BE49-F238E27FC236}">
              <a16:creationId xmlns:a16="http://schemas.microsoft.com/office/drawing/2014/main" id="{8A732A9E-5DD5-AA85-E9E7-53D8D782F03C}"/>
            </a:ext>
          </a:extLst>
        </xdr:cNvPr>
        <xdr:cNvPicPr>
          <a:picLocks noChangeAspect="1"/>
        </xdr:cNvPicPr>
      </xdr:nvPicPr>
      <xdr:blipFill>
        <a:blip xmlns:r="http://schemas.openxmlformats.org/officeDocument/2006/relationships" r:embed="rId1"/>
        <a:stretch>
          <a:fillRect/>
        </a:stretch>
      </xdr:blipFill>
      <xdr:spPr>
        <a:xfrm>
          <a:off x="11755755" y="1564005"/>
          <a:ext cx="4101465" cy="1771444"/>
        </a:xfrm>
        <a:prstGeom prst="rect">
          <a:avLst/>
        </a:prstGeom>
      </xdr:spPr>
    </xdr:pic>
    <xdr:clientData/>
  </xdr:twoCellAnchor>
  <xdr:twoCellAnchor editAs="oneCell">
    <xdr:from>
      <xdr:col>15</xdr:col>
      <xdr:colOff>0</xdr:colOff>
      <xdr:row>13</xdr:row>
      <xdr:rowOff>0</xdr:rowOff>
    </xdr:from>
    <xdr:to>
      <xdr:col>22</xdr:col>
      <xdr:colOff>624840</xdr:colOff>
      <xdr:row>29</xdr:row>
      <xdr:rowOff>18731</xdr:rowOff>
    </xdr:to>
    <xdr:pic>
      <xdr:nvPicPr>
        <xdr:cNvPr id="4" name="Image 3">
          <a:extLst>
            <a:ext uri="{FF2B5EF4-FFF2-40B4-BE49-F238E27FC236}">
              <a16:creationId xmlns:a16="http://schemas.microsoft.com/office/drawing/2014/main" id="{3FA5091C-4C27-E29A-9883-48FDE465BA00}"/>
            </a:ext>
          </a:extLst>
        </xdr:cNvPr>
        <xdr:cNvPicPr>
          <a:picLocks noChangeAspect="1"/>
        </xdr:cNvPicPr>
      </xdr:nvPicPr>
      <xdr:blipFill>
        <a:blip xmlns:r="http://schemas.openxmlformats.org/officeDocument/2006/relationships" r:embed="rId2"/>
        <a:stretch>
          <a:fillRect/>
        </a:stretch>
      </xdr:blipFill>
      <xdr:spPr>
        <a:xfrm>
          <a:off x="11858625" y="3438525"/>
          <a:ext cx="6162675" cy="2923856"/>
        </a:xfrm>
        <a:prstGeom prst="rect">
          <a:avLst/>
        </a:prstGeom>
      </xdr:spPr>
    </xdr:pic>
    <xdr:clientData/>
  </xdr:twoCellAnchor>
  <xdr:twoCellAnchor editAs="oneCell">
    <xdr:from>
      <xdr:col>9</xdr:col>
      <xdr:colOff>720091</xdr:colOff>
      <xdr:row>11</xdr:row>
      <xdr:rowOff>62865</xdr:rowOff>
    </xdr:from>
    <xdr:to>
      <xdr:col>14</xdr:col>
      <xdr:colOff>457201</xdr:colOff>
      <xdr:row>24</xdr:row>
      <xdr:rowOff>22020</xdr:rowOff>
    </xdr:to>
    <xdr:pic>
      <xdr:nvPicPr>
        <xdr:cNvPr id="5" name="Image 4">
          <a:extLst>
            <a:ext uri="{FF2B5EF4-FFF2-40B4-BE49-F238E27FC236}">
              <a16:creationId xmlns:a16="http://schemas.microsoft.com/office/drawing/2014/main" id="{3DA79472-476E-623F-F0D0-80AB2D97D402}"/>
            </a:ext>
          </a:extLst>
        </xdr:cNvPr>
        <xdr:cNvPicPr>
          <a:picLocks noChangeAspect="1"/>
        </xdr:cNvPicPr>
      </xdr:nvPicPr>
      <xdr:blipFill>
        <a:blip xmlns:r="http://schemas.openxmlformats.org/officeDocument/2006/relationships" r:embed="rId3"/>
        <a:stretch>
          <a:fillRect/>
        </a:stretch>
      </xdr:blipFill>
      <xdr:spPr>
        <a:xfrm>
          <a:off x="7835266" y="3139440"/>
          <a:ext cx="3689985" cy="2315640"/>
        </a:xfrm>
        <a:prstGeom prst="rect">
          <a:avLst/>
        </a:prstGeom>
      </xdr:spPr>
    </xdr:pic>
    <xdr:clientData/>
  </xdr:twoCellAnchor>
  <xdr:twoCellAnchor editAs="oneCell">
    <xdr:from>
      <xdr:col>10</xdr:col>
      <xdr:colOff>0</xdr:colOff>
      <xdr:row>3</xdr:row>
      <xdr:rowOff>0</xdr:rowOff>
    </xdr:from>
    <xdr:to>
      <xdr:col>14</xdr:col>
      <xdr:colOff>666750</xdr:colOff>
      <xdr:row>10</xdr:row>
      <xdr:rowOff>96549</xdr:rowOff>
    </xdr:to>
    <xdr:pic>
      <xdr:nvPicPr>
        <xdr:cNvPr id="6" name="Image 5">
          <a:extLst>
            <a:ext uri="{FF2B5EF4-FFF2-40B4-BE49-F238E27FC236}">
              <a16:creationId xmlns:a16="http://schemas.microsoft.com/office/drawing/2014/main" id="{CDB27363-AE9D-338C-83E1-DC28CADAE69A}"/>
            </a:ext>
          </a:extLst>
        </xdr:cNvPr>
        <xdr:cNvPicPr>
          <a:picLocks noChangeAspect="1"/>
        </xdr:cNvPicPr>
      </xdr:nvPicPr>
      <xdr:blipFill>
        <a:blip xmlns:r="http://schemas.openxmlformats.org/officeDocument/2006/relationships" r:embed="rId4"/>
        <a:stretch>
          <a:fillRect/>
        </a:stretch>
      </xdr:blipFill>
      <xdr:spPr>
        <a:xfrm>
          <a:off x="7905750" y="1628775"/>
          <a:ext cx="3819525" cy="1353849"/>
        </a:xfrm>
        <a:prstGeom prst="rect">
          <a:avLst/>
        </a:prstGeom>
      </xdr:spPr>
    </xdr:pic>
    <xdr:clientData/>
  </xdr:twoCellAnchor>
  <xdr:twoCellAnchor editAs="oneCell">
    <xdr:from>
      <xdr:col>10</xdr:col>
      <xdr:colOff>0</xdr:colOff>
      <xdr:row>25</xdr:row>
      <xdr:rowOff>0</xdr:rowOff>
    </xdr:from>
    <xdr:to>
      <xdr:col>14</xdr:col>
      <xdr:colOff>662940</xdr:colOff>
      <xdr:row>34</xdr:row>
      <xdr:rowOff>98839</xdr:rowOff>
    </xdr:to>
    <xdr:pic>
      <xdr:nvPicPr>
        <xdr:cNvPr id="8" name="Image 7">
          <a:extLst>
            <a:ext uri="{FF2B5EF4-FFF2-40B4-BE49-F238E27FC236}">
              <a16:creationId xmlns:a16="http://schemas.microsoft.com/office/drawing/2014/main" id="{D9CC554E-2C55-4FB0-E4E1-149C6F3E4543}"/>
            </a:ext>
          </a:extLst>
        </xdr:cNvPr>
        <xdr:cNvPicPr>
          <a:picLocks noChangeAspect="1"/>
        </xdr:cNvPicPr>
      </xdr:nvPicPr>
      <xdr:blipFill>
        <a:blip xmlns:r="http://schemas.openxmlformats.org/officeDocument/2006/relationships" r:embed="rId5"/>
        <a:stretch>
          <a:fillRect/>
        </a:stretch>
      </xdr:blipFill>
      <xdr:spPr>
        <a:xfrm>
          <a:off x="7905750" y="5610225"/>
          <a:ext cx="3819525" cy="1733329"/>
        </a:xfrm>
        <a:prstGeom prst="rect">
          <a:avLst/>
        </a:prstGeom>
      </xdr:spPr>
    </xdr:pic>
    <xdr:clientData/>
  </xdr:twoCellAnchor>
  <xdr:twoCellAnchor editAs="oneCell">
    <xdr:from>
      <xdr:col>3</xdr:col>
      <xdr:colOff>495301</xdr:colOff>
      <xdr:row>20</xdr:row>
      <xdr:rowOff>17145</xdr:rowOff>
    </xdr:from>
    <xdr:to>
      <xdr:col>9</xdr:col>
      <xdr:colOff>399832</xdr:colOff>
      <xdr:row>35</xdr:row>
      <xdr:rowOff>0</xdr:rowOff>
    </xdr:to>
    <xdr:pic>
      <xdr:nvPicPr>
        <xdr:cNvPr id="9" name="Image 8">
          <a:extLst>
            <a:ext uri="{FF2B5EF4-FFF2-40B4-BE49-F238E27FC236}">
              <a16:creationId xmlns:a16="http://schemas.microsoft.com/office/drawing/2014/main" id="{84576801-B3C6-4038-F610-ACCEF0F0675E}"/>
            </a:ext>
          </a:extLst>
        </xdr:cNvPr>
        <xdr:cNvPicPr>
          <a:picLocks noChangeAspect="1"/>
        </xdr:cNvPicPr>
      </xdr:nvPicPr>
      <xdr:blipFill>
        <a:blip xmlns:r="http://schemas.openxmlformats.org/officeDocument/2006/relationships" r:embed="rId6"/>
        <a:stretch>
          <a:fillRect/>
        </a:stretch>
      </xdr:blipFill>
      <xdr:spPr>
        <a:xfrm>
          <a:off x="2867026" y="4722495"/>
          <a:ext cx="4647981" cy="2697480"/>
        </a:xfrm>
        <a:prstGeom prst="rect">
          <a:avLst/>
        </a:prstGeom>
      </xdr:spPr>
    </xdr:pic>
    <xdr:clientData/>
  </xdr:twoCellAnchor>
  <xdr:twoCellAnchor editAs="oneCell">
    <xdr:from>
      <xdr:col>3</xdr:col>
      <xdr:colOff>752476</xdr:colOff>
      <xdr:row>15</xdr:row>
      <xdr:rowOff>19051</xdr:rowOff>
    </xdr:from>
    <xdr:to>
      <xdr:col>6</xdr:col>
      <xdr:colOff>739141</xdr:colOff>
      <xdr:row>19</xdr:row>
      <xdr:rowOff>115397</xdr:rowOff>
    </xdr:to>
    <xdr:pic>
      <xdr:nvPicPr>
        <xdr:cNvPr id="10" name="Image 9">
          <a:extLst>
            <a:ext uri="{FF2B5EF4-FFF2-40B4-BE49-F238E27FC236}">
              <a16:creationId xmlns:a16="http://schemas.microsoft.com/office/drawing/2014/main" id="{B749B09C-7D0D-037F-A8F2-60752599AD8E}"/>
            </a:ext>
          </a:extLst>
        </xdr:cNvPr>
        <xdr:cNvPicPr>
          <a:picLocks noChangeAspect="1"/>
        </xdr:cNvPicPr>
      </xdr:nvPicPr>
      <xdr:blipFill>
        <a:blip xmlns:r="http://schemas.openxmlformats.org/officeDocument/2006/relationships" r:embed="rId7"/>
        <a:stretch>
          <a:fillRect/>
        </a:stretch>
      </xdr:blipFill>
      <xdr:spPr>
        <a:xfrm>
          <a:off x="3124201" y="3819526"/>
          <a:ext cx="2358390" cy="820246"/>
        </a:xfrm>
        <a:prstGeom prst="rect">
          <a:avLst/>
        </a:prstGeom>
      </xdr:spPr>
    </xdr:pic>
    <xdr:clientData/>
  </xdr:twoCellAnchor>
  <xdr:twoCellAnchor editAs="oneCell">
    <xdr:from>
      <xdr:col>3</xdr:col>
      <xdr:colOff>152400</xdr:colOff>
      <xdr:row>37</xdr:row>
      <xdr:rowOff>95250</xdr:rowOff>
    </xdr:from>
    <xdr:to>
      <xdr:col>9</xdr:col>
      <xdr:colOff>587804</xdr:colOff>
      <xdr:row>50</xdr:row>
      <xdr:rowOff>17145</xdr:rowOff>
    </xdr:to>
    <xdr:pic>
      <xdr:nvPicPr>
        <xdr:cNvPr id="11" name="Image 10">
          <a:extLst>
            <a:ext uri="{FF2B5EF4-FFF2-40B4-BE49-F238E27FC236}">
              <a16:creationId xmlns:a16="http://schemas.microsoft.com/office/drawing/2014/main" id="{115D3DFC-C8A0-59D7-A9CD-186010D212FC}"/>
            </a:ext>
          </a:extLst>
        </xdr:cNvPr>
        <xdr:cNvPicPr>
          <a:picLocks noChangeAspect="1"/>
        </xdr:cNvPicPr>
      </xdr:nvPicPr>
      <xdr:blipFill>
        <a:blip xmlns:r="http://schemas.openxmlformats.org/officeDocument/2006/relationships" r:embed="rId8"/>
        <a:stretch>
          <a:fillRect/>
        </a:stretch>
      </xdr:blipFill>
      <xdr:spPr>
        <a:xfrm>
          <a:off x="3152775" y="7877175"/>
          <a:ext cx="5178854" cy="2274570"/>
        </a:xfrm>
        <a:prstGeom prst="rect">
          <a:avLst/>
        </a:prstGeom>
      </xdr:spPr>
    </xdr:pic>
    <xdr:clientData/>
  </xdr:twoCellAnchor>
  <xdr:twoCellAnchor editAs="oneCell">
    <xdr:from>
      <xdr:col>10</xdr:col>
      <xdr:colOff>129541</xdr:colOff>
      <xdr:row>37</xdr:row>
      <xdr:rowOff>15240</xdr:rowOff>
    </xdr:from>
    <xdr:to>
      <xdr:col>16</xdr:col>
      <xdr:colOff>76201</xdr:colOff>
      <xdr:row>54</xdr:row>
      <xdr:rowOff>57432</xdr:rowOff>
    </xdr:to>
    <xdr:pic>
      <xdr:nvPicPr>
        <xdr:cNvPr id="12" name="Image 11">
          <a:extLst>
            <a:ext uri="{FF2B5EF4-FFF2-40B4-BE49-F238E27FC236}">
              <a16:creationId xmlns:a16="http://schemas.microsoft.com/office/drawing/2014/main" id="{8F9B6F14-680D-C3AC-F3DE-FE80F675E5F6}"/>
            </a:ext>
          </a:extLst>
        </xdr:cNvPr>
        <xdr:cNvPicPr>
          <a:picLocks noChangeAspect="1"/>
        </xdr:cNvPicPr>
      </xdr:nvPicPr>
      <xdr:blipFill>
        <a:blip xmlns:r="http://schemas.openxmlformats.org/officeDocument/2006/relationships" r:embed="rId9"/>
        <a:stretch>
          <a:fillRect/>
        </a:stretch>
      </xdr:blipFill>
      <xdr:spPr>
        <a:xfrm>
          <a:off x="8663941" y="7797165"/>
          <a:ext cx="4690110" cy="3107337"/>
        </a:xfrm>
        <a:prstGeom prst="rect">
          <a:avLst/>
        </a:prstGeom>
      </xdr:spPr>
    </xdr:pic>
    <xdr:clientData/>
  </xdr:twoCellAnchor>
  <xdr:twoCellAnchor editAs="oneCell">
    <xdr:from>
      <xdr:col>10</xdr:col>
      <xdr:colOff>91440</xdr:colOff>
      <xdr:row>62</xdr:row>
      <xdr:rowOff>121921</xdr:rowOff>
    </xdr:from>
    <xdr:to>
      <xdr:col>11</xdr:col>
      <xdr:colOff>701040</xdr:colOff>
      <xdr:row>67</xdr:row>
      <xdr:rowOff>94604</xdr:rowOff>
    </xdr:to>
    <xdr:pic>
      <xdr:nvPicPr>
        <xdr:cNvPr id="13" name="Image 12">
          <a:extLst>
            <a:ext uri="{FF2B5EF4-FFF2-40B4-BE49-F238E27FC236}">
              <a16:creationId xmlns:a16="http://schemas.microsoft.com/office/drawing/2014/main" id="{2299E150-2239-9BE2-1DEA-BAF389ED1729}"/>
            </a:ext>
          </a:extLst>
        </xdr:cNvPr>
        <xdr:cNvPicPr>
          <a:picLocks noChangeAspect="1"/>
        </xdr:cNvPicPr>
      </xdr:nvPicPr>
      <xdr:blipFill>
        <a:blip xmlns:r="http://schemas.openxmlformats.org/officeDocument/2006/relationships" r:embed="rId10"/>
        <a:stretch>
          <a:fillRect/>
        </a:stretch>
      </xdr:blipFill>
      <xdr:spPr>
        <a:xfrm>
          <a:off x="8625840" y="12428221"/>
          <a:ext cx="1400175" cy="885178"/>
        </a:xfrm>
        <a:prstGeom prst="rect">
          <a:avLst/>
        </a:prstGeom>
      </xdr:spPr>
    </xdr:pic>
    <xdr:clientData/>
  </xdr:twoCellAnchor>
  <xdr:twoCellAnchor editAs="oneCell">
    <xdr:from>
      <xdr:col>10</xdr:col>
      <xdr:colOff>0</xdr:colOff>
      <xdr:row>55</xdr:row>
      <xdr:rowOff>1</xdr:rowOff>
    </xdr:from>
    <xdr:to>
      <xdr:col>13</xdr:col>
      <xdr:colOff>662940</xdr:colOff>
      <xdr:row>60</xdr:row>
      <xdr:rowOff>17703</xdr:rowOff>
    </xdr:to>
    <xdr:pic>
      <xdr:nvPicPr>
        <xdr:cNvPr id="14" name="Image 13">
          <a:extLst>
            <a:ext uri="{FF2B5EF4-FFF2-40B4-BE49-F238E27FC236}">
              <a16:creationId xmlns:a16="http://schemas.microsoft.com/office/drawing/2014/main" id="{DBFD2EEB-7F25-897A-9D07-2A5FFAD762F9}"/>
            </a:ext>
          </a:extLst>
        </xdr:cNvPr>
        <xdr:cNvPicPr>
          <a:picLocks noChangeAspect="1"/>
        </xdr:cNvPicPr>
      </xdr:nvPicPr>
      <xdr:blipFill>
        <a:blip xmlns:r="http://schemas.openxmlformats.org/officeDocument/2006/relationships" r:embed="rId11"/>
        <a:stretch>
          <a:fillRect/>
        </a:stretch>
      </xdr:blipFill>
      <xdr:spPr>
        <a:xfrm>
          <a:off x="8534400" y="11039476"/>
          <a:ext cx="3038475" cy="932102"/>
        </a:xfrm>
        <a:prstGeom prst="rect">
          <a:avLst/>
        </a:prstGeom>
      </xdr:spPr>
    </xdr:pic>
    <xdr:clientData/>
  </xdr:twoCellAnchor>
  <xdr:twoCellAnchor editAs="oneCell">
    <xdr:from>
      <xdr:col>17</xdr:col>
      <xdr:colOff>28575</xdr:colOff>
      <xdr:row>37</xdr:row>
      <xdr:rowOff>57150</xdr:rowOff>
    </xdr:from>
    <xdr:to>
      <xdr:col>21</xdr:col>
      <xdr:colOff>57150</xdr:colOff>
      <xdr:row>40</xdr:row>
      <xdr:rowOff>134087</xdr:rowOff>
    </xdr:to>
    <xdr:pic>
      <xdr:nvPicPr>
        <xdr:cNvPr id="15" name="Image 14">
          <a:extLst>
            <a:ext uri="{FF2B5EF4-FFF2-40B4-BE49-F238E27FC236}">
              <a16:creationId xmlns:a16="http://schemas.microsoft.com/office/drawing/2014/main" id="{C6D77EE8-3243-D4A4-BFC6-4CFD91AAFA20}"/>
            </a:ext>
          </a:extLst>
        </xdr:cNvPr>
        <xdr:cNvPicPr>
          <a:picLocks noChangeAspect="1"/>
        </xdr:cNvPicPr>
      </xdr:nvPicPr>
      <xdr:blipFill>
        <a:blip xmlns:r="http://schemas.openxmlformats.org/officeDocument/2006/relationships" r:embed="rId12"/>
        <a:stretch>
          <a:fillRect/>
        </a:stretch>
      </xdr:blipFill>
      <xdr:spPr>
        <a:xfrm>
          <a:off x="14097000" y="7839075"/>
          <a:ext cx="3181350" cy="606527"/>
        </a:xfrm>
        <a:prstGeom prst="rect">
          <a:avLst/>
        </a:prstGeom>
      </xdr:spPr>
    </xdr:pic>
    <xdr:clientData/>
  </xdr:twoCellAnchor>
  <xdr:twoCellAnchor editAs="oneCell">
    <xdr:from>
      <xdr:col>17</xdr:col>
      <xdr:colOff>1</xdr:colOff>
      <xdr:row>41</xdr:row>
      <xdr:rowOff>0</xdr:rowOff>
    </xdr:from>
    <xdr:to>
      <xdr:col>21</xdr:col>
      <xdr:colOff>19051</xdr:colOff>
      <xdr:row>44</xdr:row>
      <xdr:rowOff>167732</xdr:rowOff>
    </xdr:to>
    <xdr:pic>
      <xdr:nvPicPr>
        <xdr:cNvPr id="16" name="Image 15">
          <a:extLst>
            <a:ext uri="{FF2B5EF4-FFF2-40B4-BE49-F238E27FC236}">
              <a16:creationId xmlns:a16="http://schemas.microsoft.com/office/drawing/2014/main" id="{90D224C4-26A3-10C9-3EF8-714EA9917A96}"/>
            </a:ext>
          </a:extLst>
        </xdr:cNvPr>
        <xdr:cNvPicPr>
          <a:picLocks noChangeAspect="1"/>
        </xdr:cNvPicPr>
      </xdr:nvPicPr>
      <xdr:blipFill>
        <a:blip xmlns:r="http://schemas.openxmlformats.org/officeDocument/2006/relationships" r:embed="rId13"/>
        <a:stretch>
          <a:fillRect/>
        </a:stretch>
      </xdr:blipFill>
      <xdr:spPr>
        <a:xfrm>
          <a:off x="14068426" y="8505825"/>
          <a:ext cx="3181350" cy="710657"/>
        </a:xfrm>
        <a:prstGeom prst="rect">
          <a:avLst/>
        </a:prstGeom>
      </xdr:spPr>
    </xdr:pic>
    <xdr:clientData/>
  </xdr:twoCellAnchor>
  <xdr:twoCellAnchor editAs="oneCell">
    <xdr:from>
      <xdr:col>17</xdr:col>
      <xdr:colOff>1</xdr:colOff>
      <xdr:row>46</xdr:row>
      <xdr:rowOff>0</xdr:rowOff>
    </xdr:from>
    <xdr:to>
      <xdr:col>20</xdr:col>
      <xdr:colOff>741046</xdr:colOff>
      <xdr:row>51</xdr:row>
      <xdr:rowOff>17212</xdr:rowOff>
    </xdr:to>
    <xdr:pic>
      <xdr:nvPicPr>
        <xdr:cNvPr id="17" name="Image 16">
          <a:extLst>
            <a:ext uri="{FF2B5EF4-FFF2-40B4-BE49-F238E27FC236}">
              <a16:creationId xmlns:a16="http://schemas.microsoft.com/office/drawing/2014/main" id="{94D30FE8-E616-A085-6685-9DD84318B864}"/>
            </a:ext>
          </a:extLst>
        </xdr:cNvPr>
        <xdr:cNvPicPr>
          <a:picLocks noChangeAspect="1"/>
        </xdr:cNvPicPr>
      </xdr:nvPicPr>
      <xdr:blipFill>
        <a:blip xmlns:r="http://schemas.openxmlformats.org/officeDocument/2006/relationships" r:embed="rId14"/>
        <a:stretch>
          <a:fillRect/>
        </a:stretch>
      </xdr:blipFill>
      <xdr:spPr>
        <a:xfrm>
          <a:off x="14068426" y="9410700"/>
          <a:ext cx="3124200" cy="929707"/>
        </a:xfrm>
        <a:prstGeom prst="rect">
          <a:avLst/>
        </a:prstGeom>
      </xdr:spPr>
    </xdr:pic>
    <xdr:clientData/>
  </xdr:twoCellAnchor>
  <xdr:twoCellAnchor editAs="oneCell">
    <xdr:from>
      <xdr:col>14</xdr:col>
      <xdr:colOff>1</xdr:colOff>
      <xdr:row>55</xdr:row>
      <xdr:rowOff>0</xdr:rowOff>
    </xdr:from>
    <xdr:to>
      <xdr:col>15</xdr:col>
      <xdr:colOff>55246</xdr:colOff>
      <xdr:row>59</xdr:row>
      <xdr:rowOff>169672</xdr:rowOff>
    </xdr:to>
    <xdr:pic>
      <xdr:nvPicPr>
        <xdr:cNvPr id="18" name="Image 17">
          <a:extLst>
            <a:ext uri="{FF2B5EF4-FFF2-40B4-BE49-F238E27FC236}">
              <a16:creationId xmlns:a16="http://schemas.microsoft.com/office/drawing/2014/main" id="{8275BA46-2FFD-1C88-B652-7DCFB3E3B977}"/>
            </a:ext>
          </a:extLst>
        </xdr:cNvPr>
        <xdr:cNvPicPr>
          <a:picLocks noChangeAspect="1"/>
        </xdr:cNvPicPr>
      </xdr:nvPicPr>
      <xdr:blipFill>
        <a:blip xmlns:r="http://schemas.openxmlformats.org/officeDocument/2006/relationships" r:embed="rId15"/>
        <a:stretch>
          <a:fillRect/>
        </a:stretch>
      </xdr:blipFill>
      <xdr:spPr>
        <a:xfrm>
          <a:off x="11696701" y="11039475"/>
          <a:ext cx="857250" cy="901192"/>
        </a:xfrm>
        <a:prstGeom prst="rect">
          <a:avLst/>
        </a:prstGeom>
      </xdr:spPr>
    </xdr:pic>
    <xdr:clientData/>
  </xdr:twoCellAnchor>
  <xdr:twoCellAnchor editAs="oneCell">
    <xdr:from>
      <xdr:col>4</xdr:col>
      <xdr:colOff>0</xdr:colOff>
      <xdr:row>52</xdr:row>
      <xdr:rowOff>1</xdr:rowOff>
    </xdr:from>
    <xdr:to>
      <xdr:col>10</xdr:col>
      <xdr:colOff>17145</xdr:colOff>
      <xdr:row>56</xdr:row>
      <xdr:rowOff>174993</xdr:rowOff>
    </xdr:to>
    <xdr:pic>
      <xdr:nvPicPr>
        <xdr:cNvPr id="19" name="Image 18">
          <a:extLst>
            <a:ext uri="{FF2B5EF4-FFF2-40B4-BE49-F238E27FC236}">
              <a16:creationId xmlns:a16="http://schemas.microsoft.com/office/drawing/2014/main" id="{0789DEF6-9A8A-19D1-72A3-0622E19C5582}"/>
            </a:ext>
          </a:extLst>
        </xdr:cNvPr>
        <xdr:cNvPicPr>
          <a:picLocks noChangeAspect="1"/>
        </xdr:cNvPicPr>
      </xdr:nvPicPr>
      <xdr:blipFill>
        <a:blip xmlns:r="http://schemas.openxmlformats.org/officeDocument/2006/relationships" r:embed="rId16"/>
        <a:stretch>
          <a:fillRect/>
        </a:stretch>
      </xdr:blipFill>
      <xdr:spPr>
        <a:xfrm>
          <a:off x="3790950" y="10496551"/>
          <a:ext cx="4772025" cy="89889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9AF7A85-B6A0-4B75-92B8-11C4004E0B91}" name="Table8" displayName="Table8" ref="A6:E8" totalsRowShown="0">
  <autoFilter ref="A6:E8" xr:uid="{00000000-0009-0000-0100-000008000000}"/>
  <tableColumns count="5">
    <tableColumn id="1" xr3:uid="{D07EA335-9413-464D-AAAE-2D1B08DE7EDC}" name="LIB_REG2"/>
    <tableColumn id="2" xr3:uid="{4388B8F6-1D24-4BA1-9EF5-45C07F80A2A9}" name="LIB_SAA"/>
    <tableColumn id="36" xr3:uid="{114EF0FC-7918-49A7-B6D9-485913BC87E2}" name="PROD_2015"/>
    <tableColumn id="40" xr3:uid="{EE56316F-7AB2-40B2-B6FA-3ADBEF641EB0}" name="PROD_2019"/>
    <tableColumn id="44" xr3:uid="{DD3EE060-CC0F-4311-A287-6643E292873F}" name="PROD_2023"/>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607EC5-1630-49C3-B4A3-F74AFBD41D9C}" name="Table3" displayName="Table3" ref="A6:E42" totalsRowShown="0">
  <autoFilter ref="A6:E42" xr:uid="{00000000-0009-0000-0100-000003000000}"/>
  <tableColumns count="5">
    <tableColumn id="1" xr3:uid="{14506EBE-7FDE-43C9-9597-C42B1CCAD6A8}" name="LIB_REG2"/>
    <tableColumn id="2" xr3:uid="{CF4236D5-FAC3-40EA-B219-3D5BA8A06DBC}" name="LIB_SAA"/>
    <tableColumn id="36" xr3:uid="{3B586380-6798-4855-90A0-174F0BC4B4D5}" name="PROD_2015"/>
    <tableColumn id="40" xr3:uid="{68A62282-636A-410F-A604-F2081D232972}" name="PROD_2019"/>
    <tableColumn id="44" xr3:uid="{74CF0ACF-92AB-419E-B4DC-4B81DAB96A6C}" name="PROD_2023"/>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61D4C-C014-48F6-BAE8-8D17485EA79B}">
  <sheetPr>
    <tabColor rgb="FFD7D200"/>
  </sheetPr>
  <dimension ref="A1:AMH14"/>
  <sheetViews>
    <sheetView workbookViewId="0">
      <selection activeCell="C27" sqref="C27"/>
    </sheetView>
  </sheetViews>
  <sheetFormatPr baseColWidth="10" defaultColWidth="11.44140625" defaultRowHeight="14.4"/>
  <cols>
    <col min="1" max="1" width="21.33203125" style="982" customWidth="1"/>
    <col min="2" max="16384" width="11.44140625" style="982"/>
  </cols>
  <sheetData>
    <row r="1" spans="1:1022" s="978" customFormat="1" ht="16.2" customHeight="1">
      <c r="A1" s="977" t="s">
        <v>1511</v>
      </c>
    </row>
    <row r="2" spans="1:1022" ht="15.6">
      <c r="A2" s="979"/>
      <c r="B2" s="980"/>
      <c r="C2" s="980"/>
      <c r="D2" s="980"/>
      <c r="E2" s="980"/>
      <c r="F2" s="980"/>
      <c r="G2" s="980"/>
      <c r="H2" s="981"/>
      <c r="I2" s="980"/>
      <c r="J2" s="980"/>
      <c r="K2" s="980"/>
      <c r="L2" s="980"/>
      <c r="M2" s="980"/>
      <c r="N2" s="981"/>
      <c r="O2" s="981"/>
      <c r="P2" s="981"/>
      <c r="Q2" s="981"/>
      <c r="R2" s="981"/>
      <c r="S2" s="981"/>
      <c r="T2" s="980"/>
      <c r="U2" s="980"/>
      <c r="V2" s="980"/>
      <c r="W2" s="980"/>
      <c r="X2" s="980"/>
      <c r="Y2" s="980"/>
      <c r="Z2" s="980"/>
      <c r="AA2" s="980"/>
      <c r="AB2" s="980"/>
      <c r="AC2" s="980"/>
      <c r="AD2" s="980"/>
      <c r="AE2" s="980"/>
      <c r="AF2" s="980"/>
      <c r="AG2" s="980"/>
      <c r="AH2" s="980"/>
      <c r="AI2" s="980"/>
      <c r="AJ2" s="980"/>
      <c r="AK2" s="980"/>
      <c r="AL2" s="980"/>
      <c r="AM2" s="980"/>
      <c r="AN2" s="980"/>
      <c r="AO2" s="980"/>
      <c r="AP2" s="980"/>
      <c r="AQ2" s="980"/>
      <c r="AR2" s="980"/>
      <c r="AS2" s="980"/>
      <c r="AT2" s="980"/>
      <c r="AU2" s="980"/>
      <c r="AV2" s="980"/>
      <c r="AW2" s="980"/>
      <c r="AX2" s="980"/>
      <c r="AY2" s="980"/>
      <c r="AZ2" s="980"/>
      <c r="BA2" s="980"/>
      <c r="BB2" s="980"/>
      <c r="BC2" s="980"/>
      <c r="BD2" s="980"/>
      <c r="BE2" s="980"/>
      <c r="BF2" s="980"/>
      <c r="BG2" s="980"/>
      <c r="BH2" s="980"/>
      <c r="BI2" s="980"/>
      <c r="BJ2" s="980"/>
      <c r="BK2" s="980"/>
      <c r="BL2" s="980"/>
      <c r="BM2" s="980"/>
      <c r="BN2" s="980"/>
      <c r="BO2" s="980"/>
      <c r="BP2" s="980"/>
      <c r="BQ2" s="980"/>
      <c r="BR2" s="980"/>
      <c r="BS2" s="980"/>
      <c r="BT2" s="980"/>
      <c r="BU2" s="980"/>
      <c r="BV2" s="980"/>
      <c r="BW2" s="980"/>
      <c r="BX2" s="980"/>
      <c r="BY2" s="980"/>
      <c r="BZ2" s="980"/>
      <c r="CA2" s="980"/>
      <c r="CB2" s="980"/>
      <c r="CC2" s="980"/>
      <c r="CD2" s="980"/>
      <c r="CE2" s="980"/>
      <c r="CF2" s="980"/>
      <c r="CG2" s="980"/>
      <c r="CH2" s="980"/>
      <c r="CI2" s="980"/>
      <c r="CJ2" s="980"/>
      <c r="CK2" s="980"/>
      <c r="CL2" s="980"/>
      <c r="CM2" s="980"/>
      <c r="CN2" s="980"/>
      <c r="CO2" s="980"/>
      <c r="CP2" s="980"/>
      <c r="CQ2" s="980"/>
      <c r="CR2" s="980"/>
      <c r="CS2" s="980"/>
      <c r="CT2" s="980"/>
      <c r="CU2" s="980"/>
      <c r="CV2" s="980"/>
      <c r="CW2" s="980"/>
      <c r="CX2" s="980"/>
      <c r="CY2" s="980"/>
      <c r="CZ2" s="980"/>
      <c r="DA2" s="980"/>
      <c r="DB2" s="980"/>
      <c r="DC2" s="980"/>
      <c r="DD2" s="980"/>
      <c r="DE2" s="980"/>
      <c r="DF2" s="980"/>
      <c r="DG2" s="980"/>
      <c r="DH2" s="980"/>
      <c r="DI2" s="980"/>
      <c r="DJ2" s="980"/>
      <c r="DK2" s="980"/>
      <c r="DL2" s="980"/>
      <c r="DM2" s="980"/>
      <c r="DN2" s="980"/>
      <c r="DO2" s="980"/>
      <c r="DP2" s="980"/>
      <c r="DQ2" s="980"/>
      <c r="DR2" s="980"/>
      <c r="DS2" s="980"/>
      <c r="DT2" s="980"/>
      <c r="DU2" s="980"/>
      <c r="DV2" s="980"/>
      <c r="DW2" s="980"/>
      <c r="DX2" s="980"/>
      <c r="DY2" s="980"/>
      <c r="DZ2" s="980"/>
      <c r="EA2" s="980"/>
      <c r="EB2" s="980"/>
      <c r="EC2" s="980"/>
      <c r="ED2" s="980"/>
      <c r="EE2" s="980"/>
      <c r="EF2" s="980"/>
      <c r="EG2" s="980"/>
      <c r="EH2" s="980"/>
      <c r="EI2" s="980"/>
      <c r="EJ2" s="980"/>
      <c r="EK2" s="980"/>
      <c r="EL2" s="980"/>
      <c r="EM2" s="980"/>
      <c r="EN2" s="980"/>
      <c r="EO2" s="980"/>
      <c r="EP2" s="980"/>
      <c r="EQ2" s="980"/>
      <c r="ER2" s="980"/>
      <c r="ES2" s="980"/>
      <c r="ET2" s="980"/>
      <c r="EU2" s="980"/>
      <c r="EV2" s="980"/>
      <c r="EW2" s="980"/>
      <c r="EX2" s="980"/>
      <c r="EY2" s="980"/>
      <c r="EZ2" s="980"/>
      <c r="FA2" s="980"/>
      <c r="FB2" s="980"/>
      <c r="FC2" s="980"/>
      <c r="FD2" s="980"/>
      <c r="FE2" s="980"/>
      <c r="FF2" s="980"/>
      <c r="FG2" s="980"/>
      <c r="FH2" s="980"/>
      <c r="FI2" s="980"/>
      <c r="FJ2" s="980"/>
      <c r="FK2" s="980"/>
      <c r="FL2" s="980"/>
      <c r="FM2" s="980"/>
      <c r="FN2" s="980"/>
      <c r="FO2" s="980"/>
      <c r="FP2" s="980"/>
      <c r="FQ2" s="980"/>
      <c r="FR2" s="980"/>
      <c r="FS2" s="980"/>
      <c r="FT2" s="980"/>
      <c r="FU2" s="980"/>
      <c r="FV2" s="980"/>
      <c r="FW2" s="980"/>
      <c r="FX2" s="980"/>
      <c r="FY2" s="980"/>
      <c r="FZ2" s="980"/>
      <c r="GA2" s="980"/>
      <c r="GB2" s="980"/>
      <c r="GC2" s="980"/>
      <c r="GD2" s="980"/>
      <c r="GE2" s="980"/>
      <c r="GF2" s="980"/>
      <c r="GG2" s="980"/>
      <c r="GH2" s="980"/>
      <c r="GI2" s="980"/>
      <c r="GJ2" s="980"/>
      <c r="GK2" s="980"/>
      <c r="GL2" s="980"/>
      <c r="GM2" s="980"/>
      <c r="GN2" s="980"/>
      <c r="GO2" s="980"/>
      <c r="GP2" s="980"/>
      <c r="GQ2" s="980"/>
      <c r="GR2" s="980"/>
      <c r="GS2" s="980"/>
      <c r="GT2" s="980"/>
      <c r="GU2" s="980"/>
      <c r="GV2" s="980"/>
      <c r="GW2" s="980"/>
      <c r="GX2" s="980"/>
      <c r="GY2" s="980"/>
      <c r="GZ2" s="980"/>
      <c r="HA2" s="980"/>
      <c r="HB2" s="980"/>
      <c r="HC2" s="980"/>
      <c r="HD2" s="980"/>
      <c r="HE2" s="980"/>
      <c r="HF2" s="980"/>
      <c r="HG2" s="980"/>
      <c r="HH2" s="980"/>
      <c r="HI2" s="980"/>
      <c r="HJ2" s="980"/>
      <c r="HK2" s="980"/>
      <c r="HL2" s="980"/>
      <c r="HM2" s="980"/>
      <c r="HN2" s="980"/>
      <c r="HO2" s="980"/>
      <c r="HP2" s="980"/>
      <c r="HQ2" s="980"/>
      <c r="HR2" s="980"/>
      <c r="HS2" s="980"/>
      <c r="HT2" s="980"/>
      <c r="HU2" s="980"/>
      <c r="HV2" s="980"/>
      <c r="HW2" s="980"/>
      <c r="HX2" s="980"/>
      <c r="HY2" s="980"/>
      <c r="HZ2" s="980"/>
      <c r="IA2" s="980"/>
      <c r="IB2" s="980"/>
      <c r="IC2" s="980"/>
      <c r="ID2" s="980"/>
      <c r="IE2" s="980"/>
      <c r="IF2" s="980"/>
      <c r="IG2" s="980"/>
      <c r="IH2" s="980"/>
      <c r="II2" s="980"/>
      <c r="IJ2" s="980"/>
      <c r="IK2" s="980"/>
      <c r="IL2" s="980"/>
      <c r="IM2" s="980"/>
      <c r="IN2" s="980"/>
      <c r="IO2" s="980"/>
      <c r="IP2" s="980"/>
      <c r="IQ2" s="980"/>
      <c r="IR2" s="980"/>
      <c r="IS2" s="980"/>
      <c r="IT2" s="980"/>
      <c r="IU2" s="980"/>
      <c r="IV2" s="980"/>
      <c r="IW2" s="980"/>
      <c r="IX2" s="980"/>
      <c r="IY2" s="980"/>
      <c r="IZ2" s="980"/>
      <c r="JA2" s="980"/>
      <c r="JB2" s="980"/>
      <c r="JC2" s="980"/>
      <c r="JD2" s="980"/>
      <c r="JE2" s="980"/>
      <c r="JF2" s="980"/>
      <c r="JG2" s="980"/>
      <c r="JH2" s="980"/>
      <c r="JI2" s="980"/>
      <c r="JJ2" s="980"/>
      <c r="JK2" s="980"/>
      <c r="JL2" s="980"/>
      <c r="JM2" s="980"/>
      <c r="JN2" s="980"/>
      <c r="JO2" s="980"/>
      <c r="JP2" s="980"/>
      <c r="JQ2" s="980"/>
      <c r="JR2" s="980"/>
      <c r="JS2" s="980"/>
      <c r="JT2" s="980"/>
      <c r="JU2" s="980"/>
      <c r="JV2" s="980"/>
      <c r="JW2" s="980"/>
      <c r="JX2" s="980"/>
      <c r="JY2" s="980"/>
      <c r="JZ2" s="980"/>
      <c r="KA2" s="980"/>
      <c r="KB2" s="980"/>
      <c r="KC2" s="980"/>
      <c r="KD2" s="980"/>
      <c r="KE2" s="980"/>
      <c r="KF2" s="980"/>
      <c r="KG2" s="980"/>
      <c r="KH2" s="980"/>
      <c r="KI2" s="980"/>
      <c r="KJ2" s="980"/>
      <c r="KK2" s="980"/>
      <c r="KL2" s="980"/>
      <c r="KM2" s="980"/>
      <c r="KN2" s="980"/>
      <c r="KO2" s="980"/>
      <c r="KP2" s="980"/>
      <c r="KQ2" s="980"/>
      <c r="KR2" s="980"/>
      <c r="KS2" s="980"/>
      <c r="KT2" s="980"/>
      <c r="KU2" s="980"/>
      <c r="KV2" s="980"/>
      <c r="KW2" s="980"/>
      <c r="KX2" s="980"/>
      <c r="KY2" s="980"/>
      <c r="KZ2" s="980"/>
      <c r="LA2" s="980"/>
      <c r="LB2" s="980"/>
      <c r="LC2" s="980"/>
      <c r="LD2" s="980"/>
      <c r="LE2" s="980"/>
      <c r="LF2" s="980"/>
      <c r="LG2" s="980"/>
      <c r="LH2" s="980"/>
      <c r="LI2" s="980"/>
      <c r="LJ2" s="980"/>
      <c r="LK2" s="980"/>
      <c r="LL2" s="980"/>
      <c r="LM2" s="980"/>
      <c r="LN2" s="980"/>
      <c r="LO2" s="980"/>
      <c r="LP2" s="980"/>
      <c r="LQ2" s="980"/>
      <c r="LR2" s="980"/>
      <c r="LS2" s="980"/>
      <c r="LT2" s="980"/>
      <c r="LU2" s="980"/>
      <c r="LV2" s="980"/>
      <c r="LW2" s="980"/>
      <c r="LX2" s="980"/>
      <c r="LY2" s="980"/>
      <c r="LZ2" s="980"/>
      <c r="MA2" s="980"/>
      <c r="MB2" s="980"/>
      <c r="MC2" s="980"/>
      <c r="MD2" s="980"/>
      <c r="ME2" s="980"/>
      <c r="MF2" s="980"/>
      <c r="MG2" s="980"/>
      <c r="MH2" s="980"/>
      <c r="MI2" s="980"/>
      <c r="MJ2" s="980"/>
      <c r="MK2" s="980"/>
      <c r="ML2" s="980"/>
      <c r="MM2" s="980"/>
      <c r="MN2" s="980"/>
      <c r="MO2" s="980"/>
      <c r="MP2" s="980"/>
      <c r="MQ2" s="980"/>
      <c r="MR2" s="980"/>
      <c r="MS2" s="980"/>
      <c r="MT2" s="980"/>
      <c r="MU2" s="980"/>
      <c r="MV2" s="980"/>
      <c r="MW2" s="980"/>
      <c r="MX2" s="980"/>
      <c r="MY2" s="980"/>
      <c r="MZ2" s="980"/>
      <c r="NA2" s="980"/>
      <c r="NB2" s="980"/>
      <c r="NC2" s="980"/>
      <c r="ND2" s="980"/>
      <c r="NE2" s="980"/>
      <c r="NF2" s="980"/>
      <c r="NG2" s="980"/>
      <c r="NH2" s="980"/>
      <c r="NI2" s="980"/>
      <c r="NJ2" s="980"/>
      <c r="NK2" s="980"/>
      <c r="NL2" s="980"/>
      <c r="NM2" s="980"/>
      <c r="NN2" s="980"/>
      <c r="NO2" s="980"/>
      <c r="NP2" s="980"/>
      <c r="NQ2" s="980"/>
      <c r="NR2" s="980"/>
      <c r="NS2" s="980"/>
      <c r="NT2" s="980"/>
      <c r="NU2" s="980"/>
      <c r="NV2" s="980"/>
      <c r="NW2" s="980"/>
      <c r="NX2" s="980"/>
      <c r="NY2" s="980"/>
      <c r="NZ2" s="980"/>
      <c r="OA2" s="980"/>
      <c r="OB2" s="980"/>
      <c r="OC2" s="980"/>
      <c r="OD2" s="980"/>
      <c r="OE2" s="980"/>
      <c r="OF2" s="980"/>
      <c r="OG2" s="980"/>
      <c r="OH2" s="980"/>
      <c r="OI2" s="980"/>
      <c r="OJ2" s="980"/>
      <c r="OK2" s="980"/>
      <c r="OL2" s="980"/>
      <c r="OM2" s="980"/>
      <c r="ON2" s="980"/>
      <c r="OO2" s="980"/>
      <c r="OP2" s="980"/>
      <c r="OQ2" s="980"/>
      <c r="OR2" s="980"/>
      <c r="OS2" s="980"/>
      <c r="OT2" s="980"/>
      <c r="OU2" s="980"/>
      <c r="OV2" s="980"/>
      <c r="OW2" s="980"/>
      <c r="OX2" s="980"/>
      <c r="OY2" s="980"/>
      <c r="OZ2" s="980"/>
      <c r="PA2" s="980"/>
      <c r="PB2" s="980"/>
      <c r="PC2" s="980"/>
      <c r="PD2" s="980"/>
      <c r="PE2" s="980"/>
      <c r="PF2" s="980"/>
      <c r="PG2" s="980"/>
      <c r="PH2" s="980"/>
      <c r="PI2" s="980"/>
      <c r="PJ2" s="980"/>
      <c r="PK2" s="980"/>
      <c r="PL2" s="980"/>
      <c r="PM2" s="980"/>
      <c r="PN2" s="980"/>
      <c r="PO2" s="980"/>
      <c r="PP2" s="980"/>
      <c r="PQ2" s="980"/>
      <c r="PR2" s="980"/>
      <c r="PS2" s="980"/>
      <c r="PT2" s="980"/>
      <c r="PU2" s="980"/>
      <c r="PV2" s="980"/>
      <c r="PW2" s="980"/>
      <c r="PX2" s="980"/>
      <c r="PY2" s="980"/>
      <c r="PZ2" s="980"/>
      <c r="QA2" s="980"/>
      <c r="QB2" s="980"/>
      <c r="QC2" s="980"/>
      <c r="QD2" s="980"/>
      <c r="QE2" s="980"/>
      <c r="QF2" s="980"/>
      <c r="QG2" s="980"/>
      <c r="QH2" s="980"/>
      <c r="QI2" s="980"/>
      <c r="QJ2" s="980"/>
      <c r="QK2" s="980"/>
      <c r="QL2" s="980"/>
      <c r="QM2" s="980"/>
      <c r="QN2" s="980"/>
      <c r="QO2" s="980"/>
      <c r="QP2" s="980"/>
      <c r="QQ2" s="980"/>
      <c r="QR2" s="980"/>
      <c r="QS2" s="980"/>
      <c r="QT2" s="980"/>
      <c r="QU2" s="980"/>
      <c r="QV2" s="980"/>
      <c r="QW2" s="980"/>
      <c r="QX2" s="980"/>
      <c r="QY2" s="980"/>
      <c r="QZ2" s="980"/>
      <c r="RA2" s="980"/>
      <c r="RB2" s="980"/>
      <c r="RC2" s="980"/>
      <c r="RD2" s="980"/>
      <c r="RE2" s="980"/>
      <c r="RF2" s="980"/>
      <c r="RG2" s="980"/>
      <c r="RH2" s="980"/>
      <c r="RI2" s="980"/>
      <c r="RJ2" s="980"/>
      <c r="RK2" s="980"/>
      <c r="RL2" s="980"/>
      <c r="RM2" s="980"/>
      <c r="RN2" s="980"/>
      <c r="RO2" s="980"/>
      <c r="RP2" s="980"/>
      <c r="RQ2" s="980"/>
      <c r="RR2" s="980"/>
      <c r="RS2" s="980"/>
      <c r="RT2" s="980"/>
      <c r="RU2" s="980"/>
      <c r="RV2" s="980"/>
      <c r="RW2" s="980"/>
      <c r="RX2" s="980"/>
      <c r="RY2" s="980"/>
      <c r="RZ2" s="980"/>
      <c r="SA2" s="980"/>
      <c r="SB2" s="980"/>
      <c r="SC2" s="980"/>
      <c r="SD2" s="980"/>
      <c r="SE2" s="980"/>
      <c r="SF2" s="980"/>
      <c r="SG2" s="980"/>
      <c r="SH2" s="980"/>
      <c r="SI2" s="980"/>
      <c r="SJ2" s="980"/>
      <c r="SK2" s="980"/>
      <c r="SL2" s="980"/>
      <c r="SM2" s="980"/>
      <c r="SN2" s="980"/>
      <c r="SO2" s="980"/>
      <c r="SP2" s="980"/>
      <c r="SQ2" s="980"/>
      <c r="SR2" s="980"/>
      <c r="SS2" s="980"/>
      <c r="ST2" s="980"/>
      <c r="SU2" s="980"/>
      <c r="SV2" s="980"/>
      <c r="SW2" s="980"/>
      <c r="SX2" s="980"/>
      <c r="SY2" s="980"/>
      <c r="SZ2" s="980"/>
      <c r="TA2" s="980"/>
      <c r="TB2" s="980"/>
      <c r="TC2" s="980"/>
      <c r="TD2" s="980"/>
      <c r="TE2" s="980"/>
      <c r="TF2" s="980"/>
      <c r="TG2" s="980"/>
      <c r="TH2" s="980"/>
      <c r="TI2" s="980"/>
      <c r="TJ2" s="980"/>
      <c r="TK2" s="980"/>
      <c r="TL2" s="980"/>
      <c r="TM2" s="980"/>
      <c r="TN2" s="980"/>
      <c r="TO2" s="980"/>
      <c r="TP2" s="980"/>
      <c r="TQ2" s="980"/>
      <c r="TR2" s="980"/>
      <c r="TS2" s="980"/>
      <c r="TT2" s="980"/>
      <c r="TU2" s="980"/>
      <c r="TV2" s="980"/>
      <c r="TW2" s="980"/>
      <c r="TX2" s="980"/>
      <c r="TY2" s="980"/>
      <c r="TZ2" s="980"/>
      <c r="UA2" s="980"/>
      <c r="UB2" s="980"/>
      <c r="UC2" s="980"/>
      <c r="UD2" s="980"/>
      <c r="UE2" s="980"/>
      <c r="UF2" s="980"/>
      <c r="UG2" s="980"/>
      <c r="UH2" s="980"/>
      <c r="UI2" s="980"/>
      <c r="UJ2" s="980"/>
      <c r="UK2" s="980"/>
      <c r="UL2" s="980"/>
      <c r="UM2" s="980"/>
      <c r="UN2" s="980"/>
      <c r="UO2" s="980"/>
      <c r="UP2" s="980"/>
      <c r="UQ2" s="980"/>
      <c r="UR2" s="980"/>
      <c r="US2" s="980"/>
      <c r="UT2" s="980"/>
      <c r="UU2" s="980"/>
      <c r="UV2" s="980"/>
      <c r="UW2" s="980"/>
      <c r="UX2" s="980"/>
      <c r="UY2" s="980"/>
      <c r="UZ2" s="980"/>
      <c r="VA2" s="980"/>
      <c r="VB2" s="980"/>
      <c r="VC2" s="980"/>
      <c r="VD2" s="980"/>
      <c r="VE2" s="980"/>
      <c r="VF2" s="980"/>
      <c r="VG2" s="980"/>
      <c r="VH2" s="980"/>
      <c r="VI2" s="980"/>
      <c r="VJ2" s="980"/>
      <c r="VK2" s="980"/>
      <c r="VL2" s="980"/>
      <c r="VM2" s="980"/>
      <c r="VN2" s="980"/>
      <c r="VO2" s="980"/>
      <c r="VP2" s="980"/>
      <c r="VQ2" s="980"/>
      <c r="VR2" s="980"/>
      <c r="VS2" s="980"/>
      <c r="VT2" s="980"/>
      <c r="VU2" s="980"/>
      <c r="VV2" s="980"/>
      <c r="VW2" s="980"/>
      <c r="VX2" s="980"/>
      <c r="VY2" s="980"/>
      <c r="VZ2" s="980"/>
      <c r="WA2" s="980"/>
      <c r="WB2" s="980"/>
      <c r="WC2" s="980"/>
      <c r="WD2" s="980"/>
      <c r="WE2" s="980"/>
      <c r="WF2" s="980"/>
      <c r="WG2" s="980"/>
      <c r="WH2" s="980"/>
      <c r="WI2" s="980"/>
      <c r="WJ2" s="980"/>
      <c r="WK2" s="980"/>
      <c r="WL2" s="980"/>
      <c r="WM2" s="980"/>
      <c r="WN2" s="980"/>
      <c r="WO2" s="980"/>
      <c r="WP2" s="980"/>
      <c r="WQ2" s="980"/>
      <c r="WR2" s="980"/>
      <c r="WS2" s="980"/>
      <c r="WT2" s="980"/>
      <c r="WU2" s="980"/>
      <c r="WV2" s="980"/>
      <c r="WW2" s="980"/>
      <c r="WX2" s="980"/>
      <c r="WY2" s="980"/>
      <c r="WZ2" s="980"/>
      <c r="XA2" s="980"/>
      <c r="XB2" s="980"/>
      <c r="XC2" s="980"/>
      <c r="XD2" s="980"/>
      <c r="XE2" s="980"/>
      <c r="XF2" s="980"/>
      <c r="XG2" s="980"/>
      <c r="XH2" s="980"/>
      <c r="XI2" s="980"/>
      <c r="XJ2" s="980"/>
      <c r="XK2" s="980"/>
      <c r="XL2" s="980"/>
      <c r="XM2" s="980"/>
      <c r="XN2" s="980"/>
      <c r="XO2" s="980"/>
      <c r="XP2" s="980"/>
      <c r="XQ2" s="980"/>
      <c r="XR2" s="980"/>
      <c r="XS2" s="980"/>
      <c r="XT2" s="980"/>
      <c r="XU2" s="980"/>
      <c r="XV2" s="980"/>
      <c r="XW2" s="980"/>
      <c r="XX2" s="980"/>
      <c r="XY2" s="980"/>
      <c r="XZ2" s="980"/>
      <c r="YA2" s="980"/>
      <c r="YB2" s="980"/>
      <c r="YC2" s="980"/>
      <c r="YD2" s="980"/>
      <c r="YE2" s="980"/>
      <c r="YF2" s="980"/>
      <c r="YG2" s="980"/>
      <c r="YH2" s="980"/>
      <c r="YI2" s="980"/>
      <c r="YJ2" s="980"/>
      <c r="YK2" s="980"/>
      <c r="YL2" s="980"/>
      <c r="YM2" s="980"/>
      <c r="YN2" s="980"/>
      <c r="YO2" s="980"/>
      <c r="YP2" s="980"/>
      <c r="YQ2" s="980"/>
      <c r="YR2" s="980"/>
      <c r="YS2" s="980"/>
      <c r="YT2" s="980"/>
      <c r="YU2" s="980"/>
      <c r="YV2" s="980"/>
      <c r="YW2" s="980"/>
      <c r="YX2" s="980"/>
      <c r="YY2" s="980"/>
      <c r="YZ2" s="980"/>
      <c r="ZA2" s="980"/>
      <c r="ZB2" s="980"/>
      <c r="ZC2" s="980"/>
      <c r="ZD2" s="980"/>
      <c r="ZE2" s="980"/>
      <c r="ZF2" s="980"/>
      <c r="ZG2" s="980"/>
      <c r="ZH2" s="980"/>
      <c r="ZI2" s="980"/>
      <c r="ZJ2" s="980"/>
      <c r="ZK2" s="980"/>
      <c r="ZL2" s="980"/>
      <c r="ZM2" s="980"/>
      <c r="ZN2" s="980"/>
      <c r="ZO2" s="980"/>
      <c r="ZP2" s="980"/>
      <c r="ZQ2" s="980"/>
      <c r="ZR2" s="980"/>
      <c r="ZS2" s="980"/>
      <c r="ZT2" s="980"/>
      <c r="ZU2" s="980"/>
      <c r="ZV2" s="980"/>
      <c r="ZW2" s="980"/>
      <c r="ZX2" s="980"/>
      <c r="ZY2" s="980"/>
      <c r="ZZ2" s="980"/>
      <c r="AAA2" s="980"/>
      <c r="AAB2" s="980"/>
      <c r="AAC2" s="980"/>
      <c r="AAD2" s="980"/>
      <c r="AAE2" s="980"/>
      <c r="AAF2" s="980"/>
      <c r="AAG2" s="980"/>
      <c r="AAH2" s="980"/>
      <c r="AAI2" s="980"/>
      <c r="AAJ2" s="980"/>
      <c r="AAK2" s="980"/>
      <c r="AAL2" s="980"/>
      <c r="AAM2" s="980"/>
      <c r="AAN2" s="980"/>
      <c r="AAO2" s="980"/>
      <c r="AAP2" s="980"/>
      <c r="AAQ2" s="980"/>
      <c r="AAR2" s="980"/>
      <c r="AAS2" s="980"/>
      <c r="AAT2" s="980"/>
      <c r="AAU2" s="980"/>
      <c r="AAV2" s="980"/>
      <c r="AAW2" s="980"/>
      <c r="AAX2" s="980"/>
      <c r="AAY2" s="980"/>
      <c r="AAZ2" s="980"/>
      <c r="ABA2" s="980"/>
      <c r="ABB2" s="980"/>
      <c r="ABC2" s="980"/>
      <c r="ABD2" s="980"/>
      <c r="ABE2" s="980"/>
      <c r="ABF2" s="980"/>
      <c r="ABG2" s="980"/>
      <c r="ABH2" s="980"/>
      <c r="ABI2" s="980"/>
      <c r="ABJ2" s="980"/>
      <c r="ABK2" s="980"/>
      <c r="ABL2" s="980"/>
      <c r="ABM2" s="980"/>
      <c r="ABN2" s="980"/>
      <c r="ABO2" s="980"/>
      <c r="ABP2" s="980"/>
      <c r="ABQ2" s="980"/>
      <c r="ABR2" s="980"/>
      <c r="ABS2" s="980"/>
      <c r="ABT2" s="980"/>
      <c r="ABU2" s="980"/>
      <c r="ABV2" s="980"/>
      <c r="ABW2" s="980"/>
      <c r="ABX2" s="980"/>
      <c r="ABY2" s="980"/>
      <c r="ABZ2" s="980"/>
      <c r="ACA2" s="980"/>
      <c r="ACB2" s="980"/>
      <c r="ACC2" s="980"/>
      <c r="ACD2" s="980"/>
      <c r="ACE2" s="980"/>
      <c r="ACF2" s="980"/>
      <c r="ACG2" s="980"/>
      <c r="ACH2" s="980"/>
      <c r="ACI2" s="980"/>
      <c r="ACJ2" s="980"/>
      <c r="ACK2" s="980"/>
      <c r="ACL2" s="980"/>
      <c r="ACM2" s="980"/>
      <c r="ACN2" s="980"/>
      <c r="ACO2" s="980"/>
      <c r="ACP2" s="980"/>
      <c r="ACQ2" s="980"/>
      <c r="ACR2" s="980"/>
      <c r="ACS2" s="980"/>
      <c r="ACT2" s="980"/>
      <c r="ACU2" s="980"/>
      <c r="ACV2" s="980"/>
      <c r="ACW2" s="980"/>
      <c r="ACX2" s="980"/>
      <c r="ACY2" s="980"/>
      <c r="ACZ2" s="980"/>
      <c r="ADA2" s="980"/>
      <c r="ADB2" s="980"/>
      <c r="ADC2" s="980"/>
      <c r="ADD2" s="980"/>
      <c r="ADE2" s="980"/>
      <c r="ADF2" s="980"/>
      <c r="ADG2" s="980"/>
      <c r="ADH2" s="980"/>
      <c r="ADI2" s="980"/>
      <c r="ADJ2" s="980"/>
      <c r="ADK2" s="980"/>
      <c r="ADL2" s="980"/>
      <c r="ADM2" s="980"/>
      <c r="ADN2" s="980"/>
      <c r="ADO2" s="980"/>
      <c r="ADP2" s="980"/>
      <c r="ADQ2" s="980"/>
      <c r="ADR2" s="980"/>
      <c r="ADS2" s="980"/>
      <c r="ADT2" s="980"/>
      <c r="ADU2" s="980"/>
      <c r="ADV2" s="980"/>
      <c r="ADW2" s="980"/>
      <c r="ADX2" s="980"/>
      <c r="ADY2" s="980"/>
      <c r="ADZ2" s="980"/>
      <c r="AEA2" s="980"/>
      <c r="AEB2" s="980"/>
      <c r="AEC2" s="980"/>
      <c r="AED2" s="980"/>
      <c r="AEE2" s="980"/>
      <c r="AEF2" s="980"/>
      <c r="AEG2" s="980"/>
      <c r="AEH2" s="980"/>
      <c r="AEI2" s="980"/>
      <c r="AEJ2" s="980"/>
      <c r="AEK2" s="980"/>
      <c r="AEL2" s="980"/>
      <c r="AEM2" s="980"/>
      <c r="AEN2" s="980"/>
      <c r="AEO2" s="980"/>
      <c r="AEP2" s="980"/>
      <c r="AEQ2" s="980"/>
      <c r="AER2" s="980"/>
      <c r="AES2" s="980"/>
      <c r="AET2" s="980"/>
      <c r="AEU2" s="980"/>
      <c r="AEV2" s="980"/>
      <c r="AEW2" s="980"/>
      <c r="AEX2" s="980"/>
      <c r="AEY2" s="980"/>
      <c r="AEZ2" s="980"/>
      <c r="AFA2" s="980"/>
      <c r="AFB2" s="980"/>
      <c r="AFC2" s="980"/>
      <c r="AFD2" s="980"/>
      <c r="AFE2" s="980"/>
      <c r="AFF2" s="980"/>
      <c r="AFG2" s="980"/>
      <c r="AFH2" s="980"/>
      <c r="AFI2" s="980"/>
      <c r="AFJ2" s="980"/>
      <c r="AFK2" s="980"/>
      <c r="AFL2" s="980"/>
      <c r="AFM2" s="980"/>
      <c r="AFN2" s="980"/>
      <c r="AFO2" s="980"/>
      <c r="AFP2" s="980"/>
      <c r="AFQ2" s="980"/>
      <c r="AFR2" s="980"/>
      <c r="AFS2" s="980"/>
      <c r="AFT2" s="980"/>
      <c r="AFU2" s="980"/>
      <c r="AFV2" s="980"/>
      <c r="AFW2" s="980"/>
      <c r="AFX2" s="980"/>
      <c r="AFY2" s="980"/>
      <c r="AFZ2" s="980"/>
      <c r="AGA2" s="980"/>
      <c r="AGB2" s="980"/>
      <c r="AGC2" s="980"/>
      <c r="AGD2" s="980"/>
      <c r="AGE2" s="980"/>
      <c r="AGF2" s="980"/>
      <c r="AGG2" s="980"/>
      <c r="AGH2" s="980"/>
      <c r="AGI2" s="980"/>
      <c r="AGJ2" s="980"/>
      <c r="AGK2" s="980"/>
      <c r="AGL2" s="980"/>
      <c r="AGM2" s="980"/>
      <c r="AGN2" s="980"/>
      <c r="AGO2" s="980"/>
      <c r="AGP2" s="980"/>
      <c r="AGQ2" s="980"/>
      <c r="AGR2" s="980"/>
      <c r="AGS2" s="980"/>
      <c r="AGT2" s="980"/>
      <c r="AGU2" s="980"/>
      <c r="AGV2" s="980"/>
      <c r="AGW2" s="980"/>
      <c r="AGX2" s="980"/>
      <c r="AGY2" s="980"/>
      <c r="AGZ2" s="980"/>
      <c r="AHA2" s="980"/>
      <c r="AHB2" s="980"/>
      <c r="AHC2" s="980"/>
      <c r="AHD2" s="980"/>
      <c r="AHE2" s="980"/>
      <c r="AHF2" s="980"/>
      <c r="AHG2" s="980"/>
      <c r="AHH2" s="980"/>
      <c r="AHI2" s="980"/>
      <c r="AHJ2" s="980"/>
      <c r="AHK2" s="980"/>
      <c r="AHL2" s="980"/>
      <c r="AHM2" s="980"/>
      <c r="AHN2" s="980"/>
      <c r="AHO2" s="980"/>
      <c r="AHP2" s="980"/>
      <c r="AHQ2" s="980"/>
      <c r="AHR2" s="980"/>
      <c r="AHS2" s="980"/>
      <c r="AHT2" s="980"/>
      <c r="AHU2" s="980"/>
      <c r="AHV2" s="980"/>
      <c r="AHW2" s="980"/>
      <c r="AHX2" s="980"/>
      <c r="AHY2" s="980"/>
      <c r="AHZ2" s="980"/>
      <c r="AIA2" s="980"/>
      <c r="AIB2" s="980"/>
      <c r="AIC2" s="980"/>
      <c r="AID2" s="980"/>
      <c r="AIE2" s="980"/>
      <c r="AIF2" s="980"/>
      <c r="AIG2" s="980"/>
      <c r="AIH2" s="980"/>
      <c r="AII2" s="980"/>
      <c r="AIJ2" s="980"/>
      <c r="AIK2" s="980"/>
      <c r="AIL2" s="980"/>
      <c r="AIM2" s="980"/>
      <c r="AIN2" s="980"/>
      <c r="AIO2" s="980"/>
      <c r="AIP2" s="980"/>
      <c r="AIQ2" s="980"/>
      <c r="AIR2" s="980"/>
      <c r="AIS2" s="980"/>
      <c r="AIT2" s="980"/>
      <c r="AIU2" s="980"/>
      <c r="AIV2" s="980"/>
      <c r="AIW2" s="980"/>
      <c r="AIX2" s="980"/>
      <c r="AIY2" s="980"/>
      <c r="AIZ2" s="980"/>
      <c r="AJA2" s="980"/>
      <c r="AJB2" s="980"/>
      <c r="AJC2" s="980"/>
      <c r="AJD2" s="980"/>
      <c r="AJE2" s="980"/>
      <c r="AJF2" s="980"/>
      <c r="AJG2" s="980"/>
      <c r="AJH2" s="980"/>
      <c r="AJI2" s="980"/>
      <c r="AJJ2" s="980"/>
      <c r="AJK2" s="980"/>
      <c r="AJL2" s="980"/>
      <c r="AJM2" s="980"/>
      <c r="AJN2" s="980"/>
      <c r="AJO2" s="980"/>
      <c r="AJP2" s="980"/>
      <c r="AJQ2" s="980"/>
      <c r="AJR2" s="980"/>
      <c r="AJS2" s="980"/>
      <c r="AJT2" s="980"/>
      <c r="AJU2" s="980"/>
      <c r="AJV2" s="980"/>
      <c r="AJW2" s="980"/>
      <c r="AJX2" s="980"/>
      <c r="AJY2" s="980"/>
      <c r="AJZ2" s="980"/>
      <c r="AKA2" s="980"/>
      <c r="AKB2" s="980"/>
      <c r="AKC2" s="980"/>
      <c r="AKD2" s="980"/>
      <c r="AKE2" s="980"/>
      <c r="AKF2" s="980"/>
      <c r="AKG2" s="980"/>
      <c r="AKH2" s="980"/>
      <c r="AKI2" s="980"/>
      <c r="AKJ2" s="980"/>
      <c r="AKK2" s="980"/>
      <c r="AKL2" s="980"/>
      <c r="AKM2" s="980"/>
      <c r="AKN2" s="980"/>
      <c r="AKO2" s="980"/>
      <c r="AKP2" s="980"/>
      <c r="AKQ2" s="980"/>
      <c r="AKR2" s="980"/>
      <c r="AKS2" s="980"/>
      <c r="AKT2" s="980"/>
      <c r="AKU2" s="980"/>
      <c r="AKV2" s="980"/>
      <c r="AKW2" s="980"/>
      <c r="AKX2" s="980"/>
      <c r="AKY2" s="980"/>
      <c r="AKZ2" s="980"/>
      <c r="ALA2" s="980"/>
      <c r="ALB2" s="980"/>
      <c r="ALC2" s="980"/>
      <c r="ALD2" s="980"/>
      <c r="ALE2" s="980"/>
      <c r="ALF2" s="980"/>
      <c r="ALG2" s="980"/>
      <c r="ALH2" s="980"/>
      <c r="ALI2" s="980"/>
      <c r="ALJ2" s="980"/>
      <c r="ALK2" s="980"/>
      <c r="ALL2" s="980"/>
      <c r="ALM2" s="980"/>
      <c r="ALN2" s="980"/>
      <c r="ALO2" s="980"/>
      <c r="ALP2" s="980"/>
      <c r="ALQ2" s="980"/>
      <c r="ALR2" s="980"/>
      <c r="ALS2" s="980"/>
      <c r="ALT2" s="980"/>
      <c r="ALU2" s="980"/>
      <c r="ALV2" s="980"/>
      <c r="ALW2" s="980"/>
      <c r="ALX2" s="980"/>
      <c r="ALY2" s="980"/>
      <c r="ALZ2" s="980"/>
      <c r="AMA2" s="980"/>
      <c r="AMB2" s="980"/>
      <c r="AMC2" s="980"/>
      <c r="AMD2" s="980"/>
      <c r="AME2" s="980"/>
      <c r="AMF2" s="980"/>
      <c r="AMG2" s="980"/>
      <c r="AMH2" s="980"/>
    </row>
    <row r="3" spans="1:1022" ht="15.6">
      <c r="A3" s="983" t="s">
        <v>1656</v>
      </c>
      <c r="B3" s="980"/>
      <c r="C3" s="980"/>
      <c r="D3" s="980"/>
      <c r="E3" s="980"/>
      <c r="F3" s="980"/>
      <c r="G3" s="980"/>
      <c r="H3" s="981"/>
      <c r="I3" s="980"/>
      <c r="J3" s="980"/>
      <c r="K3" s="980"/>
      <c r="L3" s="980"/>
      <c r="M3" s="980"/>
      <c r="N3" s="981"/>
      <c r="O3" s="981"/>
      <c r="P3" s="981"/>
      <c r="Q3" s="981"/>
      <c r="R3" s="981"/>
      <c r="S3" s="981"/>
      <c r="T3" s="980"/>
      <c r="U3" s="980"/>
      <c r="V3" s="980"/>
      <c r="W3" s="980"/>
      <c r="X3" s="980"/>
      <c r="Y3" s="980"/>
      <c r="Z3" s="980"/>
      <c r="AA3" s="980"/>
      <c r="AB3" s="980"/>
      <c r="AC3" s="980"/>
      <c r="AD3" s="980"/>
      <c r="AE3" s="980"/>
      <c r="AF3" s="980"/>
      <c r="AG3" s="980"/>
      <c r="AH3" s="980"/>
      <c r="AI3" s="980"/>
      <c r="AJ3" s="980"/>
      <c r="AK3" s="980"/>
      <c r="AL3" s="980"/>
      <c r="AM3" s="980"/>
      <c r="AN3" s="980"/>
      <c r="AO3" s="980"/>
      <c r="AP3" s="980"/>
      <c r="AQ3" s="980"/>
      <c r="AR3" s="980"/>
      <c r="AS3" s="980"/>
      <c r="AT3" s="980"/>
      <c r="AU3" s="980"/>
      <c r="AV3" s="980"/>
      <c r="AW3" s="980"/>
      <c r="AX3" s="980"/>
      <c r="AY3" s="980"/>
      <c r="AZ3" s="980"/>
      <c r="BA3" s="980"/>
      <c r="BB3" s="980"/>
      <c r="BC3" s="980"/>
      <c r="BD3" s="980"/>
      <c r="BE3" s="980"/>
      <c r="BF3" s="980"/>
      <c r="BG3" s="980"/>
      <c r="BH3" s="980"/>
      <c r="BI3" s="980"/>
      <c r="BJ3" s="980"/>
      <c r="BK3" s="980"/>
      <c r="BL3" s="980"/>
      <c r="BM3" s="980"/>
      <c r="BN3" s="980"/>
      <c r="BO3" s="980"/>
      <c r="BP3" s="980"/>
      <c r="BQ3" s="980"/>
      <c r="BR3" s="980"/>
      <c r="BS3" s="980"/>
      <c r="BT3" s="980"/>
      <c r="BU3" s="980"/>
      <c r="BV3" s="980"/>
      <c r="BW3" s="980"/>
      <c r="BX3" s="980"/>
      <c r="BY3" s="980"/>
      <c r="BZ3" s="980"/>
      <c r="CA3" s="980"/>
      <c r="CB3" s="980"/>
      <c r="CC3" s="980"/>
      <c r="CD3" s="980"/>
      <c r="CE3" s="980"/>
      <c r="CF3" s="980"/>
      <c r="CG3" s="980"/>
      <c r="CH3" s="980"/>
      <c r="CI3" s="980"/>
      <c r="CJ3" s="980"/>
      <c r="CK3" s="980"/>
      <c r="CL3" s="980"/>
      <c r="CM3" s="980"/>
      <c r="CN3" s="980"/>
      <c r="CO3" s="980"/>
      <c r="CP3" s="980"/>
      <c r="CQ3" s="980"/>
      <c r="CR3" s="980"/>
      <c r="CS3" s="980"/>
      <c r="CT3" s="980"/>
      <c r="CU3" s="980"/>
      <c r="CV3" s="980"/>
      <c r="CW3" s="980"/>
      <c r="CX3" s="980"/>
      <c r="CY3" s="980"/>
      <c r="CZ3" s="980"/>
      <c r="DA3" s="980"/>
      <c r="DB3" s="980"/>
      <c r="DC3" s="980"/>
      <c r="DD3" s="980"/>
      <c r="DE3" s="980"/>
      <c r="DF3" s="980"/>
      <c r="DG3" s="980"/>
      <c r="DH3" s="980"/>
      <c r="DI3" s="980"/>
      <c r="DJ3" s="980"/>
      <c r="DK3" s="980"/>
      <c r="DL3" s="980"/>
      <c r="DM3" s="980"/>
      <c r="DN3" s="980"/>
      <c r="DO3" s="980"/>
      <c r="DP3" s="980"/>
      <c r="DQ3" s="980"/>
      <c r="DR3" s="980"/>
      <c r="DS3" s="980"/>
      <c r="DT3" s="980"/>
      <c r="DU3" s="980"/>
      <c r="DV3" s="980"/>
      <c r="DW3" s="980"/>
      <c r="DX3" s="980"/>
      <c r="DY3" s="980"/>
      <c r="DZ3" s="980"/>
      <c r="EA3" s="980"/>
      <c r="EB3" s="980"/>
      <c r="EC3" s="980"/>
      <c r="ED3" s="980"/>
      <c r="EE3" s="980"/>
      <c r="EF3" s="980"/>
      <c r="EG3" s="980"/>
      <c r="EH3" s="980"/>
      <c r="EI3" s="980"/>
      <c r="EJ3" s="980"/>
      <c r="EK3" s="980"/>
      <c r="EL3" s="980"/>
      <c r="EM3" s="980"/>
      <c r="EN3" s="980"/>
      <c r="EO3" s="980"/>
      <c r="EP3" s="980"/>
      <c r="EQ3" s="980"/>
      <c r="ER3" s="980"/>
      <c r="ES3" s="980"/>
      <c r="ET3" s="980"/>
      <c r="EU3" s="980"/>
      <c r="EV3" s="980"/>
      <c r="EW3" s="980"/>
      <c r="EX3" s="980"/>
      <c r="EY3" s="980"/>
      <c r="EZ3" s="980"/>
      <c r="FA3" s="980"/>
      <c r="FB3" s="980"/>
      <c r="FC3" s="980"/>
      <c r="FD3" s="980"/>
      <c r="FE3" s="980"/>
      <c r="FF3" s="980"/>
      <c r="FG3" s="980"/>
      <c r="FH3" s="980"/>
      <c r="FI3" s="980"/>
      <c r="FJ3" s="980"/>
      <c r="FK3" s="980"/>
      <c r="FL3" s="980"/>
      <c r="FM3" s="980"/>
      <c r="FN3" s="980"/>
      <c r="FO3" s="980"/>
      <c r="FP3" s="980"/>
      <c r="FQ3" s="980"/>
      <c r="FR3" s="980"/>
      <c r="FS3" s="980"/>
      <c r="FT3" s="980"/>
      <c r="FU3" s="980"/>
      <c r="FV3" s="980"/>
      <c r="FW3" s="980"/>
      <c r="FX3" s="980"/>
      <c r="FY3" s="980"/>
      <c r="FZ3" s="980"/>
      <c r="GA3" s="980"/>
      <c r="GB3" s="980"/>
      <c r="GC3" s="980"/>
      <c r="GD3" s="980"/>
      <c r="GE3" s="980"/>
      <c r="GF3" s="980"/>
      <c r="GG3" s="980"/>
      <c r="GH3" s="980"/>
      <c r="GI3" s="980"/>
      <c r="GJ3" s="980"/>
      <c r="GK3" s="980"/>
      <c r="GL3" s="980"/>
      <c r="GM3" s="980"/>
      <c r="GN3" s="980"/>
      <c r="GO3" s="980"/>
      <c r="GP3" s="980"/>
      <c r="GQ3" s="980"/>
      <c r="GR3" s="980"/>
      <c r="GS3" s="980"/>
      <c r="GT3" s="980"/>
      <c r="GU3" s="980"/>
      <c r="GV3" s="980"/>
      <c r="GW3" s="980"/>
      <c r="GX3" s="980"/>
      <c r="GY3" s="980"/>
      <c r="GZ3" s="980"/>
      <c r="HA3" s="980"/>
      <c r="HB3" s="980"/>
      <c r="HC3" s="980"/>
      <c r="HD3" s="980"/>
      <c r="HE3" s="980"/>
      <c r="HF3" s="980"/>
      <c r="HG3" s="980"/>
      <c r="HH3" s="980"/>
      <c r="HI3" s="980"/>
      <c r="HJ3" s="980"/>
      <c r="HK3" s="980"/>
      <c r="HL3" s="980"/>
      <c r="HM3" s="980"/>
      <c r="HN3" s="980"/>
      <c r="HO3" s="980"/>
      <c r="HP3" s="980"/>
      <c r="HQ3" s="980"/>
      <c r="HR3" s="980"/>
      <c r="HS3" s="980"/>
      <c r="HT3" s="980"/>
      <c r="HU3" s="980"/>
      <c r="HV3" s="980"/>
      <c r="HW3" s="980"/>
      <c r="HX3" s="980"/>
      <c r="HY3" s="980"/>
      <c r="HZ3" s="980"/>
      <c r="IA3" s="980"/>
      <c r="IB3" s="980"/>
      <c r="IC3" s="980"/>
      <c r="ID3" s="980"/>
      <c r="IE3" s="980"/>
      <c r="IF3" s="980"/>
      <c r="IG3" s="980"/>
      <c r="IH3" s="980"/>
      <c r="II3" s="980"/>
      <c r="IJ3" s="980"/>
      <c r="IK3" s="980"/>
      <c r="IL3" s="980"/>
      <c r="IM3" s="980"/>
      <c r="IN3" s="980"/>
      <c r="IO3" s="980"/>
      <c r="IP3" s="980"/>
      <c r="IQ3" s="980"/>
      <c r="IR3" s="980"/>
      <c r="IS3" s="980"/>
      <c r="IT3" s="980"/>
      <c r="IU3" s="980"/>
      <c r="IV3" s="980"/>
      <c r="IW3" s="980"/>
      <c r="IX3" s="980"/>
      <c r="IY3" s="980"/>
      <c r="IZ3" s="980"/>
      <c r="JA3" s="980"/>
      <c r="JB3" s="980"/>
      <c r="JC3" s="980"/>
      <c r="JD3" s="980"/>
      <c r="JE3" s="980"/>
      <c r="JF3" s="980"/>
      <c r="JG3" s="980"/>
      <c r="JH3" s="980"/>
      <c r="JI3" s="980"/>
      <c r="JJ3" s="980"/>
      <c r="JK3" s="980"/>
      <c r="JL3" s="980"/>
      <c r="JM3" s="980"/>
      <c r="JN3" s="980"/>
      <c r="JO3" s="980"/>
      <c r="JP3" s="980"/>
      <c r="JQ3" s="980"/>
      <c r="JR3" s="980"/>
      <c r="JS3" s="980"/>
      <c r="JT3" s="980"/>
      <c r="JU3" s="980"/>
      <c r="JV3" s="980"/>
      <c r="JW3" s="980"/>
      <c r="JX3" s="980"/>
      <c r="JY3" s="980"/>
      <c r="JZ3" s="980"/>
      <c r="KA3" s="980"/>
      <c r="KB3" s="980"/>
      <c r="KC3" s="980"/>
      <c r="KD3" s="980"/>
      <c r="KE3" s="980"/>
      <c r="KF3" s="980"/>
      <c r="KG3" s="980"/>
      <c r="KH3" s="980"/>
      <c r="KI3" s="980"/>
      <c r="KJ3" s="980"/>
      <c r="KK3" s="980"/>
      <c r="KL3" s="980"/>
      <c r="KM3" s="980"/>
      <c r="KN3" s="980"/>
      <c r="KO3" s="980"/>
      <c r="KP3" s="980"/>
      <c r="KQ3" s="980"/>
      <c r="KR3" s="980"/>
      <c r="KS3" s="980"/>
      <c r="KT3" s="980"/>
      <c r="KU3" s="980"/>
      <c r="KV3" s="980"/>
      <c r="KW3" s="980"/>
      <c r="KX3" s="980"/>
      <c r="KY3" s="980"/>
      <c r="KZ3" s="980"/>
      <c r="LA3" s="980"/>
      <c r="LB3" s="980"/>
      <c r="LC3" s="980"/>
      <c r="LD3" s="980"/>
      <c r="LE3" s="980"/>
      <c r="LF3" s="980"/>
      <c r="LG3" s="980"/>
      <c r="LH3" s="980"/>
      <c r="LI3" s="980"/>
      <c r="LJ3" s="980"/>
      <c r="LK3" s="980"/>
      <c r="LL3" s="980"/>
      <c r="LM3" s="980"/>
      <c r="LN3" s="980"/>
      <c r="LO3" s="980"/>
      <c r="LP3" s="980"/>
      <c r="LQ3" s="980"/>
      <c r="LR3" s="980"/>
      <c r="LS3" s="980"/>
      <c r="LT3" s="980"/>
      <c r="LU3" s="980"/>
      <c r="LV3" s="980"/>
      <c r="LW3" s="980"/>
      <c r="LX3" s="980"/>
      <c r="LY3" s="980"/>
      <c r="LZ3" s="980"/>
      <c r="MA3" s="980"/>
      <c r="MB3" s="980"/>
      <c r="MC3" s="980"/>
      <c r="MD3" s="980"/>
      <c r="ME3" s="980"/>
      <c r="MF3" s="980"/>
      <c r="MG3" s="980"/>
      <c r="MH3" s="980"/>
      <c r="MI3" s="980"/>
      <c r="MJ3" s="980"/>
      <c r="MK3" s="980"/>
      <c r="ML3" s="980"/>
      <c r="MM3" s="980"/>
      <c r="MN3" s="980"/>
      <c r="MO3" s="980"/>
      <c r="MP3" s="980"/>
      <c r="MQ3" s="980"/>
      <c r="MR3" s="980"/>
      <c r="MS3" s="980"/>
      <c r="MT3" s="980"/>
      <c r="MU3" s="980"/>
      <c r="MV3" s="980"/>
      <c r="MW3" s="980"/>
      <c r="MX3" s="980"/>
      <c r="MY3" s="980"/>
      <c r="MZ3" s="980"/>
      <c r="NA3" s="980"/>
      <c r="NB3" s="980"/>
      <c r="NC3" s="980"/>
      <c r="ND3" s="980"/>
      <c r="NE3" s="980"/>
      <c r="NF3" s="980"/>
      <c r="NG3" s="980"/>
      <c r="NH3" s="980"/>
      <c r="NI3" s="980"/>
      <c r="NJ3" s="980"/>
      <c r="NK3" s="980"/>
      <c r="NL3" s="980"/>
      <c r="NM3" s="980"/>
      <c r="NN3" s="980"/>
      <c r="NO3" s="980"/>
      <c r="NP3" s="980"/>
      <c r="NQ3" s="980"/>
      <c r="NR3" s="980"/>
      <c r="NS3" s="980"/>
      <c r="NT3" s="980"/>
      <c r="NU3" s="980"/>
      <c r="NV3" s="980"/>
      <c r="NW3" s="980"/>
      <c r="NX3" s="980"/>
      <c r="NY3" s="980"/>
      <c r="NZ3" s="980"/>
      <c r="OA3" s="980"/>
      <c r="OB3" s="980"/>
      <c r="OC3" s="980"/>
      <c r="OD3" s="980"/>
      <c r="OE3" s="980"/>
      <c r="OF3" s="980"/>
      <c r="OG3" s="980"/>
      <c r="OH3" s="980"/>
      <c r="OI3" s="980"/>
      <c r="OJ3" s="980"/>
      <c r="OK3" s="980"/>
      <c r="OL3" s="980"/>
      <c r="OM3" s="980"/>
      <c r="ON3" s="980"/>
      <c r="OO3" s="980"/>
      <c r="OP3" s="980"/>
      <c r="OQ3" s="980"/>
      <c r="OR3" s="980"/>
      <c r="OS3" s="980"/>
      <c r="OT3" s="980"/>
      <c r="OU3" s="980"/>
      <c r="OV3" s="980"/>
      <c r="OW3" s="980"/>
      <c r="OX3" s="980"/>
      <c r="OY3" s="980"/>
      <c r="OZ3" s="980"/>
      <c r="PA3" s="980"/>
      <c r="PB3" s="980"/>
      <c r="PC3" s="980"/>
      <c r="PD3" s="980"/>
      <c r="PE3" s="980"/>
      <c r="PF3" s="980"/>
      <c r="PG3" s="980"/>
      <c r="PH3" s="980"/>
      <c r="PI3" s="980"/>
      <c r="PJ3" s="980"/>
      <c r="PK3" s="980"/>
      <c r="PL3" s="980"/>
      <c r="PM3" s="980"/>
      <c r="PN3" s="980"/>
      <c r="PO3" s="980"/>
      <c r="PP3" s="980"/>
      <c r="PQ3" s="980"/>
      <c r="PR3" s="980"/>
      <c r="PS3" s="980"/>
      <c r="PT3" s="980"/>
      <c r="PU3" s="980"/>
      <c r="PV3" s="980"/>
      <c r="PW3" s="980"/>
      <c r="PX3" s="980"/>
      <c r="PY3" s="980"/>
      <c r="PZ3" s="980"/>
      <c r="QA3" s="980"/>
      <c r="QB3" s="980"/>
      <c r="QC3" s="980"/>
      <c r="QD3" s="980"/>
      <c r="QE3" s="980"/>
      <c r="QF3" s="980"/>
      <c r="QG3" s="980"/>
      <c r="QH3" s="980"/>
      <c r="QI3" s="980"/>
      <c r="QJ3" s="980"/>
      <c r="QK3" s="980"/>
      <c r="QL3" s="980"/>
      <c r="QM3" s="980"/>
      <c r="QN3" s="980"/>
      <c r="QO3" s="980"/>
      <c r="QP3" s="980"/>
      <c r="QQ3" s="980"/>
      <c r="QR3" s="980"/>
      <c r="QS3" s="980"/>
      <c r="QT3" s="980"/>
      <c r="QU3" s="980"/>
      <c r="QV3" s="980"/>
      <c r="QW3" s="980"/>
      <c r="QX3" s="980"/>
      <c r="QY3" s="980"/>
      <c r="QZ3" s="980"/>
      <c r="RA3" s="980"/>
      <c r="RB3" s="980"/>
      <c r="RC3" s="980"/>
      <c r="RD3" s="980"/>
      <c r="RE3" s="980"/>
      <c r="RF3" s="980"/>
      <c r="RG3" s="980"/>
      <c r="RH3" s="980"/>
      <c r="RI3" s="980"/>
      <c r="RJ3" s="980"/>
      <c r="RK3" s="980"/>
      <c r="RL3" s="980"/>
      <c r="RM3" s="980"/>
      <c r="RN3" s="980"/>
      <c r="RO3" s="980"/>
      <c r="RP3" s="980"/>
      <c r="RQ3" s="980"/>
      <c r="RR3" s="980"/>
      <c r="RS3" s="980"/>
      <c r="RT3" s="980"/>
      <c r="RU3" s="980"/>
      <c r="RV3" s="980"/>
      <c r="RW3" s="980"/>
      <c r="RX3" s="980"/>
      <c r="RY3" s="980"/>
      <c r="RZ3" s="980"/>
      <c r="SA3" s="980"/>
      <c r="SB3" s="980"/>
      <c r="SC3" s="980"/>
      <c r="SD3" s="980"/>
      <c r="SE3" s="980"/>
      <c r="SF3" s="980"/>
      <c r="SG3" s="980"/>
      <c r="SH3" s="980"/>
      <c r="SI3" s="980"/>
      <c r="SJ3" s="980"/>
      <c r="SK3" s="980"/>
      <c r="SL3" s="980"/>
      <c r="SM3" s="980"/>
      <c r="SN3" s="980"/>
      <c r="SO3" s="980"/>
      <c r="SP3" s="980"/>
      <c r="SQ3" s="980"/>
      <c r="SR3" s="980"/>
      <c r="SS3" s="980"/>
      <c r="ST3" s="980"/>
      <c r="SU3" s="980"/>
      <c r="SV3" s="980"/>
      <c r="SW3" s="980"/>
      <c r="SX3" s="980"/>
      <c r="SY3" s="980"/>
      <c r="SZ3" s="980"/>
      <c r="TA3" s="980"/>
      <c r="TB3" s="980"/>
      <c r="TC3" s="980"/>
      <c r="TD3" s="980"/>
      <c r="TE3" s="980"/>
      <c r="TF3" s="980"/>
      <c r="TG3" s="980"/>
      <c r="TH3" s="980"/>
      <c r="TI3" s="980"/>
      <c r="TJ3" s="980"/>
      <c r="TK3" s="980"/>
      <c r="TL3" s="980"/>
      <c r="TM3" s="980"/>
      <c r="TN3" s="980"/>
      <c r="TO3" s="980"/>
      <c r="TP3" s="980"/>
      <c r="TQ3" s="980"/>
      <c r="TR3" s="980"/>
      <c r="TS3" s="980"/>
      <c r="TT3" s="980"/>
      <c r="TU3" s="980"/>
      <c r="TV3" s="980"/>
      <c r="TW3" s="980"/>
      <c r="TX3" s="980"/>
      <c r="TY3" s="980"/>
      <c r="TZ3" s="980"/>
      <c r="UA3" s="980"/>
      <c r="UB3" s="980"/>
      <c r="UC3" s="980"/>
      <c r="UD3" s="980"/>
      <c r="UE3" s="980"/>
      <c r="UF3" s="980"/>
      <c r="UG3" s="980"/>
      <c r="UH3" s="980"/>
      <c r="UI3" s="980"/>
      <c r="UJ3" s="980"/>
      <c r="UK3" s="980"/>
      <c r="UL3" s="980"/>
      <c r="UM3" s="980"/>
      <c r="UN3" s="980"/>
      <c r="UO3" s="980"/>
      <c r="UP3" s="980"/>
      <c r="UQ3" s="980"/>
      <c r="UR3" s="980"/>
      <c r="US3" s="980"/>
      <c r="UT3" s="980"/>
      <c r="UU3" s="980"/>
      <c r="UV3" s="980"/>
      <c r="UW3" s="980"/>
      <c r="UX3" s="980"/>
      <c r="UY3" s="980"/>
      <c r="UZ3" s="980"/>
      <c r="VA3" s="980"/>
      <c r="VB3" s="980"/>
      <c r="VC3" s="980"/>
      <c r="VD3" s="980"/>
      <c r="VE3" s="980"/>
      <c r="VF3" s="980"/>
      <c r="VG3" s="980"/>
      <c r="VH3" s="980"/>
      <c r="VI3" s="980"/>
      <c r="VJ3" s="980"/>
      <c r="VK3" s="980"/>
      <c r="VL3" s="980"/>
      <c r="VM3" s="980"/>
      <c r="VN3" s="980"/>
      <c r="VO3" s="980"/>
      <c r="VP3" s="980"/>
      <c r="VQ3" s="980"/>
      <c r="VR3" s="980"/>
      <c r="VS3" s="980"/>
      <c r="VT3" s="980"/>
      <c r="VU3" s="980"/>
      <c r="VV3" s="980"/>
      <c r="VW3" s="980"/>
      <c r="VX3" s="980"/>
      <c r="VY3" s="980"/>
      <c r="VZ3" s="980"/>
      <c r="WA3" s="980"/>
      <c r="WB3" s="980"/>
      <c r="WC3" s="980"/>
      <c r="WD3" s="980"/>
      <c r="WE3" s="980"/>
      <c r="WF3" s="980"/>
      <c r="WG3" s="980"/>
      <c r="WH3" s="980"/>
      <c r="WI3" s="980"/>
      <c r="WJ3" s="980"/>
      <c r="WK3" s="980"/>
      <c r="WL3" s="980"/>
      <c r="WM3" s="980"/>
      <c r="WN3" s="980"/>
      <c r="WO3" s="980"/>
      <c r="WP3" s="980"/>
      <c r="WQ3" s="980"/>
      <c r="WR3" s="980"/>
      <c r="WS3" s="980"/>
      <c r="WT3" s="980"/>
      <c r="WU3" s="980"/>
      <c r="WV3" s="980"/>
      <c r="WW3" s="980"/>
      <c r="WX3" s="980"/>
      <c r="WY3" s="980"/>
      <c r="WZ3" s="980"/>
      <c r="XA3" s="980"/>
      <c r="XB3" s="980"/>
      <c r="XC3" s="980"/>
      <c r="XD3" s="980"/>
      <c r="XE3" s="980"/>
      <c r="XF3" s="980"/>
      <c r="XG3" s="980"/>
      <c r="XH3" s="980"/>
      <c r="XI3" s="980"/>
      <c r="XJ3" s="980"/>
      <c r="XK3" s="980"/>
      <c r="XL3" s="980"/>
      <c r="XM3" s="980"/>
      <c r="XN3" s="980"/>
      <c r="XO3" s="980"/>
      <c r="XP3" s="980"/>
      <c r="XQ3" s="980"/>
      <c r="XR3" s="980"/>
      <c r="XS3" s="980"/>
      <c r="XT3" s="980"/>
      <c r="XU3" s="980"/>
      <c r="XV3" s="980"/>
      <c r="XW3" s="980"/>
      <c r="XX3" s="980"/>
      <c r="XY3" s="980"/>
      <c r="XZ3" s="980"/>
      <c r="YA3" s="980"/>
      <c r="YB3" s="980"/>
      <c r="YC3" s="980"/>
      <c r="YD3" s="980"/>
      <c r="YE3" s="980"/>
      <c r="YF3" s="980"/>
      <c r="YG3" s="980"/>
      <c r="YH3" s="980"/>
      <c r="YI3" s="980"/>
      <c r="YJ3" s="980"/>
      <c r="YK3" s="980"/>
      <c r="YL3" s="980"/>
      <c r="YM3" s="980"/>
      <c r="YN3" s="980"/>
      <c r="YO3" s="980"/>
      <c r="YP3" s="980"/>
      <c r="YQ3" s="980"/>
      <c r="YR3" s="980"/>
      <c r="YS3" s="980"/>
      <c r="YT3" s="980"/>
      <c r="YU3" s="980"/>
      <c r="YV3" s="980"/>
      <c r="YW3" s="980"/>
      <c r="YX3" s="980"/>
      <c r="YY3" s="980"/>
      <c r="YZ3" s="980"/>
      <c r="ZA3" s="980"/>
      <c r="ZB3" s="980"/>
      <c r="ZC3" s="980"/>
      <c r="ZD3" s="980"/>
      <c r="ZE3" s="980"/>
      <c r="ZF3" s="980"/>
      <c r="ZG3" s="980"/>
      <c r="ZH3" s="980"/>
      <c r="ZI3" s="980"/>
      <c r="ZJ3" s="980"/>
      <c r="ZK3" s="980"/>
      <c r="ZL3" s="980"/>
      <c r="ZM3" s="980"/>
      <c r="ZN3" s="980"/>
      <c r="ZO3" s="980"/>
      <c r="ZP3" s="980"/>
      <c r="ZQ3" s="980"/>
      <c r="ZR3" s="980"/>
      <c r="ZS3" s="980"/>
      <c r="ZT3" s="980"/>
      <c r="ZU3" s="980"/>
      <c r="ZV3" s="980"/>
      <c r="ZW3" s="980"/>
      <c r="ZX3" s="980"/>
      <c r="ZY3" s="980"/>
      <c r="ZZ3" s="980"/>
      <c r="AAA3" s="980"/>
      <c r="AAB3" s="980"/>
      <c r="AAC3" s="980"/>
      <c r="AAD3" s="980"/>
      <c r="AAE3" s="980"/>
      <c r="AAF3" s="980"/>
      <c r="AAG3" s="980"/>
      <c r="AAH3" s="980"/>
      <c r="AAI3" s="980"/>
      <c r="AAJ3" s="980"/>
      <c r="AAK3" s="980"/>
      <c r="AAL3" s="980"/>
      <c r="AAM3" s="980"/>
      <c r="AAN3" s="980"/>
      <c r="AAO3" s="980"/>
      <c r="AAP3" s="980"/>
      <c r="AAQ3" s="980"/>
      <c r="AAR3" s="980"/>
      <c r="AAS3" s="980"/>
      <c r="AAT3" s="980"/>
      <c r="AAU3" s="980"/>
      <c r="AAV3" s="980"/>
      <c r="AAW3" s="980"/>
      <c r="AAX3" s="980"/>
      <c r="AAY3" s="980"/>
      <c r="AAZ3" s="980"/>
      <c r="ABA3" s="980"/>
      <c r="ABB3" s="980"/>
      <c r="ABC3" s="980"/>
      <c r="ABD3" s="980"/>
      <c r="ABE3" s="980"/>
      <c r="ABF3" s="980"/>
      <c r="ABG3" s="980"/>
      <c r="ABH3" s="980"/>
      <c r="ABI3" s="980"/>
      <c r="ABJ3" s="980"/>
      <c r="ABK3" s="980"/>
      <c r="ABL3" s="980"/>
      <c r="ABM3" s="980"/>
      <c r="ABN3" s="980"/>
      <c r="ABO3" s="980"/>
      <c r="ABP3" s="980"/>
      <c r="ABQ3" s="980"/>
      <c r="ABR3" s="980"/>
      <c r="ABS3" s="980"/>
      <c r="ABT3" s="980"/>
      <c r="ABU3" s="980"/>
      <c r="ABV3" s="980"/>
      <c r="ABW3" s="980"/>
      <c r="ABX3" s="980"/>
      <c r="ABY3" s="980"/>
      <c r="ABZ3" s="980"/>
      <c r="ACA3" s="980"/>
      <c r="ACB3" s="980"/>
      <c r="ACC3" s="980"/>
      <c r="ACD3" s="980"/>
      <c r="ACE3" s="980"/>
      <c r="ACF3" s="980"/>
      <c r="ACG3" s="980"/>
      <c r="ACH3" s="980"/>
      <c r="ACI3" s="980"/>
      <c r="ACJ3" s="980"/>
      <c r="ACK3" s="980"/>
      <c r="ACL3" s="980"/>
      <c r="ACM3" s="980"/>
      <c r="ACN3" s="980"/>
      <c r="ACO3" s="980"/>
      <c r="ACP3" s="980"/>
      <c r="ACQ3" s="980"/>
      <c r="ACR3" s="980"/>
      <c r="ACS3" s="980"/>
      <c r="ACT3" s="980"/>
      <c r="ACU3" s="980"/>
      <c r="ACV3" s="980"/>
      <c r="ACW3" s="980"/>
      <c r="ACX3" s="980"/>
      <c r="ACY3" s="980"/>
      <c r="ACZ3" s="980"/>
      <c r="ADA3" s="980"/>
      <c r="ADB3" s="980"/>
      <c r="ADC3" s="980"/>
      <c r="ADD3" s="980"/>
      <c r="ADE3" s="980"/>
      <c r="ADF3" s="980"/>
      <c r="ADG3" s="980"/>
      <c r="ADH3" s="980"/>
      <c r="ADI3" s="980"/>
      <c r="ADJ3" s="980"/>
      <c r="ADK3" s="980"/>
      <c r="ADL3" s="980"/>
      <c r="ADM3" s="980"/>
      <c r="ADN3" s="980"/>
      <c r="ADO3" s="980"/>
      <c r="ADP3" s="980"/>
      <c r="ADQ3" s="980"/>
      <c r="ADR3" s="980"/>
      <c r="ADS3" s="980"/>
      <c r="ADT3" s="980"/>
      <c r="ADU3" s="980"/>
      <c r="ADV3" s="980"/>
      <c r="ADW3" s="980"/>
      <c r="ADX3" s="980"/>
      <c r="ADY3" s="980"/>
      <c r="ADZ3" s="980"/>
      <c r="AEA3" s="980"/>
      <c r="AEB3" s="980"/>
      <c r="AEC3" s="980"/>
      <c r="AED3" s="980"/>
      <c r="AEE3" s="980"/>
      <c r="AEF3" s="980"/>
      <c r="AEG3" s="980"/>
      <c r="AEH3" s="980"/>
      <c r="AEI3" s="980"/>
      <c r="AEJ3" s="980"/>
      <c r="AEK3" s="980"/>
      <c r="AEL3" s="980"/>
      <c r="AEM3" s="980"/>
      <c r="AEN3" s="980"/>
      <c r="AEO3" s="980"/>
      <c r="AEP3" s="980"/>
      <c r="AEQ3" s="980"/>
      <c r="AER3" s="980"/>
      <c r="AES3" s="980"/>
      <c r="AET3" s="980"/>
      <c r="AEU3" s="980"/>
      <c r="AEV3" s="980"/>
      <c r="AEW3" s="980"/>
      <c r="AEX3" s="980"/>
      <c r="AEY3" s="980"/>
      <c r="AEZ3" s="980"/>
      <c r="AFA3" s="980"/>
      <c r="AFB3" s="980"/>
      <c r="AFC3" s="980"/>
      <c r="AFD3" s="980"/>
      <c r="AFE3" s="980"/>
      <c r="AFF3" s="980"/>
      <c r="AFG3" s="980"/>
      <c r="AFH3" s="980"/>
      <c r="AFI3" s="980"/>
      <c r="AFJ3" s="980"/>
      <c r="AFK3" s="980"/>
      <c r="AFL3" s="980"/>
      <c r="AFM3" s="980"/>
      <c r="AFN3" s="980"/>
      <c r="AFO3" s="980"/>
      <c r="AFP3" s="980"/>
      <c r="AFQ3" s="980"/>
      <c r="AFR3" s="980"/>
      <c r="AFS3" s="980"/>
      <c r="AFT3" s="980"/>
      <c r="AFU3" s="980"/>
      <c r="AFV3" s="980"/>
      <c r="AFW3" s="980"/>
      <c r="AFX3" s="980"/>
      <c r="AFY3" s="980"/>
      <c r="AFZ3" s="980"/>
      <c r="AGA3" s="980"/>
      <c r="AGB3" s="980"/>
      <c r="AGC3" s="980"/>
      <c r="AGD3" s="980"/>
      <c r="AGE3" s="980"/>
      <c r="AGF3" s="980"/>
      <c r="AGG3" s="980"/>
      <c r="AGH3" s="980"/>
      <c r="AGI3" s="980"/>
      <c r="AGJ3" s="980"/>
      <c r="AGK3" s="980"/>
      <c r="AGL3" s="980"/>
      <c r="AGM3" s="980"/>
      <c r="AGN3" s="980"/>
      <c r="AGO3" s="980"/>
      <c r="AGP3" s="980"/>
      <c r="AGQ3" s="980"/>
      <c r="AGR3" s="980"/>
      <c r="AGS3" s="980"/>
      <c r="AGT3" s="980"/>
      <c r="AGU3" s="980"/>
      <c r="AGV3" s="980"/>
      <c r="AGW3" s="980"/>
      <c r="AGX3" s="980"/>
      <c r="AGY3" s="980"/>
      <c r="AGZ3" s="980"/>
      <c r="AHA3" s="980"/>
      <c r="AHB3" s="980"/>
      <c r="AHC3" s="980"/>
      <c r="AHD3" s="980"/>
      <c r="AHE3" s="980"/>
      <c r="AHF3" s="980"/>
      <c r="AHG3" s="980"/>
      <c r="AHH3" s="980"/>
      <c r="AHI3" s="980"/>
      <c r="AHJ3" s="980"/>
      <c r="AHK3" s="980"/>
      <c r="AHL3" s="980"/>
      <c r="AHM3" s="980"/>
      <c r="AHN3" s="980"/>
      <c r="AHO3" s="980"/>
      <c r="AHP3" s="980"/>
      <c r="AHQ3" s="980"/>
      <c r="AHR3" s="980"/>
      <c r="AHS3" s="980"/>
      <c r="AHT3" s="980"/>
      <c r="AHU3" s="980"/>
      <c r="AHV3" s="980"/>
      <c r="AHW3" s="980"/>
      <c r="AHX3" s="980"/>
      <c r="AHY3" s="980"/>
      <c r="AHZ3" s="980"/>
      <c r="AIA3" s="980"/>
      <c r="AIB3" s="980"/>
      <c r="AIC3" s="980"/>
      <c r="AID3" s="980"/>
      <c r="AIE3" s="980"/>
      <c r="AIF3" s="980"/>
      <c r="AIG3" s="980"/>
      <c r="AIH3" s="980"/>
      <c r="AII3" s="980"/>
      <c r="AIJ3" s="980"/>
      <c r="AIK3" s="980"/>
      <c r="AIL3" s="980"/>
      <c r="AIM3" s="980"/>
      <c r="AIN3" s="980"/>
      <c r="AIO3" s="980"/>
      <c r="AIP3" s="980"/>
      <c r="AIQ3" s="980"/>
      <c r="AIR3" s="980"/>
      <c r="AIS3" s="980"/>
      <c r="AIT3" s="980"/>
      <c r="AIU3" s="980"/>
      <c r="AIV3" s="980"/>
      <c r="AIW3" s="980"/>
      <c r="AIX3" s="980"/>
      <c r="AIY3" s="980"/>
      <c r="AIZ3" s="980"/>
      <c r="AJA3" s="980"/>
      <c r="AJB3" s="980"/>
      <c r="AJC3" s="980"/>
      <c r="AJD3" s="980"/>
      <c r="AJE3" s="980"/>
      <c r="AJF3" s="980"/>
      <c r="AJG3" s="980"/>
      <c r="AJH3" s="980"/>
      <c r="AJI3" s="980"/>
      <c r="AJJ3" s="980"/>
      <c r="AJK3" s="980"/>
      <c r="AJL3" s="980"/>
      <c r="AJM3" s="980"/>
      <c r="AJN3" s="980"/>
      <c r="AJO3" s="980"/>
      <c r="AJP3" s="980"/>
      <c r="AJQ3" s="980"/>
      <c r="AJR3" s="980"/>
      <c r="AJS3" s="980"/>
      <c r="AJT3" s="980"/>
      <c r="AJU3" s="980"/>
      <c r="AJV3" s="980"/>
      <c r="AJW3" s="980"/>
      <c r="AJX3" s="980"/>
      <c r="AJY3" s="980"/>
      <c r="AJZ3" s="980"/>
      <c r="AKA3" s="980"/>
      <c r="AKB3" s="980"/>
      <c r="AKC3" s="980"/>
      <c r="AKD3" s="980"/>
      <c r="AKE3" s="980"/>
      <c r="AKF3" s="980"/>
      <c r="AKG3" s="980"/>
      <c r="AKH3" s="980"/>
      <c r="AKI3" s="980"/>
      <c r="AKJ3" s="980"/>
      <c r="AKK3" s="980"/>
      <c r="AKL3" s="980"/>
      <c r="AKM3" s="980"/>
      <c r="AKN3" s="980"/>
      <c r="AKO3" s="980"/>
      <c r="AKP3" s="980"/>
      <c r="AKQ3" s="980"/>
      <c r="AKR3" s="980"/>
      <c r="AKS3" s="980"/>
      <c r="AKT3" s="980"/>
      <c r="AKU3" s="980"/>
      <c r="AKV3" s="980"/>
      <c r="AKW3" s="980"/>
      <c r="AKX3" s="980"/>
      <c r="AKY3" s="980"/>
      <c r="AKZ3" s="980"/>
      <c r="ALA3" s="980"/>
      <c r="ALB3" s="980"/>
      <c r="ALC3" s="980"/>
      <c r="ALD3" s="980"/>
      <c r="ALE3" s="980"/>
      <c r="ALF3" s="980"/>
      <c r="ALG3" s="980"/>
      <c r="ALH3" s="980"/>
      <c r="ALI3" s="980"/>
      <c r="ALJ3" s="980"/>
      <c r="ALK3" s="980"/>
      <c r="ALL3" s="980"/>
      <c r="ALM3" s="980"/>
      <c r="ALN3" s="980"/>
      <c r="ALO3" s="980"/>
      <c r="ALP3" s="980"/>
      <c r="ALQ3" s="980"/>
      <c r="ALR3" s="980"/>
      <c r="ALS3" s="980"/>
      <c r="ALT3" s="980"/>
      <c r="ALU3" s="980"/>
      <c r="ALV3" s="980"/>
      <c r="ALW3" s="980"/>
      <c r="ALX3" s="980"/>
      <c r="ALY3" s="980"/>
      <c r="ALZ3" s="980"/>
      <c r="AMA3" s="980"/>
      <c r="AMB3" s="980"/>
      <c r="AMC3" s="980"/>
      <c r="AMD3" s="980"/>
      <c r="AME3" s="980"/>
      <c r="AMF3" s="980"/>
      <c r="AMG3" s="980"/>
      <c r="AMH3" s="980"/>
    </row>
    <row r="4" spans="1:1022" ht="15.6">
      <c r="A4" s="983"/>
      <c r="B4" s="980"/>
      <c r="C4" s="980"/>
      <c r="D4" s="980"/>
      <c r="E4" s="980"/>
      <c r="F4" s="980"/>
      <c r="G4" s="980"/>
      <c r="H4" s="981"/>
      <c r="I4" s="980"/>
      <c r="J4" s="980"/>
      <c r="K4" s="980"/>
      <c r="L4" s="980"/>
      <c r="M4" s="980"/>
      <c r="N4" s="981"/>
      <c r="O4" s="981"/>
      <c r="P4" s="981"/>
      <c r="Q4" s="981"/>
      <c r="R4" s="981"/>
      <c r="S4" s="981"/>
      <c r="T4" s="980"/>
      <c r="U4" s="980"/>
      <c r="V4" s="980"/>
      <c r="W4" s="980"/>
      <c r="X4" s="980"/>
      <c r="Y4" s="980"/>
      <c r="Z4" s="980"/>
      <c r="AA4" s="980"/>
      <c r="AB4" s="980"/>
      <c r="AC4" s="980"/>
      <c r="AD4" s="980"/>
      <c r="AE4" s="980"/>
      <c r="AF4" s="980"/>
      <c r="AG4" s="980"/>
      <c r="AH4" s="980"/>
      <c r="AI4" s="980"/>
      <c r="AJ4" s="980"/>
      <c r="AK4" s="980"/>
      <c r="AL4" s="980"/>
      <c r="AM4" s="980"/>
      <c r="AN4" s="980"/>
      <c r="AO4" s="980"/>
      <c r="AP4" s="980"/>
      <c r="AQ4" s="980"/>
      <c r="AR4" s="980"/>
      <c r="AS4" s="980"/>
      <c r="AT4" s="980"/>
      <c r="AU4" s="980"/>
      <c r="AV4" s="980"/>
      <c r="AW4" s="980"/>
      <c r="AX4" s="980"/>
      <c r="AY4" s="980"/>
      <c r="AZ4" s="980"/>
      <c r="BA4" s="980"/>
      <c r="BB4" s="980"/>
      <c r="BC4" s="980"/>
      <c r="BD4" s="980"/>
      <c r="BE4" s="980"/>
      <c r="BF4" s="980"/>
      <c r="BG4" s="980"/>
      <c r="BH4" s="980"/>
      <c r="BI4" s="980"/>
      <c r="BJ4" s="980"/>
      <c r="BK4" s="980"/>
      <c r="BL4" s="980"/>
      <c r="BM4" s="980"/>
      <c r="BN4" s="980"/>
      <c r="BO4" s="980"/>
      <c r="BP4" s="980"/>
      <c r="BQ4" s="980"/>
      <c r="BR4" s="980"/>
      <c r="BS4" s="980"/>
      <c r="BT4" s="980"/>
      <c r="BU4" s="980"/>
      <c r="BV4" s="980"/>
      <c r="BW4" s="980"/>
      <c r="BX4" s="980"/>
      <c r="BY4" s="980"/>
      <c r="BZ4" s="980"/>
      <c r="CA4" s="980"/>
      <c r="CB4" s="980"/>
      <c r="CC4" s="980"/>
      <c r="CD4" s="980"/>
      <c r="CE4" s="980"/>
      <c r="CF4" s="980"/>
      <c r="CG4" s="980"/>
      <c r="CH4" s="980"/>
      <c r="CI4" s="980"/>
      <c r="CJ4" s="980"/>
      <c r="CK4" s="980"/>
      <c r="CL4" s="980"/>
      <c r="CM4" s="980"/>
      <c r="CN4" s="980"/>
      <c r="CO4" s="980"/>
      <c r="CP4" s="980"/>
      <c r="CQ4" s="980"/>
      <c r="CR4" s="980"/>
      <c r="CS4" s="980"/>
      <c r="CT4" s="980"/>
      <c r="CU4" s="980"/>
      <c r="CV4" s="980"/>
      <c r="CW4" s="980"/>
      <c r="CX4" s="980"/>
      <c r="CY4" s="980"/>
      <c r="CZ4" s="980"/>
      <c r="DA4" s="980"/>
      <c r="DB4" s="980"/>
      <c r="DC4" s="980"/>
      <c r="DD4" s="980"/>
      <c r="DE4" s="980"/>
      <c r="DF4" s="980"/>
      <c r="DG4" s="980"/>
      <c r="DH4" s="980"/>
      <c r="DI4" s="980"/>
      <c r="DJ4" s="980"/>
      <c r="DK4" s="980"/>
      <c r="DL4" s="980"/>
      <c r="DM4" s="980"/>
      <c r="DN4" s="980"/>
      <c r="DO4" s="980"/>
      <c r="DP4" s="980"/>
      <c r="DQ4" s="980"/>
      <c r="DR4" s="980"/>
      <c r="DS4" s="980"/>
      <c r="DT4" s="980"/>
      <c r="DU4" s="980"/>
      <c r="DV4" s="980"/>
      <c r="DW4" s="980"/>
      <c r="DX4" s="980"/>
      <c r="DY4" s="980"/>
      <c r="DZ4" s="980"/>
      <c r="EA4" s="980"/>
      <c r="EB4" s="980"/>
      <c r="EC4" s="980"/>
      <c r="ED4" s="980"/>
      <c r="EE4" s="980"/>
      <c r="EF4" s="980"/>
      <c r="EG4" s="980"/>
      <c r="EH4" s="980"/>
      <c r="EI4" s="980"/>
      <c r="EJ4" s="980"/>
      <c r="EK4" s="980"/>
      <c r="EL4" s="980"/>
      <c r="EM4" s="980"/>
      <c r="EN4" s="980"/>
      <c r="EO4" s="980"/>
      <c r="EP4" s="980"/>
      <c r="EQ4" s="980"/>
      <c r="ER4" s="980"/>
      <c r="ES4" s="980"/>
      <c r="ET4" s="980"/>
      <c r="EU4" s="980"/>
      <c r="EV4" s="980"/>
      <c r="EW4" s="980"/>
      <c r="EX4" s="980"/>
      <c r="EY4" s="980"/>
      <c r="EZ4" s="980"/>
      <c r="FA4" s="980"/>
      <c r="FB4" s="980"/>
      <c r="FC4" s="980"/>
      <c r="FD4" s="980"/>
      <c r="FE4" s="980"/>
      <c r="FF4" s="980"/>
      <c r="FG4" s="980"/>
      <c r="FH4" s="980"/>
      <c r="FI4" s="980"/>
      <c r="FJ4" s="980"/>
      <c r="FK4" s="980"/>
      <c r="FL4" s="980"/>
      <c r="FM4" s="980"/>
      <c r="FN4" s="980"/>
      <c r="FO4" s="980"/>
      <c r="FP4" s="980"/>
      <c r="FQ4" s="980"/>
      <c r="FR4" s="980"/>
      <c r="FS4" s="980"/>
      <c r="FT4" s="980"/>
      <c r="FU4" s="980"/>
      <c r="FV4" s="980"/>
      <c r="FW4" s="980"/>
      <c r="FX4" s="980"/>
      <c r="FY4" s="980"/>
      <c r="FZ4" s="980"/>
      <c r="GA4" s="980"/>
      <c r="GB4" s="980"/>
      <c r="GC4" s="980"/>
      <c r="GD4" s="980"/>
      <c r="GE4" s="980"/>
      <c r="GF4" s="980"/>
      <c r="GG4" s="980"/>
      <c r="GH4" s="980"/>
      <c r="GI4" s="980"/>
      <c r="GJ4" s="980"/>
      <c r="GK4" s="980"/>
      <c r="GL4" s="980"/>
      <c r="GM4" s="980"/>
      <c r="GN4" s="980"/>
      <c r="GO4" s="980"/>
      <c r="GP4" s="980"/>
      <c r="GQ4" s="980"/>
      <c r="GR4" s="980"/>
      <c r="GS4" s="980"/>
      <c r="GT4" s="980"/>
      <c r="GU4" s="980"/>
      <c r="GV4" s="980"/>
      <c r="GW4" s="980"/>
      <c r="GX4" s="980"/>
      <c r="GY4" s="980"/>
      <c r="GZ4" s="980"/>
      <c r="HA4" s="980"/>
      <c r="HB4" s="980"/>
      <c r="HC4" s="980"/>
      <c r="HD4" s="980"/>
      <c r="HE4" s="980"/>
      <c r="HF4" s="980"/>
      <c r="HG4" s="980"/>
      <c r="HH4" s="980"/>
      <c r="HI4" s="980"/>
      <c r="HJ4" s="980"/>
      <c r="HK4" s="980"/>
      <c r="HL4" s="980"/>
      <c r="HM4" s="980"/>
      <c r="HN4" s="980"/>
      <c r="HO4" s="980"/>
      <c r="HP4" s="980"/>
      <c r="HQ4" s="980"/>
      <c r="HR4" s="980"/>
      <c r="HS4" s="980"/>
      <c r="HT4" s="980"/>
      <c r="HU4" s="980"/>
      <c r="HV4" s="980"/>
      <c r="HW4" s="980"/>
      <c r="HX4" s="980"/>
      <c r="HY4" s="980"/>
      <c r="HZ4" s="980"/>
      <c r="IA4" s="980"/>
      <c r="IB4" s="980"/>
      <c r="IC4" s="980"/>
      <c r="ID4" s="980"/>
      <c r="IE4" s="980"/>
      <c r="IF4" s="980"/>
      <c r="IG4" s="980"/>
      <c r="IH4" s="980"/>
      <c r="II4" s="980"/>
      <c r="IJ4" s="980"/>
      <c r="IK4" s="980"/>
      <c r="IL4" s="980"/>
      <c r="IM4" s="980"/>
      <c r="IN4" s="980"/>
      <c r="IO4" s="980"/>
      <c r="IP4" s="980"/>
      <c r="IQ4" s="980"/>
      <c r="IR4" s="980"/>
      <c r="IS4" s="980"/>
      <c r="IT4" s="980"/>
      <c r="IU4" s="980"/>
      <c r="IV4" s="980"/>
      <c r="IW4" s="980"/>
      <c r="IX4" s="980"/>
      <c r="IY4" s="980"/>
      <c r="IZ4" s="980"/>
      <c r="JA4" s="980"/>
      <c r="JB4" s="980"/>
      <c r="JC4" s="980"/>
      <c r="JD4" s="980"/>
      <c r="JE4" s="980"/>
      <c r="JF4" s="980"/>
      <c r="JG4" s="980"/>
      <c r="JH4" s="980"/>
      <c r="JI4" s="980"/>
      <c r="JJ4" s="980"/>
      <c r="JK4" s="980"/>
      <c r="JL4" s="980"/>
      <c r="JM4" s="980"/>
      <c r="JN4" s="980"/>
      <c r="JO4" s="980"/>
      <c r="JP4" s="980"/>
      <c r="JQ4" s="980"/>
      <c r="JR4" s="980"/>
      <c r="JS4" s="980"/>
      <c r="JT4" s="980"/>
      <c r="JU4" s="980"/>
      <c r="JV4" s="980"/>
      <c r="JW4" s="980"/>
      <c r="JX4" s="980"/>
      <c r="JY4" s="980"/>
      <c r="JZ4" s="980"/>
      <c r="KA4" s="980"/>
      <c r="KB4" s="980"/>
      <c r="KC4" s="980"/>
      <c r="KD4" s="980"/>
      <c r="KE4" s="980"/>
      <c r="KF4" s="980"/>
      <c r="KG4" s="980"/>
      <c r="KH4" s="980"/>
      <c r="KI4" s="980"/>
      <c r="KJ4" s="980"/>
      <c r="KK4" s="980"/>
      <c r="KL4" s="980"/>
      <c r="KM4" s="980"/>
      <c r="KN4" s="980"/>
      <c r="KO4" s="980"/>
      <c r="KP4" s="980"/>
      <c r="KQ4" s="980"/>
      <c r="KR4" s="980"/>
      <c r="KS4" s="980"/>
      <c r="KT4" s="980"/>
      <c r="KU4" s="980"/>
      <c r="KV4" s="980"/>
      <c r="KW4" s="980"/>
      <c r="KX4" s="980"/>
      <c r="KY4" s="980"/>
      <c r="KZ4" s="980"/>
      <c r="LA4" s="980"/>
      <c r="LB4" s="980"/>
      <c r="LC4" s="980"/>
      <c r="LD4" s="980"/>
      <c r="LE4" s="980"/>
      <c r="LF4" s="980"/>
      <c r="LG4" s="980"/>
      <c r="LH4" s="980"/>
      <c r="LI4" s="980"/>
      <c r="LJ4" s="980"/>
      <c r="LK4" s="980"/>
      <c r="LL4" s="980"/>
      <c r="LM4" s="980"/>
      <c r="LN4" s="980"/>
      <c r="LO4" s="980"/>
      <c r="LP4" s="980"/>
      <c r="LQ4" s="980"/>
      <c r="LR4" s="980"/>
      <c r="LS4" s="980"/>
      <c r="LT4" s="980"/>
      <c r="LU4" s="980"/>
      <c r="LV4" s="980"/>
      <c r="LW4" s="980"/>
      <c r="LX4" s="980"/>
      <c r="LY4" s="980"/>
      <c r="LZ4" s="980"/>
      <c r="MA4" s="980"/>
      <c r="MB4" s="980"/>
      <c r="MC4" s="980"/>
      <c r="MD4" s="980"/>
      <c r="ME4" s="980"/>
      <c r="MF4" s="980"/>
      <c r="MG4" s="980"/>
      <c r="MH4" s="980"/>
      <c r="MI4" s="980"/>
      <c r="MJ4" s="980"/>
      <c r="MK4" s="980"/>
      <c r="ML4" s="980"/>
      <c r="MM4" s="980"/>
      <c r="MN4" s="980"/>
      <c r="MO4" s="980"/>
      <c r="MP4" s="980"/>
      <c r="MQ4" s="980"/>
      <c r="MR4" s="980"/>
      <c r="MS4" s="980"/>
      <c r="MT4" s="980"/>
      <c r="MU4" s="980"/>
      <c r="MV4" s="980"/>
      <c r="MW4" s="980"/>
      <c r="MX4" s="980"/>
      <c r="MY4" s="980"/>
      <c r="MZ4" s="980"/>
      <c r="NA4" s="980"/>
      <c r="NB4" s="980"/>
      <c r="NC4" s="980"/>
      <c r="ND4" s="980"/>
      <c r="NE4" s="980"/>
      <c r="NF4" s="980"/>
      <c r="NG4" s="980"/>
      <c r="NH4" s="980"/>
      <c r="NI4" s="980"/>
      <c r="NJ4" s="980"/>
      <c r="NK4" s="980"/>
      <c r="NL4" s="980"/>
      <c r="NM4" s="980"/>
      <c r="NN4" s="980"/>
      <c r="NO4" s="980"/>
      <c r="NP4" s="980"/>
      <c r="NQ4" s="980"/>
      <c r="NR4" s="980"/>
      <c r="NS4" s="980"/>
      <c r="NT4" s="980"/>
      <c r="NU4" s="980"/>
      <c r="NV4" s="980"/>
      <c r="NW4" s="980"/>
      <c r="NX4" s="980"/>
      <c r="NY4" s="980"/>
      <c r="NZ4" s="980"/>
      <c r="OA4" s="980"/>
      <c r="OB4" s="980"/>
      <c r="OC4" s="980"/>
      <c r="OD4" s="980"/>
      <c r="OE4" s="980"/>
      <c r="OF4" s="980"/>
      <c r="OG4" s="980"/>
      <c r="OH4" s="980"/>
      <c r="OI4" s="980"/>
      <c r="OJ4" s="980"/>
      <c r="OK4" s="980"/>
      <c r="OL4" s="980"/>
      <c r="OM4" s="980"/>
      <c r="ON4" s="980"/>
      <c r="OO4" s="980"/>
      <c r="OP4" s="980"/>
      <c r="OQ4" s="980"/>
      <c r="OR4" s="980"/>
      <c r="OS4" s="980"/>
      <c r="OT4" s="980"/>
      <c r="OU4" s="980"/>
      <c r="OV4" s="980"/>
      <c r="OW4" s="980"/>
      <c r="OX4" s="980"/>
      <c r="OY4" s="980"/>
      <c r="OZ4" s="980"/>
      <c r="PA4" s="980"/>
      <c r="PB4" s="980"/>
      <c r="PC4" s="980"/>
      <c r="PD4" s="980"/>
      <c r="PE4" s="980"/>
      <c r="PF4" s="980"/>
      <c r="PG4" s="980"/>
      <c r="PH4" s="980"/>
      <c r="PI4" s="980"/>
      <c r="PJ4" s="980"/>
      <c r="PK4" s="980"/>
      <c r="PL4" s="980"/>
      <c r="PM4" s="980"/>
      <c r="PN4" s="980"/>
      <c r="PO4" s="980"/>
      <c r="PP4" s="980"/>
      <c r="PQ4" s="980"/>
      <c r="PR4" s="980"/>
      <c r="PS4" s="980"/>
      <c r="PT4" s="980"/>
      <c r="PU4" s="980"/>
      <c r="PV4" s="980"/>
      <c r="PW4" s="980"/>
      <c r="PX4" s="980"/>
      <c r="PY4" s="980"/>
      <c r="PZ4" s="980"/>
      <c r="QA4" s="980"/>
      <c r="QB4" s="980"/>
      <c r="QC4" s="980"/>
      <c r="QD4" s="980"/>
      <c r="QE4" s="980"/>
      <c r="QF4" s="980"/>
      <c r="QG4" s="980"/>
      <c r="QH4" s="980"/>
      <c r="QI4" s="980"/>
      <c r="QJ4" s="980"/>
      <c r="QK4" s="980"/>
      <c r="QL4" s="980"/>
      <c r="QM4" s="980"/>
      <c r="QN4" s="980"/>
      <c r="QO4" s="980"/>
      <c r="QP4" s="980"/>
      <c r="QQ4" s="980"/>
      <c r="QR4" s="980"/>
      <c r="QS4" s="980"/>
      <c r="QT4" s="980"/>
      <c r="QU4" s="980"/>
      <c r="QV4" s="980"/>
      <c r="QW4" s="980"/>
      <c r="QX4" s="980"/>
      <c r="QY4" s="980"/>
      <c r="QZ4" s="980"/>
      <c r="RA4" s="980"/>
      <c r="RB4" s="980"/>
      <c r="RC4" s="980"/>
      <c r="RD4" s="980"/>
      <c r="RE4" s="980"/>
      <c r="RF4" s="980"/>
      <c r="RG4" s="980"/>
      <c r="RH4" s="980"/>
      <c r="RI4" s="980"/>
      <c r="RJ4" s="980"/>
      <c r="RK4" s="980"/>
      <c r="RL4" s="980"/>
      <c r="RM4" s="980"/>
      <c r="RN4" s="980"/>
      <c r="RO4" s="980"/>
      <c r="RP4" s="980"/>
      <c r="RQ4" s="980"/>
      <c r="RR4" s="980"/>
      <c r="RS4" s="980"/>
      <c r="RT4" s="980"/>
      <c r="RU4" s="980"/>
      <c r="RV4" s="980"/>
      <c r="RW4" s="980"/>
      <c r="RX4" s="980"/>
      <c r="RY4" s="980"/>
      <c r="RZ4" s="980"/>
      <c r="SA4" s="980"/>
      <c r="SB4" s="980"/>
      <c r="SC4" s="980"/>
      <c r="SD4" s="980"/>
      <c r="SE4" s="980"/>
      <c r="SF4" s="980"/>
      <c r="SG4" s="980"/>
      <c r="SH4" s="980"/>
      <c r="SI4" s="980"/>
      <c r="SJ4" s="980"/>
      <c r="SK4" s="980"/>
      <c r="SL4" s="980"/>
      <c r="SM4" s="980"/>
      <c r="SN4" s="980"/>
      <c r="SO4" s="980"/>
      <c r="SP4" s="980"/>
      <c r="SQ4" s="980"/>
      <c r="SR4" s="980"/>
      <c r="SS4" s="980"/>
      <c r="ST4" s="980"/>
      <c r="SU4" s="980"/>
      <c r="SV4" s="980"/>
      <c r="SW4" s="980"/>
      <c r="SX4" s="980"/>
      <c r="SY4" s="980"/>
      <c r="SZ4" s="980"/>
      <c r="TA4" s="980"/>
      <c r="TB4" s="980"/>
      <c r="TC4" s="980"/>
      <c r="TD4" s="980"/>
      <c r="TE4" s="980"/>
      <c r="TF4" s="980"/>
      <c r="TG4" s="980"/>
      <c r="TH4" s="980"/>
      <c r="TI4" s="980"/>
      <c r="TJ4" s="980"/>
      <c r="TK4" s="980"/>
      <c r="TL4" s="980"/>
      <c r="TM4" s="980"/>
      <c r="TN4" s="980"/>
      <c r="TO4" s="980"/>
      <c r="TP4" s="980"/>
      <c r="TQ4" s="980"/>
      <c r="TR4" s="980"/>
      <c r="TS4" s="980"/>
      <c r="TT4" s="980"/>
      <c r="TU4" s="980"/>
      <c r="TV4" s="980"/>
      <c r="TW4" s="980"/>
      <c r="TX4" s="980"/>
      <c r="TY4" s="980"/>
      <c r="TZ4" s="980"/>
      <c r="UA4" s="980"/>
      <c r="UB4" s="980"/>
      <c r="UC4" s="980"/>
      <c r="UD4" s="980"/>
      <c r="UE4" s="980"/>
      <c r="UF4" s="980"/>
      <c r="UG4" s="980"/>
      <c r="UH4" s="980"/>
      <c r="UI4" s="980"/>
      <c r="UJ4" s="980"/>
      <c r="UK4" s="980"/>
      <c r="UL4" s="980"/>
      <c r="UM4" s="980"/>
      <c r="UN4" s="980"/>
      <c r="UO4" s="980"/>
      <c r="UP4" s="980"/>
      <c r="UQ4" s="980"/>
      <c r="UR4" s="980"/>
      <c r="US4" s="980"/>
      <c r="UT4" s="980"/>
      <c r="UU4" s="980"/>
      <c r="UV4" s="980"/>
      <c r="UW4" s="980"/>
      <c r="UX4" s="980"/>
      <c r="UY4" s="980"/>
      <c r="UZ4" s="980"/>
      <c r="VA4" s="980"/>
      <c r="VB4" s="980"/>
      <c r="VC4" s="980"/>
      <c r="VD4" s="980"/>
      <c r="VE4" s="980"/>
      <c r="VF4" s="980"/>
      <c r="VG4" s="980"/>
      <c r="VH4" s="980"/>
      <c r="VI4" s="980"/>
      <c r="VJ4" s="980"/>
      <c r="VK4" s="980"/>
      <c r="VL4" s="980"/>
      <c r="VM4" s="980"/>
      <c r="VN4" s="980"/>
      <c r="VO4" s="980"/>
      <c r="VP4" s="980"/>
      <c r="VQ4" s="980"/>
      <c r="VR4" s="980"/>
      <c r="VS4" s="980"/>
      <c r="VT4" s="980"/>
      <c r="VU4" s="980"/>
      <c r="VV4" s="980"/>
      <c r="VW4" s="980"/>
      <c r="VX4" s="980"/>
      <c r="VY4" s="980"/>
      <c r="VZ4" s="980"/>
      <c r="WA4" s="980"/>
      <c r="WB4" s="980"/>
      <c r="WC4" s="980"/>
      <c r="WD4" s="980"/>
      <c r="WE4" s="980"/>
      <c r="WF4" s="980"/>
      <c r="WG4" s="980"/>
      <c r="WH4" s="980"/>
      <c r="WI4" s="980"/>
      <c r="WJ4" s="980"/>
      <c r="WK4" s="980"/>
      <c r="WL4" s="980"/>
      <c r="WM4" s="980"/>
      <c r="WN4" s="980"/>
      <c r="WO4" s="980"/>
      <c r="WP4" s="980"/>
      <c r="WQ4" s="980"/>
      <c r="WR4" s="980"/>
      <c r="WS4" s="980"/>
      <c r="WT4" s="980"/>
      <c r="WU4" s="980"/>
      <c r="WV4" s="980"/>
      <c r="WW4" s="980"/>
      <c r="WX4" s="980"/>
      <c r="WY4" s="980"/>
      <c r="WZ4" s="980"/>
      <c r="XA4" s="980"/>
      <c r="XB4" s="980"/>
      <c r="XC4" s="980"/>
      <c r="XD4" s="980"/>
      <c r="XE4" s="980"/>
      <c r="XF4" s="980"/>
      <c r="XG4" s="980"/>
      <c r="XH4" s="980"/>
      <c r="XI4" s="980"/>
      <c r="XJ4" s="980"/>
      <c r="XK4" s="980"/>
      <c r="XL4" s="980"/>
      <c r="XM4" s="980"/>
      <c r="XN4" s="980"/>
      <c r="XO4" s="980"/>
      <c r="XP4" s="980"/>
      <c r="XQ4" s="980"/>
      <c r="XR4" s="980"/>
      <c r="XS4" s="980"/>
      <c r="XT4" s="980"/>
      <c r="XU4" s="980"/>
      <c r="XV4" s="980"/>
      <c r="XW4" s="980"/>
      <c r="XX4" s="980"/>
      <c r="XY4" s="980"/>
      <c r="XZ4" s="980"/>
      <c r="YA4" s="980"/>
      <c r="YB4" s="980"/>
      <c r="YC4" s="980"/>
      <c r="YD4" s="980"/>
      <c r="YE4" s="980"/>
      <c r="YF4" s="980"/>
      <c r="YG4" s="980"/>
      <c r="YH4" s="980"/>
      <c r="YI4" s="980"/>
      <c r="YJ4" s="980"/>
      <c r="YK4" s="980"/>
      <c r="YL4" s="980"/>
      <c r="YM4" s="980"/>
      <c r="YN4" s="980"/>
      <c r="YO4" s="980"/>
      <c r="YP4" s="980"/>
      <c r="YQ4" s="980"/>
      <c r="YR4" s="980"/>
      <c r="YS4" s="980"/>
      <c r="YT4" s="980"/>
      <c r="YU4" s="980"/>
      <c r="YV4" s="980"/>
      <c r="YW4" s="980"/>
      <c r="YX4" s="980"/>
      <c r="YY4" s="980"/>
      <c r="YZ4" s="980"/>
      <c r="ZA4" s="980"/>
      <c r="ZB4" s="980"/>
      <c r="ZC4" s="980"/>
      <c r="ZD4" s="980"/>
      <c r="ZE4" s="980"/>
      <c r="ZF4" s="980"/>
      <c r="ZG4" s="980"/>
      <c r="ZH4" s="980"/>
      <c r="ZI4" s="980"/>
      <c r="ZJ4" s="980"/>
      <c r="ZK4" s="980"/>
      <c r="ZL4" s="980"/>
      <c r="ZM4" s="980"/>
      <c r="ZN4" s="980"/>
      <c r="ZO4" s="980"/>
      <c r="ZP4" s="980"/>
      <c r="ZQ4" s="980"/>
      <c r="ZR4" s="980"/>
      <c r="ZS4" s="980"/>
      <c r="ZT4" s="980"/>
      <c r="ZU4" s="980"/>
      <c r="ZV4" s="980"/>
      <c r="ZW4" s="980"/>
      <c r="ZX4" s="980"/>
      <c r="ZY4" s="980"/>
      <c r="ZZ4" s="980"/>
      <c r="AAA4" s="980"/>
      <c r="AAB4" s="980"/>
      <c r="AAC4" s="980"/>
      <c r="AAD4" s="980"/>
      <c r="AAE4" s="980"/>
      <c r="AAF4" s="980"/>
      <c r="AAG4" s="980"/>
      <c r="AAH4" s="980"/>
      <c r="AAI4" s="980"/>
      <c r="AAJ4" s="980"/>
      <c r="AAK4" s="980"/>
      <c r="AAL4" s="980"/>
      <c r="AAM4" s="980"/>
      <c r="AAN4" s="980"/>
      <c r="AAO4" s="980"/>
      <c r="AAP4" s="980"/>
      <c r="AAQ4" s="980"/>
      <c r="AAR4" s="980"/>
      <c r="AAS4" s="980"/>
      <c r="AAT4" s="980"/>
      <c r="AAU4" s="980"/>
      <c r="AAV4" s="980"/>
      <c r="AAW4" s="980"/>
      <c r="AAX4" s="980"/>
      <c r="AAY4" s="980"/>
      <c r="AAZ4" s="980"/>
      <c r="ABA4" s="980"/>
      <c r="ABB4" s="980"/>
      <c r="ABC4" s="980"/>
      <c r="ABD4" s="980"/>
      <c r="ABE4" s="980"/>
      <c r="ABF4" s="980"/>
      <c r="ABG4" s="980"/>
      <c r="ABH4" s="980"/>
      <c r="ABI4" s="980"/>
      <c r="ABJ4" s="980"/>
      <c r="ABK4" s="980"/>
      <c r="ABL4" s="980"/>
      <c r="ABM4" s="980"/>
      <c r="ABN4" s="980"/>
      <c r="ABO4" s="980"/>
      <c r="ABP4" s="980"/>
      <c r="ABQ4" s="980"/>
      <c r="ABR4" s="980"/>
      <c r="ABS4" s="980"/>
      <c r="ABT4" s="980"/>
      <c r="ABU4" s="980"/>
      <c r="ABV4" s="980"/>
      <c r="ABW4" s="980"/>
      <c r="ABX4" s="980"/>
      <c r="ABY4" s="980"/>
      <c r="ABZ4" s="980"/>
      <c r="ACA4" s="980"/>
      <c r="ACB4" s="980"/>
      <c r="ACC4" s="980"/>
      <c r="ACD4" s="980"/>
      <c r="ACE4" s="980"/>
      <c r="ACF4" s="980"/>
      <c r="ACG4" s="980"/>
      <c r="ACH4" s="980"/>
      <c r="ACI4" s="980"/>
      <c r="ACJ4" s="980"/>
      <c r="ACK4" s="980"/>
      <c r="ACL4" s="980"/>
      <c r="ACM4" s="980"/>
      <c r="ACN4" s="980"/>
      <c r="ACO4" s="980"/>
      <c r="ACP4" s="980"/>
      <c r="ACQ4" s="980"/>
      <c r="ACR4" s="980"/>
      <c r="ACS4" s="980"/>
      <c r="ACT4" s="980"/>
      <c r="ACU4" s="980"/>
      <c r="ACV4" s="980"/>
      <c r="ACW4" s="980"/>
      <c r="ACX4" s="980"/>
      <c r="ACY4" s="980"/>
      <c r="ACZ4" s="980"/>
      <c r="ADA4" s="980"/>
      <c r="ADB4" s="980"/>
      <c r="ADC4" s="980"/>
      <c r="ADD4" s="980"/>
      <c r="ADE4" s="980"/>
      <c r="ADF4" s="980"/>
      <c r="ADG4" s="980"/>
      <c r="ADH4" s="980"/>
      <c r="ADI4" s="980"/>
      <c r="ADJ4" s="980"/>
      <c r="ADK4" s="980"/>
      <c r="ADL4" s="980"/>
      <c r="ADM4" s="980"/>
      <c r="ADN4" s="980"/>
      <c r="ADO4" s="980"/>
      <c r="ADP4" s="980"/>
      <c r="ADQ4" s="980"/>
      <c r="ADR4" s="980"/>
      <c r="ADS4" s="980"/>
      <c r="ADT4" s="980"/>
      <c r="ADU4" s="980"/>
      <c r="ADV4" s="980"/>
      <c r="ADW4" s="980"/>
      <c r="ADX4" s="980"/>
      <c r="ADY4" s="980"/>
      <c r="ADZ4" s="980"/>
      <c r="AEA4" s="980"/>
      <c r="AEB4" s="980"/>
      <c r="AEC4" s="980"/>
      <c r="AED4" s="980"/>
      <c r="AEE4" s="980"/>
      <c r="AEF4" s="980"/>
      <c r="AEG4" s="980"/>
      <c r="AEH4" s="980"/>
      <c r="AEI4" s="980"/>
      <c r="AEJ4" s="980"/>
      <c r="AEK4" s="980"/>
      <c r="AEL4" s="980"/>
      <c r="AEM4" s="980"/>
      <c r="AEN4" s="980"/>
      <c r="AEO4" s="980"/>
      <c r="AEP4" s="980"/>
      <c r="AEQ4" s="980"/>
      <c r="AER4" s="980"/>
      <c r="AES4" s="980"/>
      <c r="AET4" s="980"/>
      <c r="AEU4" s="980"/>
      <c r="AEV4" s="980"/>
      <c r="AEW4" s="980"/>
      <c r="AEX4" s="980"/>
      <c r="AEY4" s="980"/>
      <c r="AEZ4" s="980"/>
      <c r="AFA4" s="980"/>
      <c r="AFB4" s="980"/>
      <c r="AFC4" s="980"/>
      <c r="AFD4" s="980"/>
      <c r="AFE4" s="980"/>
      <c r="AFF4" s="980"/>
      <c r="AFG4" s="980"/>
      <c r="AFH4" s="980"/>
      <c r="AFI4" s="980"/>
      <c r="AFJ4" s="980"/>
      <c r="AFK4" s="980"/>
      <c r="AFL4" s="980"/>
      <c r="AFM4" s="980"/>
      <c r="AFN4" s="980"/>
      <c r="AFO4" s="980"/>
      <c r="AFP4" s="980"/>
      <c r="AFQ4" s="980"/>
      <c r="AFR4" s="980"/>
      <c r="AFS4" s="980"/>
      <c r="AFT4" s="980"/>
      <c r="AFU4" s="980"/>
      <c r="AFV4" s="980"/>
      <c r="AFW4" s="980"/>
      <c r="AFX4" s="980"/>
      <c r="AFY4" s="980"/>
      <c r="AFZ4" s="980"/>
      <c r="AGA4" s="980"/>
      <c r="AGB4" s="980"/>
      <c r="AGC4" s="980"/>
      <c r="AGD4" s="980"/>
      <c r="AGE4" s="980"/>
      <c r="AGF4" s="980"/>
      <c r="AGG4" s="980"/>
      <c r="AGH4" s="980"/>
      <c r="AGI4" s="980"/>
      <c r="AGJ4" s="980"/>
      <c r="AGK4" s="980"/>
      <c r="AGL4" s="980"/>
      <c r="AGM4" s="980"/>
      <c r="AGN4" s="980"/>
      <c r="AGO4" s="980"/>
      <c r="AGP4" s="980"/>
      <c r="AGQ4" s="980"/>
      <c r="AGR4" s="980"/>
      <c r="AGS4" s="980"/>
      <c r="AGT4" s="980"/>
      <c r="AGU4" s="980"/>
      <c r="AGV4" s="980"/>
      <c r="AGW4" s="980"/>
      <c r="AGX4" s="980"/>
      <c r="AGY4" s="980"/>
      <c r="AGZ4" s="980"/>
      <c r="AHA4" s="980"/>
      <c r="AHB4" s="980"/>
      <c r="AHC4" s="980"/>
      <c r="AHD4" s="980"/>
      <c r="AHE4" s="980"/>
      <c r="AHF4" s="980"/>
      <c r="AHG4" s="980"/>
      <c r="AHH4" s="980"/>
      <c r="AHI4" s="980"/>
      <c r="AHJ4" s="980"/>
      <c r="AHK4" s="980"/>
      <c r="AHL4" s="980"/>
      <c r="AHM4" s="980"/>
      <c r="AHN4" s="980"/>
      <c r="AHO4" s="980"/>
      <c r="AHP4" s="980"/>
      <c r="AHQ4" s="980"/>
      <c r="AHR4" s="980"/>
      <c r="AHS4" s="980"/>
      <c r="AHT4" s="980"/>
      <c r="AHU4" s="980"/>
      <c r="AHV4" s="980"/>
      <c r="AHW4" s="980"/>
      <c r="AHX4" s="980"/>
      <c r="AHY4" s="980"/>
      <c r="AHZ4" s="980"/>
      <c r="AIA4" s="980"/>
      <c r="AIB4" s="980"/>
      <c r="AIC4" s="980"/>
      <c r="AID4" s="980"/>
      <c r="AIE4" s="980"/>
      <c r="AIF4" s="980"/>
      <c r="AIG4" s="980"/>
      <c r="AIH4" s="980"/>
      <c r="AII4" s="980"/>
      <c r="AIJ4" s="980"/>
      <c r="AIK4" s="980"/>
      <c r="AIL4" s="980"/>
      <c r="AIM4" s="980"/>
      <c r="AIN4" s="980"/>
      <c r="AIO4" s="980"/>
      <c r="AIP4" s="980"/>
      <c r="AIQ4" s="980"/>
      <c r="AIR4" s="980"/>
      <c r="AIS4" s="980"/>
      <c r="AIT4" s="980"/>
      <c r="AIU4" s="980"/>
      <c r="AIV4" s="980"/>
      <c r="AIW4" s="980"/>
      <c r="AIX4" s="980"/>
      <c r="AIY4" s="980"/>
      <c r="AIZ4" s="980"/>
      <c r="AJA4" s="980"/>
      <c r="AJB4" s="980"/>
      <c r="AJC4" s="980"/>
      <c r="AJD4" s="980"/>
      <c r="AJE4" s="980"/>
      <c r="AJF4" s="980"/>
      <c r="AJG4" s="980"/>
      <c r="AJH4" s="980"/>
      <c r="AJI4" s="980"/>
      <c r="AJJ4" s="980"/>
      <c r="AJK4" s="980"/>
      <c r="AJL4" s="980"/>
      <c r="AJM4" s="980"/>
      <c r="AJN4" s="980"/>
      <c r="AJO4" s="980"/>
      <c r="AJP4" s="980"/>
      <c r="AJQ4" s="980"/>
      <c r="AJR4" s="980"/>
      <c r="AJS4" s="980"/>
      <c r="AJT4" s="980"/>
      <c r="AJU4" s="980"/>
      <c r="AJV4" s="980"/>
      <c r="AJW4" s="980"/>
      <c r="AJX4" s="980"/>
      <c r="AJY4" s="980"/>
      <c r="AJZ4" s="980"/>
      <c r="AKA4" s="980"/>
      <c r="AKB4" s="980"/>
      <c r="AKC4" s="980"/>
      <c r="AKD4" s="980"/>
      <c r="AKE4" s="980"/>
      <c r="AKF4" s="980"/>
      <c r="AKG4" s="980"/>
      <c r="AKH4" s="980"/>
      <c r="AKI4" s="980"/>
      <c r="AKJ4" s="980"/>
      <c r="AKK4" s="980"/>
      <c r="AKL4" s="980"/>
      <c r="AKM4" s="980"/>
      <c r="AKN4" s="980"/>
      <c r="AKO4" s="980"/>
      <c r="AKP4" s="980"/>
      <c r="AKQ4" s="980"/>
      <c r="AKR4" s="980"/>
      <c r="AKS4" s="980"/>
      <c r="AKT4" s="980"/>
      <c r="AKU4" s="980"/>
      <c r="AKV4" s="980"/>
      <c r="AKW4" s="980"/>
      <c r="AKX4" s="980"/>
      <c r="AKY4" s="980"/>
      <c r="AKZ4" s="980"/>
      <c r="ALA4" s="980"/>
      <c r="ALB4" s="980"/>
      <c r="ALC4" s="980"/>
      <c r="ALD4" s="980"/>
      <c r="ALE4" s="980"/>
      <c r="ALF4" s="980"/>
      <c r="ALG4" s="980"/>
      <c r="ALH4" s="980"/>
      <c r="ALI4" s="980"/>
      <c r="ALJ4" s="980"/>
      <c r="ALK4" s="980"/>
      <c r="ALL4" s="980"/>
      <c r="ALM4" s="980"/>
      <c r="ALN4" s="980"/>
      <c r="ALO4" s="980"/>
      <c r="ALP4" s="980"/>
      <c r="ALQ4" s="980"/>
      <c r="ALR4" s="980"/>
      <c r="ALS4" s="980"/>
      <c r="ALT4" s="980"/>
      <c r="ALU4" s="980"/>
      <c r="ALV4" s="980"/>
      <c r="ALW4" s="980"/>
      <c r="ALX4" s="980"/>
      <c r="ALY4" s="980"/>
      <c r="ALZ4" s="980"/>
      <c r="AMA4" s="980"/>
      <c r="AMB4" s="980"/>
      <c r="AMC4" s="980"/>
      <c r="AMD4" s="980"/>
      <c r="AME4" s="980"/>
      <c r="AMF4" s="980"/>
      <c r="AMG4" s="980"/>
      <c r="AMH4" s="980"/>
    </row>
    <row r="5" spans="1:1022" ht="15.6">
      <c r="A5" s="984" t="s">
        <v>1512</v>
      </c>
      <c r="B5" s="985" t="s">
        <v>1513</v>
      </c>
      <c r="C5" s="980"/>
      <c r="D5" s="980"/>
      <c r="E5" s="980"/>
      <c r="F5" s="980"/>
      <c r="G5" s="980"/>
      <c r="H5" s="981"/>
      <c r="I5" s="980"/>
      <c r="J5" s="980"/>
      <c r="K5" s="980"/>
      <c r="L5" s="980"/>
      <c r="M5" s="980"/>
      <c r="N5" s="981"/>
      <c r="O5" s="981"/>
      <c r="P5" s="981"/>
      <c r="Q5" s="981"/>
      <c r="R5" s="981"/>
      <c r="S5" s="981"/>
      <c r="T5" s="980"/>
      <c r="U5" s="980"/>
      <c r="V5" s="980"/>
      <c r="W5" s="980"/>
      <c r="X5" s="980"/>
      <c r="Y5" s="980"/>
      <c r="Z5" s="980"/>
      <c r="AA5" s="980"/>
      <c r="AB5" s="980"/>
      <c r="AC5" s="980"/>
      <c r="AD5" s="980"/>
      <c r="AE5" s="980"/>
      <c r="AF5" s="980"/>
      <c r="AG5" s="980"/>
      <c r="AH5" s="980"/>
      <c r="AI5" s="980"/>
      <c r="AJ5" s="980"/>
      <c r="AK5" s="980"/>
      <c r="AL5" s="980"/>
      <c r="AM5" s="980"/>
      <c r="AN5" s="980"/>
      <c r="AO5" s="980"/>
      <c r="AP5" s="980"/>
      <c r="AQ5" s="980"/>
      <c r="AR5" s="980"/>
      <c r="AS5" s="980"/>
      <c r="AT5" s="980"/>
      <c r="AU5" s="980"/>
      <c r="AV5" s="980"/>
      <c r="AW5" s="980"/>
      <c r="AX5" s="980"/>
      <c r="AY5" s="980"/>
      <c r="AZ5" s="980"/>
      <c r="BA5" s="980"/>
      <c r="BB5" s="980"/>
      <c r="BC5" s="980"/>
      <c r="BD5" s="980"/>
      <c r="BE5" s="980"/>
      <c r="BF5" s="980"/>
      <c r="BG5" s="980"/>
      <c r="BH5" s="980"/>
      <c r="BI5" s="980"/>
      <c r="BJ5" s="980"/>
      <c r="BK5" s="980"/>
      <c r="BL5" s="980"/>
      <c r="BM5" s="980"/>
      <c r="BN5" s="980"/>
      <c r="BO5" s="980"/>
      <c r="BP5" s="980"/>
      <c r="BQ5" s="980"/>
      <c r="BR5" s="980"/>
      <c r="BS5" s="980"/>
      <c r="BT5" s="980"/>
      <c r="BU5" s="980"/>
      <c r="BV5" s="980"/>
      <c r="BW5" s="980"/>
      <c r="BX5" s="980"/>
      <c r="BY5" s="980"/>
      <c r="BZ5" s="980"/>
      <c r="CA5" s="980"/>
      <c r="CB5" s="980"/>
      <c r="CC5" s="980"/>
      <c r="CD5" s="980"/>
      <c r="CE5" s="980"/>
      <c r="CF5" s="980"/>
      <c r="CG5" s="980"/>
      <c r="CH5" s="980"/>
      <c r="CI5" s="980"/>
      <c r="CJ5" s="980"/>
      <c r="CK5" s="980"/>
      <c r="CL5" s="980"/>
      <c r="CM5" s="980"/>
      <c r="CN5" s="980"/>
      <c r="CO5" s="980"/>
      <c r="CP5" s="980"/>
      <c r="CQ5" s="980"/>
      <c r="CR5" s="980"/>
      <c r="CS5" s="980"/>
      <c r="CT5" s="980"/>
      <c r="CU5" s="980"/>
      <c r="CV5" s="980"/>
      <c r="CW5" s="980"/>
      <c r="CX5" s="980"/>
      <c r="CY5" s="980"/>
      <c r="CZ5" s="980"/>
      <c r="DA5" s="980"/>
      <c r="DB5" s="980"/>
      <c r="DC5" s="980"/>
      <c r="DD5" s="980"/>
      <c r="DE5" s="980"/>
      <c r="DF5" s="980"/>
      <c r="DG5" s="980"/>
      <c r="DH5" s="980"/>
      <c r="DI5" s="980"/>
      <c r="DJ5" s="980"/>
      <c r="DK5" s="980"/>
      <c r="DL5" s="980"/>
      <c r="DM5" s="980"/>
      <c r="DN5" s="980"/>
      <c r="DO5" s="980"/>
      <c r="DP5" s="980"/>
      <c r="DQ5" s="980"/>
      <c r="DR5" s="980"/>
      <c r="DS5" s="980"/>
      <c r="DT5" s="980"/>
      <c r="DU5" s="980"/>
      <c r="DV5" s="980"/>
      <c r="DW5" s="980"/>
      <c r="DX5" s="980"/>
      <c r="DY5" s="980"/>
      <c r="DZ5" s="980"/>
      <c r="EA5" s="980"/>
      <c r="EB5" s="980"/>
      <c r="EC5" s="980"/>
      <c r="ED5" s="980"/>
      <c r="EE5" s="980"/>
      <c r="EF5" s="980"/>
      <c r="EG5" s="980"/>
      <c r="EH5" s="980"/>
      <c r="EI5" s="980"/>
      <c r="EJ5" s="980"/>
      <c r="EK5" s="980"/>
      <c r="EL5" s="980"/>
      <c r="EM5" s="980"/>
      <c r="EN5" s="980"/>
      <c r="EO5" s="980"/>
      <c r="EP5" s="980"/>
      <c r="EQ5" s="980"/>
      <c r="ER5" s="980"/>
      <c r="ES5" s="980"/>
      <c r="ET5" s="980"/>
      <c r="EU5" s="980"/>
      <c r="EV5" s="980"/>
      <c r="EW5" s="980"/>
      <c r="EX5" s="980"/>
      <c r="EY5" s="980"/>
      <c r="EZ5" s="980"/>
      <c r="FA5" s="980"/>
      <c r="FB5" s="980"/>
      <c r="FC5" s="980"/>
      <c r="FD5" s="980"/>
      <c r="FE5" s="980"/>
      <c r="FF5" s="980"/>
      <c r="FG5" s="980"/>
      <c r="FH5" s="980"/>
      <c r="FI5" s="980"/>
      <c r="FJ5" s="980"/>
      <c r="FK5" s="980"/>
      <c r="FL5" s="980"/>
      <c r="FM5" s="980"/>
      <c r="FN5" s="980"/>
      <c r="FO5" s="980"/>
      <c r="FP5" s="980"/>
      <c r="FQ5" s="980"/>
      <c r="FR5" s="980"/>
      <c r="FS5" s="980"/>
      <c r="FT5" s="980"/>
      <c r="FU5" s="980"/>
      <c r="FV5" s="980"/>
      <c r="FW5" s="980"/>
      <c r="FX5" s="980"/>
      <c r="FY5" s="980"/>
      <c r="FZ5" s="980"/>
      <c r="GA5" s="980"/>
      <c r="GB5" s="980"/>
      <c r="GC5" s="980"/>
      <c r="GD5" s="980"/>
      <c r="GE5" s="980"/>
      <c r="GF5" s="980"/>
      <c r="GG5" s="980"/>
      <c r="GH5" s="980"/>
      <c r="GI5" s="980"/>
      <c r="GJ5" s="980"/>
      <c r="GK5" s="980"/>
      <c r="GL5" s="980"/>
      <c r="GM5" s="980"/>
      <c r="GN5" s="980"/>
      <c r="GO5" s="980"/>
      <c r="GP5" s="980"/>
      <c r="GQ5" s="980"/>
      <c r="GR5" s="980"/>
      <c r="GS5" s="980"/>
      <c r="GT5" s="980"/>
      <c r="GU5" s="980"/>
      <c r="GV5" s="980"/>
      <c r="GW5" s="980"/>
      <c r="GX5" s="980"/>
      <c r="GY5" s="980"/>
      <c r="GZ5" s="980"/>
      <c r="HA5" s="980"/>
      <c r="HB5" s="980"/>
      <c r="HC5" s="980"/>
      <c r="HD5" s="980"/>
      <c r="HE5" s="980"/>
      <c r="HF5" s="980"/>
      <c r="HG5" s="980"/>
      <c r="HH5" s="980"/>
      <c r="HI5" s="980"/>
      <c r="HJ5" s="980"/>
      <c r="HK5" s="980"/>
      <c r="HL5" s="980"/>
      <c r="HM5" s="980"/>
      <c r="HN5" s="980"/>
      <c r="HO5" s="980"/>
      <c r="HP5" s="980"/>
      <c r="HQ5" s="980"/>
      <c r="HR5" s="980"/>
      <c r="HS5" s="980"/>
      <c r="HT5" s="980"/>
      <c r="HU5" s="980"/>
      <c r="HV5" s="980"/>
      <c r="HW5" s="980"/>
      <c r="HX5" s="980"/>
      <c r="HY5" s="980"/>
      <c r="HZ5" s="980"/>
      <c r="IA5" s="980"/>
      <c r="IB5" s="980"/>
      <c r="IC5" s="980"/>
      <c r="ID5" s="980"/>
      <c r="IE5" s="980"/>
      <c r="IF5" s="980"/>
      <c r="IG5" s="980"/>
      <c r="IH5" s="980"/>
      <c r="II5" s="980"/>
      <c r="IJ5" s="980"/>
      <c r="IK5" s="980"/>
      <c r="IL5" s="980"/>
      <c r="IM5" s="980"/>
      <c r="IN5" s="980"/>
      <c r="IO5" s="980"/>
      <c r="IP5" s="980"/>
      <c r="IQ5" s="980"/>
      <c r="IR5" s="980"/>
      <c r="IS5" s="980"/>
      <c r="IT5" s="980"/>
      <c r="IU5" s="980"/>
      <c r="IV5" s="980"/>
      <c r="IW5" s="980"/>
      <c r="IX5" s="980"/>
      <c r="IY5" s="980"/>
      <c r="IZ5" s="980"/>
      <c r="JA5" s="980"/>
      <c r="JB5" s="980"/>
      <c r="JC5" s="980"/>
      <c r="JD5" s="980"/>
      <c r="JE5" s="980"/>
      <c r="JF5" s="980"/>
      <c r="JG5" s="980"/>
      <c r="JH5" s="980"/>
      <c r="JI5" s="980"/>
      <c r="JJ5" s="980"/>
      <c r="JK5" s="980"/>
      <c r="JL5" s="980"/>
      <c r="JM5" s="980"/>
      <c r="JN5" s="980"/>
      <c r="JO5" s="980"/>
      <c r="JP5" s="980"/>
      <c r="JQ5" s="980"/>
      <c r="JR5" s="980"/>
      <c r="JS5" s="980"/>
      <c r="JT5" s="980"/>
      <c r="JU5" s="980"/>
      <c r="JV5" s="980"/>
      <c r="JW5" s="980"/>
      <c r="JX5" s="980"/>
      <c r="JY5" s="980"/>
      <c r="JZ5" s="980"/>
      <c r="KA5" s="980"/>
      <c r="KB5" s="980"/>
      <c r="KC5" s="980"/>
      <c r="KD5" s="980"/>
      <c r="KE5" s="980"/>
      <c r="KF5" s="980"/>
      <c r="KG5" s="980"/>
      <c r="KH5" s="980"/>
      <c r="KI5" s="980"/>
      <c r="KJ5" s="980"/>
      <c r="KK5" s="980"/>
      <c r="KL5" s="980"/>
      <c r="KM5" s="980"/>
      <c r="KN5" s="980"/>
      <c r="KO5" s="980"/>
      <c r="KP5" s="980"/>
      <c r="KQ5" s="980"/>
      <c r="KR5" s="980"/>
      <c r="KS5" s="980"/>
      <c r="KT5" s="980"/>
      <c r="KU5" s="980"/>
      <c r="KV5" s="980"/>
      <c r="KW5" s="980"/>
      <c r="KX5" s="980"/>
      <c r="KY5" s="980"/>
      <c r="KZ5" s="980"/>
      <c r="LA5" s="980"/>
      <c r="LB5" s="980"/>
      <c r="LC5" s="980"/>
      <c r="LD5" s="980"/>
      <c r="LE5" s="980"/>
      <c r="LF5" s="980"/>
      <c r="LG5" s="980"/>
      <c r="LH5" s="980"/>
      <c r="LI5" s="980"/>
      <c r="LJ5" s="980"/>
      <c r="LK5" s="980"/>
      <c r="LL5" s="980"/>
      <c r="LM5" s="980"/>
      <c r="LN5" s="980"/>
      <c r="LO5" s="980"/>
      <c r="LP5" s="980"/>
      <c r="LQ5" s="980"/>
      <c r="LR5" s="980"/>
      <c r="LS5" s="980"/>
      <c r="LT5" s="980"/>
      <c r="LU5" s="980"/>
      <c r="LV5" s="980"/>
      <c r="LW5" s="980"/>
      <c r="LX5" s="980"/>
      <c r="LY5" s="980"/>
      <c r="LZ5" s="980"/>
      <c r="MA5" s="980"/>
      <c r="MB5" s="980"/>
      <c r="MC5" s="980"/>
      <c r="MD5" s="980"/>
      <c r="ME5" s="980"/>
      <c r="MF5" s="980"/>
      <c r="MG5" s="980"/>
      <c r="MH5" s="980"/>
      <c r="MI5" s="980"/>
      <c r="MJ5" s="980"/>
      <c r="MK5" s="980"/>
      <c r="ML5" s="980"/>
      <c r="MM5" s="980"/>
      <c r="MN5" s="980"/>
      <c r="MO5" s="980"/>
      <c r="MP5" s="980"/>
      <c r="MQ5" s="980"/>
      <c r="MR5" s="980"/>
      <c r="MS5" s="980"/>
      <c r="MT5" s="980"/>
      <c r="MU5" s="980"/>
      <c r="MV5" s="980"/>
      <c r="MW5" s="980"/>
      <c r="MX5" s="980"/>
      <c r="MY5" s="980"/>
      <c r="MZ5" s="980"/>
      <c r="NA5" s="980"/>
      <c r="NB5" s="980"/>
      <c r="NC5" s="980"/>
      <c r="ND5" s="980"/>
      <c r="NE5" s="980"/>
      <c r="NF5" s="980"/>
      <c r="NG5" s="980"/>
      <c r="NH5" s="980"/>
      <c r="NI5" s="980"/>
      <c r="NJ5" s="980"/>
      <c r="NK5" s="980"/>
      <c r="NL5" s="980"/>
      <c r="NM5" s="980"/>
      <c r="NN5" s="980"/>
      <c r="NO5" s="980"/>
      <c r="NP5" s="980"/>
      <c r="NQ5" s="980"/>
      <c r="NR5" s="980"/>
      <c r="NS5" s="980"/>
      <c r="NT5" s="980"/>
      <c r="NU5" s="980"/>
      <c r="NV5" s="980"/>
      <c r="NW5" s="980"/>
      <c r="NX5" s="980"/>
      <c r="NY5" s="980"/>
      <c r="NZ5" s="980"/>
      <c r="OA5" s="980"/>
      <c r="OB5" s="980"/>
      <c r="OC5" s="980"/>
      <c r="OD5" s="980"/>
      <c r="OE5" s="980"/>
      <c r="OF5" s="980"/>
      <c r="OG5" s="980"/>
      <c r="OH5" s="980"/>
      <c r="OI5" s="980"/>
      <c r="OJ5" s="980"/>
      <c r="OK5" s="980"/>
      <c r="OL5" s="980"/>
      <c r="OM5" s="980"/>
      <c r="ON5" s="980"/>
      <c r="OO5" s="980"/>
      <c r="OP5" s="980"/>
      <c r="OQ5" s="980"/>
      <c r="OR5" s="980"/>
      <c r="OS5" s="980"/>
      <c r="OT5" s="980"/>
      <c r="OU5" s="980"/>
      <c r="OV5" s="980"/>
      <c r="OW5" s="980"/>
      <c r="OX5" s="980"/>
      <c r="OY5" s="980"/>
      <c r="OZ5" s="980"/>
      <c r="PA5" s="980"/>
      <c r="PB5" s="980"/>
      <c r="PC5" s="980"/>
      <c r="PD5" s="980"/>
      <c r="PE5" s="980"/>
      <c r="PF5" s="980"/>
      <c r="PG5" s="980"/>
      <c r="PH5" s="980"/>
      <c r="PI5" s="980"/>
      <c r="PJ5" s="980"/>
      <c r="PK5" s="980"/>
      <c r="PL5" s="980"/>
      <c r="PM5" s="980"/>
      <c r="PN5" s="980"/>
      <c r="PO5" s="980"/>
      <c r="PP5" s="980"/>
      <c r="PQ5" s="980"/>
      <c r="PR5" s="980"/>
      <c r="PS5" s="980"/>
      <c r="PT5" s="980"/>
      <c r="PU5" s="980"/>
      <c r="PV5" s="980"/>
      <c r="PW5" s="980"/>
      <c r="PX5" s="980"/>
      <c r="PY5" s="980"/>
      <c r="PZ5" s="980"/>
      <c r="QA5" s="980"/>
      <c r="QB5" s="980"/>
      <c r="QC5" s="980"/>
      <c r="QD5" s="980"/>
      <c r="QE5" s="980"/>
      <c r="QF5" s="980"/>
      <c r="QG5" s="980"/>
      <c r="QH5" s="980"/>
      <c r="QI5" s="980"/>
      <c r="QJ5" s="980"/>
      <c r="QK5" s="980"/>
      <c r="QL5" s="980"/>
      <c r="QM5" s="980"/>
      <c r="QN5" s="980"/>
      <c r="QO5" s="980"/>
      <c r="QP5" s="980"/>
      <c r="QQ5" s="980"/>
      <c r="QR5" s="980"/>
      <c r="QS5" s="980"/>
      <c r="QT5" s="980"/>
      <c r="QU5" s="980"/>
      <c r="QV5" s="980"/>
      <c r="QW5" s="980"/>
      <c r="QX5" s="980"/>
      <c r="QY5" s="980"/>
      <c r="QZ5" s="980"/>
      <c r="RA5" s="980"/>
      <c r="RB5" s="980"/>
      <c r="RC5" s="980"/>
      <c r="RD5" s="980"/>
      <c r="RE5" s="980"/>
      <c r="RF5" s="980"/>
      <c r="RG5" s="980"/>
      <c r="RH5" s="980"/>
      <c r="RI5" s="980"/>
      <c r="RJ5" s="980"/>
      <c r="RK5" s="980"/>
      <c r="RL5" s="980"/>
      <c r="RM5" s="980"/>
      <c r="RN5" s="980"/>
      <c r="RO5" s="980"/>
      <c r="RP5" s="980"/>
      <c r="RQ5" s="980"/>
      <c r="RR5" s="980"/>
      <c r="RS5" s="980"/>
      <c r="RT5" s="980"/>
      <c r="RU5" s="980"/>
      <c r="RV5" s="980"/>
      <c r="RW5" s="980"/>
      <c r="RX5" s="980"/>
      <c r="RY5" s="980"/>
      <c r="RZ5" s="980"/>
      <c r="SA5" s="980"/>
      <c r="SB5" s="980"/>
      <c r="SC5" s="980"/>
      <c r="SD5" s="980"/>
      <c r="SE5" s="980"/>
      <c r="SF5" s="980"/>
      <c r="SG5" s="980"/>
      <c r="SH5" s="980"/>
      <c r="SI5" s="980"/>
      <c r="SJ5" s="980"/>
      <c r="SK5" s="980"/>
      <c r="SL5" s="980"/>
      <c r="SM5" s="980"/>
      <c r="SN5" s="980"/>
      <c r="SO5" s="980"/>
      <c r="SP5" s="980"/>
      <c r="SQ5" s="980"/>
      <c r="SR5" s="980"/>
      <c r="SS5" s="980"/>
      <c r="ST5" s="980"/>
      <c r="SU5" s="980"/>
      <c r="SV5" s="980"/>
      <c r="SW5" s="980"/>
      <c r="SX5" s="980"/>
      <c r="SY5" s="980"/>
      <c r="SZ5" s="980"/>
      <c r="TA5" s="980"/>
      <c r="TB5" s="980"/>
      <c r="TC5" s="980"/>
      <c r="TD5" s="980"/>
      <c r="TE5" s="980"/>
      <c r="TF5" s="980"/>
      <c r="TG5" s="980"/>
      <c r="TH5" s="980"/>
      <c r="TI5" s="980"/>
      <c r="TJ5" s="980"/>
      <c r="TK5" s="980"/>
      <c r="TL5" s="980"/>
      <c r="TM5" s="980"/>
      <c r="TN5" s="980"/>
      <c r="TO5" s="980"/>
      <c r="TP5" s="980"/>
      <c r="TQ5" s="980"/>
      <c r="TR5" s="980"/>
      <c r="TS5" s="980"/>
      <c r="TT5" s="980"/>
      <c r="TU5" s="980"/>
      <c r="TV5" s="980"/>
      <c r="TW5" s="980"/>
      <c r="TX5" s="980"/>
      <c r="TY5" s="980"/>
      <c r="TZ5" s="980"/>
      <c r="UA5" s="980"/>
      <c r="UB5" s="980"/>
      <c r="UC5" s="980"/>
      <c r="UD5" s="980"/>
      <c r="UE5" s="980"/>
      <c r="UF5" s="980"/>
      <c r="UG5" s="980"/>
      <c r="UH5" s="980"/>
      <c r="UI5" s="980"/>
      <c r="UJ5" s="980"/>
      <c r="UK5" s="980"/>
      <c r="UL5" s="980"/>
      <c r="UM5" s="980"/>
      <c r="UN5" s="980"/>
      <c r="UO5" s="980"/>
      <c r="UP5" s="980"/>
      <c r="UQ5" s="980"/>
      <c r="UR5" s="980"/>
      <c r="US5" s="980"/>
      <c r="UT5" s="980"/>
      <c r="UU5" s="980"/>
      <c r="UV5" s="980"/>
      <c r="UW5" s="980"/>
      <c r="UX5" s="980"/>
      <c r="UY5" s="980"/>
      <c r="UZ5" s="980"/>
      <c r="VA5" s="980"/>
      <c r="VB5" s="980"/>
      <c r="VC5" s="980"/>
      <c r="VD5" s="980"/>
      <c r="VE5" s="980"/>
      <c r="VF5" s="980"/>
      <c r="VG5" s="980"/>
      <c r="VH5" s="980"/>
      <c r="VI5" s="980"/>
      <c r="VJ5" s="980"/>
      <c r="VK5" s="980"/>
      <c r="VL5" s="980"/>
      <c r="VM5" s="980"/>
      <c r="VN5" s="980"/>
      <c r="VO5" s="980"/>
      <c r="VP5" s="980"/>
      <c r="VQ5" s="980"/>
      <c r="VR5" s="980"/>
      <c r="VS5" s="980"/>
      <c r="VT5" s="980"/>
      <c r="VU5" s="980"/>
      <c r="VV5" s="980"/>
      <c r="VW5" s="980"/>
      <c r="VX5" s="980"/>
      <c r="VY5" s="980"/>
      <c r="VZ5" s="980"/>
      <c r="WA5" s="980"/>
      <c r="WB5" s="980"/>
      <c r="WC5" s="980"/>
      <c r="WD5" s="980"/>
      <c r="WE5" s="980"/>
      <c r="WF5" s="980"/>
      <c r="WG5" s="980"/>
      <c r="WH5" s="980"/>
      <c r="WI5" s="980"/>
      <c r="WJ5" s="980"/>
      <c r="WK5" s="980"/>
      <c r="WL5" s="980"/>
      <c r="WM5" s="980"/>
      <c r="WN5" s="980"/>
      <c r="WO5" s="980"/>
      <c r="WP5" s="980"/>
      <c r="WQ5" s="980"/>
      <c r="WR5" s="980"/>
      <c r="WS5" s="980"/>
      <c r="WT5" s="980"/>
      <c r="WU5" s="980"/>
      <c r="WV5" s="980"/>
      <c r="WW5" s="980"/>
      <c r="WX5" s="980"/>
      <c r="WY5" s="980"/>
      <c r="WZ5" s="980"/>
      <c r="XA5" s="980"/>
      <c r="XB5" s="980"/>
      <c r="XC5" s="980"/>
      <c r="XD5" s="980"/>
      <c r="XE5" s="980"/>
      <c r="XF5" s="980"/>
      <c r="XG5" s="980"/>
      <c r="XH5" s="980"/>
      <c r="XI5" s="980"/>
      <c r="XJ5" s="980"/>
      <c r="XK5" s="980"/>
      <c r="XL5" s="980"/>
      <c r="XM5" s="980"/>
      <c r="XN5" s="980"/>
      <c r="XO5" s="980"/>
      <c r="XP5" s="980"/>
      <c r="XQ5" s="980"/>
      <c r="XR5" s="980"/>
      <c r="XS5" s="980"/>
      <c r="XT5" s="980"/>
      <c r="XU5" s="980"/>
      <c r="XV5" s="980"/>
      <c r="XW5" s="980"/>
      <c r="XX5" s="980"/>
      <c r="XY5" s="980"/>
      <c r="XZ5" s="980"/>
      <c r="YA5" s="980"/>
      <c r="YB5" s="980"/>
      <c r="YC5" s="980"/>
      <c r="YD5" s="980"/>
      <c r="YE5" s="980"/>
      <c r="YF5" s="980"/>
      <c r="YG5" s="980"/>
      <c r="YH5" s="980"/>
      <c r="YI5" s="980"/>
      <c r="YJ5" s="980"/>
      <c r="YK5" s="980"/>
      <c r="YL5" s="980"/>
      <c r="YM5" s="980"/>
      <c r="YN5" s="980"/>
      <c r="YO5" s="980"/>
      <c r="YP5" s="980"/>
      <c r="YQ5" s="980"/>
      <c r="YR5" s="980"/>
      <c r="YS5" s="980"/>
      <c r="YT5" s="980"/>
      <c r="YU5" s="980"/>
      <c r="YV5" s="980"/>
      <c r="YW5" s="980"/>
      <c r="YX5" s="980"/>
      <c r="YY5" s="980"/>
      <c r="YZ5" s="980"/>
      <c r="ZA5" s="980"/>
      <c r="ZB5" s="980"/>
      <c r="ZC5" s="980"/>
      <c r="ZD5" s="980"/>
      <c r="ZE5" s="980"/>
      <c r="ZF5" s="980"/>
      <c r="ZG5" s="980"/>
      <c r="ZH5" s="980"/>
      <c r="ZI5" s="980"/>
      <c r="ZJ5" s="980"/>
      <c r="ZK5" s="980"/>
      <c r="ZL5" s="980"/>
      <c r="ZM5" s="980"/>
      <c r="ZN5" s="980"/>
      <c r="ZO5" s="980"/>
      <c r="ZP5" s="980"/>
      <c r="ZQ5" s="980"/>
      <c r="ZR5" s="980"/>
      <c r="ZS5" s="980"/>
      <c r="ZT5" s="980"/>
      <c r="ZU5" s="980"/>
      <c r="ZV5" s="980"/>
      <c r="ZW5" s="980"/>
      <c r="ZX5" s="980"/>
      <c r="ZY5" s="980"/>
      <c r="ZZ5" s="980"/>
      <c r="AAA5" s="980"/>
      <c r="AAB5" s="980"/>
      <c r="AAC5" s="980"/>
      <c r="AAD5" s="980"/>
      <c r="AAE5" s="980"/>
      <c r="AAF5" s="980"/>
      <c r="AAG5" s="980"/>
      <c r="AAH5" s="980"/>
      <c r="AAI5" s="980"/>
      <c r="AAJ5" s="980"/>
      <c r="AAK5" s="980"/>
      <c r="AAL5" s="980"/>
      <c r="AAM5" s="980"/>
      <c r="AAN5" s="980"/>
      <c r="AAO5" s="980"/>
      <c r="AAP5" s="980"/>
      <c r="AAQ5" s="980"/>
      <c r="AAR5" s="980"/>
      <c r="AAS5" s="980"/>
      <c r="AAT5" s="980"/>
      <c r="AAU5" s="980"/>
      <c r="AAV5" s="980"/>
      <c r="AAW5" s="980"/>
      <c r="AAX5" s="980"/>
      <c r="AAY5" s="980"/>
      <c r="AAZ5" s="980"/>
      <c r="ABA5" s="980"/>
      <c r="ABB5" s="980"/>
      <c r="ABC5" s="980"/>
      <c r="ABD5" s="980"/>
      <c r="ABE5" s="980"/>
      <c r="ABF5" s="980"/>
      <c r="ABG5" s="980"/>
      <c r="ABH5" s="980"/>
      <c r="ABI5" s="980"/>
      <c r="ABJ5" s="980"/>
      <c r="ABK5" s="980"/>
      <c r="ABL5" s="980"/>
      <c r="ABM5" s="980"/>
      <c r="ABN5" s="980"/>
      <c r="ABO5" s="980"/>
      <c r="ABP5" s="980"/>
      <c r="ABQ5" s="980"/>
      <c r="ABR5" s="980"/>
      <c r="ABS5" s="980"/>
      <c r="ABT5" s="980"/>
      <c r="ABU5" s="980"/>
      <c r="ABV5" s="980"/>
      <c r="ABW5" s="980"/>
      <c r="ABX5" s="980"/>
      <c r="ABY5" s="980"/>
      <c r="ABZ5" s="980"/>
      <c r="ACA5" s="980"/>
      <c r="ACB5" s="980"/>
      <c r="ACC5" s="980"/>
      <c r="ACD5" s="980"/>
      <c r="ACE5" s="980"/>
      <c r="ACF5" s="980"/>
      <c r="ACG5" s="980"/>
      <c r="ACH5" s="980"/>
      <c r="ACI5" s="980"/>
      <c r="ACJ5" s="980"/>
      <c r="ACK5" s="980"/>
      <c r="ACL5" s="980"/>
      <c r="ACM5" s="980"/>
      <c r="ACN5" s="980"/>
      <c r="ACO5" s="980"/>
      <c r="ACP5" s="980"/>
      <c r="ACQ5" s="980"/>
      <c r="ACR5" s="980"/>
      <c r="ACS5" s="980"/>
      <c r="ACT5" s="980"/>
      <c r="ACU5" s="980"/>
      <c r="ACV5" s="980"/>
      <c r="ACW5" s="980"/>
      <c r="ACX5" s="980"/>
      <c r="ACY5" s="980"/>
      <c r="ACZ5" s="980"/>
      <c r="ADA5" s="980"/>
      <c r="ADB5" s="980"/>
      <c r="ADC5" s="980"/>
      <c r="ADD5" s="980"/>
      <c r="ADE5" s="980"/>
      <c r="ADF5" s="980"/>
      <c r="ADG5" s="980"/>
      <c r="ADH5" s="980"/>
      <c r="ADI5" s="980"/>
      <c r="ADJ5" s="980"/>
      <c r="ADK5" s="980"/>
      <c r="ADL5" s="980"/>
      <c r="ADM5" s="980"/>
      <c r="ADN5" s="980"/>
      <c r="ADO5" s="980"/>
      <c r="ADP5" s="980"/>
      <c r="ADQ5" s="980"/>
      <c r="ADR5" s="980"/>
      <c r="ADS5" s="980"/>
      <c r="ADT5" s="980"/>
      <c r="ADU5" s="980"/>
      <c r="ADV5" s="980"/>
      <c r="ADW5" s="980"/>
      <c r="ADX5" s="980"/>
      <c r="ADY5" s="980"/>
      <c r="ADZ5" s="980"/>
      <c r="AEA5" s="980"/>
      <c r="AEB5" s="980"/>
      <c r="AEC5" s="980"/>
      <c r="AED5" s="980"/>
      <c r="AEE5" s="980"/>
      <c r="AEF5" s="980"/>
      <c r="AEG5" s="980"/>
      <c r="AEH5" s="980"/>
      <c r="AEI5" s="980"/>
      <c r="AEJ5" s="980"/>
      <c r="AEK5" s="980"/>
      <c r="AEL5" s="980"/>
      <c r="AEM5" s="980"/>
      <c r="AEN5" s="980"/>
      <c r="AEO5" s="980"/>
      <c r="AEP5" s="980"/>
      <c r="AEQ5" s="980"/>
      <c r="AER5" s="980"/>
      <c r="AES5" s="980"/>
      <c r="AET5" s="980"/>
      <c r="AEU5" s="980"/>
      <c r="AEV5" s="980"/>
      <c r="AEW5" s="980"/>
      <c r="AEX5" s="980"/>
      <c r="AEY5" s="980"/>
      <c r="AEZ5" s="980"/>
      <c r="AFA5" s="980"/>
      <c r="AFB5" s="980"/>
      <c r="AFC5" s="980"/>
      <c r="AFD5" s="980"/>
      <c r="AFE5" s="980"/>
      <c r="AFF5" s="980"/>
      <c r="AFG5" s="980"/>
      <c r="AFH5" s="980"/>
      <c r="AFI5" s="980"/>
      <c r="AFJ5" s="980"/>
      <c r="AFK5" s="980"/>
      <c r="AFL5" s="980"/>
      <c r="AFM5" s="980"/>
      <c r="AFN5" s="980"/>
      <c r="AFO5" s="980"/>
      <c r="AFP5" s="980"/>
      <c r="AFQ5" s="980"/>
      <c r="AFR5" s="980"/>
      <c r="AFS5" s="980"/>
      <c r="AFT5" s="980"/>
      <c r="AFU5" s="980"/>
      <c r="AFV5" s="980"/>
      <c r="AFW5" s="980"/>
      <c r="AFX5" s="980"/>
      <c r="AFY5" s="980"/>
      <c r="AFZ5" s="980"/>
      <c r="AGA5" s="980"/>
      <c r="AGB5" s="980"/>
      <c r="AGC5" s="980"/>
      <c r="AGD5" s="980"/>
      <c r="AGE5" s="980"/>
      <c r="AGF5" s="980"/>
      <c r="AGG5" s="980"/>
      <c r="AGH5" s="980"/>
      <c r="AGI5" s="980"/>
      <c r="AGJ5" s="980"/>
      <c r="AGK5" s="980"/>
      <c r="AGL5" s="980"/>
      <c r="AGM5" s="980"/>
      <c r="AGN5" s="980"/>
      <c r="AGO5" s="980"/>
      <c r="AGP5" s="980"/>
      <c r="AGQ5" s="980"/>
      <c r="AGR5" s="980"/>
      <c r="AGS5" s="980"/>
      <c r="AGT5" s="980"/>
      <c r="AGU5" s="980"/>
      <c r="AGV5" s="980"/>
      <c r="AGW5" s="980"/>
      <c r="AGX5" s="980"/>
      <c r="AGY5" s="980"/>
      <c r="AGZ5" s="980"/>
      <c r="AHA5" s="980"/>
      <c r="AHB5" s="980"/>
      <c r="AHC5" s="980"/>
      <c r="AHD5" s="980"/>
      <c r="AHE5" s="980"/>
      <c r="AHF5" s="980"/>
      <c r="AHG5" s="980"/>
      <c r="AHH5" s="980"/>
      <c r="AHI5" s="980"/>
      <c r="AHJ5" s="980"/>
      <c r="AHK5" s="980"/>
      <c r="AHL5" s="980"/>
      <c r="AHM5" s="980"/>
      <c r="AHN5" s="980"/>
      <c r="AHO5" s="980"/>
      <c r="AHP5" s="980"/>
      <c r="AHQ5" s="980"/>
      <c r="AHR5" s="980"/>
      <c r="AHS5" s="980"/>
      <c r="AHT5" s="980"/>
      <c r="AHU5" s="980"/>
      <c r="AHV5" s="980"/>
      <c r="AHW5" s="980"/>
      <c r="AHX5" s="980"/>
      <c r="AHY5" s="980"/>
      <c r="AHZ5" s="980"/>
      <c r="AIA5" s="980"/>
      <c r="AIB5" s="980"/>
      <c r="AIC5" s="980"/>
      <c r="AID5" s="980"/>
      <c r="AIE5" s="980"/>
      <c r="AIF5" s="980"/>
      <c r="AIG5" s="980"/>
      <c r="AIH5" s="980"/>
      <c r="AII5" s="980"/>
      <c r="AIJ5" s="980"/>
      <c r="AIK5" s="980"/>
      <c r="AIL5" s="980"/>
      <c r="AIM5" s="980"/>
      <c r="AIN5" s="980"/>
      <c r="AIO5" s="980"/>
      <c r="AIP5" s="980"/>
      <c r="AIQ5" s="980"/>
      <c r="AIR5" s="980"/>
      <c r="AIS5" s="980"/>
      <c r="AIT5" s="980"/>
      <c r="AIU5" s="980"/>
      <c r="AIV5" s="980"/>
      <c r="AIW5" s="980"/>
      <c r="AIX5" s="980"/>
      <c r="AIY5" s="980"/>
      <c r="AIZ5" s="980"/>
      <c r="AJA5" s="980"/>
      <c r="AJB5" s="980"/>
      <c r="AJC5" s="980"/>
      <c r="AJD5" s="980"/>
      <c r="AJE5" s="980"/>
      <c r="AJF5" s="980"/>
      <c r="AJG5" s="980"/>
      <c r="AJH5" s="980"/>
      <c r="AJI5" s="980"/>
      <c r="AJJ5" s="980"/>
      <c r="AJK5" s="980"/>
      <c r="AJL5" s="980"/>
      <c r="AJM5" s="980"/>
      <c r="AJN5" s="980"/>
      <c r="AJO5" s="980"/>
      <c r="AJP5" s="980"/>
      <c r="AJQ5" s="980"/>
      <c r="AJR5" s="980"/>
      <c r="AJS5" s="980"/>
      <c r="AJT5" s="980"/>
      <c r="AJU5" s="980"/>
      <c r="AJV5" s="980"/>
      <c r="AJW5" s="980"/>
      <c r="AJX5" s="980"/>
      <c r="AJY5" s="980"/>
      <c r="AJZ5" s="980"/>
      <c r="AKA5" s="980"/>
      <c r="AKB5" s="980"/>
      <c r="AKC5" s="980"/>
      <c r="AKD5" s="980"/>
      <c r="AKE5" s="980"/>
      <c r="AKF5" s="980"/>
      <c r="AKG5" s="980"/>
      <c r="AKH5" s="980"/>
      <c r="AKI5" s="980"/>
      <c r="AKJ5" s="980"/>
      <c r="AKK5" s="980"/>
      <c r="AKL5" s="980"/>
      <c r="AKM5" s="980"/>
      <c r="AKN5" s="980"/>
      <c r="AKO5" s="980"/>
      <c r="AKP5" s="980"/>
      <c r="AKQ5" s="980"/>
      <c r="AKR5" s="980"/>
      <c r="AKS5" s="980"/>
      <c r="AKT5" s="980"/>
      <c r="AKU5" s="980"/>
      <c r="AKV5" s="980"/>
      <c r="AKW5" s="980"/>
      <c r="AKX5" s="980"/>
      <c r="AKY5" s="980"/>
      <c r="AKZ5" s="980"/>
      <c r="ALA5" s="980"/>
      <c r="ALB5" s="980"/>
      <c r="ALC5" s="980"/>
      <c r="ALD5" s="980"/>
      <c r="ALE5" s="980"/>
      <c r="ALF5" s="980"/>
      <c r="ALG5" s="980"/>
      <c r="ALH5" s="980"/>
      <c r="ALI5" s="980"/>
      <c r="ALJ5" s="980"/>
      <c r="ALK5" s="980"/>
      <c r="ALL5" s="980"/>
      <c r="ALM5" s="980"/>
      <c r="ALN5" s="980"/>
      <c r="ALO5" s="980"/>
      <c r="ALP5" s="980"/>
      <c r="ALQ5" s="980"/>
      <c r="ALR5" s="980"/>
      <c r="ALS5" s="980"/>
      <c r="ALT5" s="980"/>
      <c r="ALU5" s="980"/>
      <c r="ALV5" s="980"/>
      <c r="ALW5" s="980"/>
      <c r="ALX5" s="980"/>
      <c r="ALY5" s="980"/>
      <c r="ALZ5" s="980"/>
      <c r="AMA5" s="980"/>
      <c r="AMB5" s="980"/>
      <c r="AMC5" s="980"/>
      <c r="AMD5" s="980"/>
      <c r="AME5" s="980"/>
      <c r="AMF5" s="980"/>
      <c r="AMG5" s="980"/>
      <c r="AMH5" s="980"/>
    </row>
    <row r="6" spans="1:1022" ht="15.6">
      <c r="A6" s="984" t="s">
        <v>1514</v>
      </c>
      <c r="B6" s="986" t="s">
        <v>1657</v>
      </c>
      <c r="C6" s="980"/>
      <c r="D6" s="980"/>
      <c r="E6" s="980"/>
      <c r="F6" s="980"/>
      <c r="G6" s="980"/>
      <c r="H6" s="981"/>
      <c r="I6" s="980"/>
      <c r="J6" s="980"/>
      <c r="K6" s="980"/>
      <c r="L6" s="980"/>
      <c r="M6" s="980"/>
      <c r="N6" s="981"/>
      <c r="O6" s="981"/>
      <c r="P6" s="981"/>
      <c r="Q6" s="981"/>
      <c r="R6" s="981"/>
      <c r="S6" s="981"/>
      <c r="T6" s="980"/>
      <c r="U6" s="980"/>
      <c r="V6" s="980"/>
      <c r="W6" s="980"/>
      <c r="X6" s="980"/>
      <c r="Y6" s="980"/>
      <c r="Z6" s="980"/>
      <c r="AA6" s="980"/>
      <c r="AB6" s="980"/>
      <c r="AC6" s="980"/>
      <c r="AD6" s="980"/>
      <c r="AE6" s="980"/>
      <c r="AF6" s="980"/>
      <c r="AG6" s="980"/>
      <c r="AH6" s="980"/>
      <c r="AI6" s="980"/>
      <c r="AJ6" s="980"/>
      <c r="AK6" s="980"/>
      <c r="AL6" s="980"/>
      <c r="AM6" s="980"/>
      <c r="AN6" s="980"/>
      <c r="AO6" s="980"/>
      <c r="AP6" s="980"/>
      <c r="AQ6" s="980"/>
      <c r="AR6" s="980"/>
      <c r="AS6" s="980"/>
      <c r="AT6" s="980"/>
      <c r="AU6" s="980"/>
      <c r="AV6" s="980"/>
      <c r="AW6" s="980"/>
      <c r="AX6" s="980"/>
      <c r="AY6" s="980"/>
      <c r="AZ6" s="980"/>
      <c r="BA6" s="980"/>
      <c r="BB6" s="980"/>
      <c r="BC6" s="980"/>
      <c r="BD6" s="980"/>
      <c r="BE6" s="980"/>
      <c r="BF6" s="980"/>
      <c r="BG6" s="980"/>
      <c r="BH6" s="980"/>
      <c r="BI6" s="980"/>
      <c r="BJ6" s="980"/>
      <c r="BK6" s="980"/>
      <c r="BL6" s="980"/>
      <c r="BM6" s="980"/>
      <c r="BN6" s="980"/>
      <c r="BO6" s="980"/>
      <c r="BP6" s="980"/>
      <c r="BQ6" s="980"/>
      <c r="BR6" s="980"/>
      <c r="BS6" s="980"/>
      <c r="BT6" s="980"/>
      <c r="BU6" s="980"/>
      <c r="BV6" s="980"/>
      <c r="BW6" s="980"/>
      <c r="BX6" s="980"/>
      <c r="BY6" s="980"/>
      <c r="BZ6" s="980"/>
      <c r="CA6" s="980"/>
      <c r="CB6" s="980"/>
      <c r="CC6" s="980"/>
      <c r="CD6" s="980"/>
      <c r="CE6" s="980"/>
      <c r="CF6" s="980"/>
      <c r="CG6" s="980"/>
      <c r="CH6" s="980"/>
      <c r="CI6" s="980"/>
      <c r="CJ6" s="980"/>
      <c r="CK6" s="980"/>
      <c r="CL6" s="980"/>
      <c r="CM6" s="980"/>
      <c r="CN6" s="980"/>
      <c r="CO6" s="980"/>
      <c r="CP6" s="980"/>
      <c r="CQ6" s="980"/>
      <c r="CR6" s="980"/>
      <c r="CS6" s="980"/>
      <c r="CT6" s="980"/>
      <c r="CU6" s="980"/>
      <c r="CV6" s="980"/>
      <c r="CW6" s="980"/>
      <c r="CX6" s="980"/>
      <c r="CY6" s="980"/>
      <c r="CZ6" s="980"/>
      <c r="DA6" s="980"/>
      <c r="DB6" s="980"/>
      <c r="DC6" s="980"/>
      <c r="DD6" s="980"/>
      <c r="DE6" s="980"/>
      <c r="DF6" s="980"/>
      <c r="DG6" s="980"/>
      <c r="DH6" s="980"/>
      <c r="DI6" s="980"/>
      <c r="DJ6" s="980"/>
      <c r="DK6" s="980"/>
      <c r="DL6" s="980"/>
      <c r="DM6" s="980"/>
      <c r="DN6" s="980"/>
      <c r="DO6" s="980"/>
      <c r="DP6" s="980"/>
      <c r="DQ6" s="980"/>
      <c r="DR6" s="980"/>
      <c r="DS6" s="980"/>
      <c r="DT6" s="980"/>
      <c r="DU6" s="980"/>
      <c r="DV6" s="980"/>
      <c r="DW6" s="980"/>
      <c r="DX6" s="980"/>
      <c r="DY6" s="980"/>
      <c r="DZ6" s="980"/>
      <c r="EA6" s="980"/>
      <c r="EB6" s="980"/>
      <c r="EC6" s="980"/>
      <c r="ED6" s="980"/>
      <c r="EE6" s="980"/>
      <c r="EF6" s="980"/>
      <c r="EG6" s="980"/>
      <c r="EH6" s="980"/>
      <c r="EI6" s="980"/>
      <c r="EJ6" s="980"/>
      <c r="EK6" s="980"/>
      <c r="EL6" s="980"/>
      <c r="EM6" s="980"/>
      <c r="EN6" s="980"/>
      <c r="EO6" s="980"/>
      <c r="EP6" s="980"/>
      <c r="EQ6" s="980"/>
      <c r="ER6" s="980"/>
      <c r="ES6" s="980"/>
      <c r="ET6" s="980"/>
      <c r="EU6" s="980"/>
      <c r="EV6" s="980"/>
      <c r="EW6" s="980"/>
      <c r="EX6" s="980"/>
      <c r="EY6" s="980"/>
      <c r="EZ6" s="980"/>
      <c r="FA6" s="980"/>
      <c r="FB6" s="980"/>
      <c r="FC6" s="980"/>
      <c r="FD6" s="980"/>
      <c r="FE6" s="980"/>
      <c r="FF6" s="980"/>
      <c r="FG6" s="980"/>
      <c r="FH6" s="980"/>
      <c r="FI6" s="980"/>
      <c r="FJ6" s="980"/>
      <c r="FK6" s="980"/>
      <c r="FL6" s="980"/>
      <c r="FM6" s="980"/>
      <c r="FN6" s="980"/>
      <c r="FO6" s="980"/>
      <c r="FP6" s="980"/>
      <c r="FQ6" s="980"/>
      <c r="FR6" s="980"/>
      <c r="FS6" s="980"/>
      <c r="FT6" s="980"/>
      <c r="FU6" s="980"/>
      <c r="FV6" s="980"/>
      <c r="FW6" s="980"/>
      <c r="FX6" s="980"/>
      <c r="FY6" s="980"/>
      <c r="FZ6" s="980"/>
      <c r="GA6" s="980"/>
      <c r="GB6" s="980"/>
      <c r="GC6" s="980"/>
      <c r="GD6" s="980"/>
      <c r="GE6" s="980"/>
      <c r="GF6" s="980"/>
      <c r="GG6" s="980"/>
      <c r="GH6" s="980"/>
      <c r="GI6" s="980"/>
      <c r="GJ6" s="980"/>
      <c r="GK6" s="980"/>
      <c r="GL6" s="980"/>
      <c r="GM6" s="980"/>
      <c r="GN6" s="980"/>
      <c r="GO6" s="980"/>
      <c r="GP6" s="980"/>
      <c r="GQ6" s="980"/>
      <c r="GR6" s="980"/>
      <c r="GS6" s="980"/>
      <c r="GT6" s="980"/>
      <c r="GU6" s="980"/>
      <c r="GV6" s="980"/>
      <c r="GW6" s="980"/>
      <c r="GX6" s="980"/>
      <c r="GY6" s="980"/>
      <c r="GZ6" s="980"/>
      <c r="HA6" s="980"/>
      <c r="HB6" s="980"/>
      <c r="HC6" s="980"/>
      <c r="HD6" s="980"/>
      <c r="HE6" s="980"/>
      <c r="HF6" s="980"/>
      <c r="HG6" s="980"/>
      <c r="HH6" s="980"/>
      <c r="HI6" s="980"/>
      <c r="HJ6" s="980"/>
      <c r="HK6" s="980"/>
      <c r="HL6" s="980"/>
      <c r="HM6" s="980"/>
      <c r="HN6" s="980"/>
      <c r="HO6" s="980"/>
      <c r="HP6" s="980"/>
      <c r="HQ6" s="980"/>
      <c r="HR6" s="980"/>
      <c r="HS6" s="980"/>
      <c r="HT6" s="980"/>
      <c r="HU6" s="980"/>
      <c r="HV6" s="980"/>
      <c r="HW6" s="980"/>
      <c r="HX6" s="980"/>
      <c r="HY6" s="980"/>
      <c r="HZ6" s="980"/>
      <c r="IA6" s="980"/>
      <c r="IB6" s="980"/>
      <c r="IC6" s="980"/>
      <c r="ID6" s="980"/>
      <c r="IE6" s="980"/>
      <c r="IF6" s="980"/>
      <c r="IG6" s="980"/>
      <c r="IH6" s="980"/>
      <c r="II6" s="980"/>
      <c r="IJ6" s="980"/>
      <c r="IK6" s="980"/>
      <c r="IL6" s="980"/>
      <c r="IM6" s="980"/>
      <c r="IN6" s="980"/>
      <c r="IO6" s="980"/>
      <c r="IP6" s="980"/>
      <c r="IQ6" s="980"/>
      <c r="IR6" s="980"/>
      <c r="IS6" s="980"/>
      <c r="IT6" s="980"/>
      <c r="IU6" s="980"/>
      <c r="IV6" s="980"/>
      <c r="IW6" s="980"/>
      <c r="IX6" s="980"/>
      <c r="IY6" s="980"/>
      <c r="IZ6" s="980"/>
      <c r="JA6" s="980"/>
      <c r="JB6" s="980"/>
      <c r="JC6" s="980"/>
      <c r="JD6" s="980"/>
      <c r="JE6" s="980"/>
      <c r="JF6" s="980"/>
      <c r="JG6" s="980"/>
      <c r="JH6" s="980"/>
      <c r="JI6" s="980"/>
      <c r="JJ6" s="980"/>
      <c r="JK6" s="980"/>
      <c r="JL6" s="980"/>
      <c r="JM6" s="980"/>
      <c r="JN6" s="980"/>
      <c r="JO6" s="980"/>
      <c r="JP6" s="980"/>
      <c r="JQ6" s="980"/>
      <c r="JR6" s="980"/>
      <c r="JS6" s="980"/>
      <c r="JT6" s="980"/>
      <c r="JU6" s="980"/>
      <c r="JV6" s="980"/>
      <c r="JW6" s="980"/>
      <c r="JX6" s="980"/>
      <c r="JY6" s="980"/>
      <c r="JZ6" s="980"/>
      <c r="KA6" s="980"/>
      <c r="KB6" s="980"/>
      <c r="KC6" s="980"/>
      <c r="KD6" s="980"/>
      <c r="KE6" s="980"/>
      <c r="KF6" s="980"/>
      <c r="KG6" s="980"/>
      <c r="KH6" s="980"/>
      <c r="KI6" s="980"/>
      <c r="KJ6" s="980"/>
      <c r="KK6" s="980"/>
      <c r="KL6" s="980"/>
      <c r="KM6" s="980"/>
      <c r="KN6" s="980"/>
      <c r="KO6" s="980"/>
      <c r="KP6" s="980"/>
      <c r="KQ6" s="980"/>
      <c r="KR6" s="980"/>
      <c r="KS6" s="980"/>
      <c r="KT6" s="980"/>
      <c r="KU6" s="980"/>
      <c r="KV6" s="980"/>
      <c r="KW6" s="980"/>
      <c r="KX6" s="980"/>
      <c r="KY6" s="980"/>
      <c r="KZ6" s="980"/>
      <c r="LA6" s="980"/>
      <c r="LB6" s="980"/>
      <c r="LC6" s="980"/>
      <c r="LD6" s="980"/>
      <c r="LE6" s="980"/>
      <c r="LF6" s="980"/>
      <c r="LG6" s="980"/>
      <c r="LH6" s="980"/>
      <c r="LI6" s="980"/>
      <c r="LJ6" s="980"/>
      <c r="LK6" s="980"/>
      <c r="LL6" s="980"/>
      <c r="LM6" s="980"/>
      <c r="LN6" s="980"/>
      <c r="LO6" s="980"/>
      <c r="LP6" s="980"/>
      <c r="LQ6" s="980"/>
      <c r="LR6" s="980"/>
      <c r="LS6" s="980"/>
      <c r="LT6" s="980"/>
      <c r="LU6" s="980"/>
      <c r="LV6" s="980"/>
      <c r="LW6" s="980"/>
      <c r="LX6" s="980"/>
      <c r="LY6" s="980"/>
      <c r="LZ6" s="980"/>
      <c r="MA6" s="980"/>
      <c r="MB6" s="980"/>
      <c r="MC6" s="980"/>
      <c r="MD6" s="980"/>
      <c r="ME6" s="980"/>
      <c r="MF6" s="980"/>
      <c r="MG6" s="980"/>
      <c r="MH6" s="980"/>
      <c r="MI6" s="980"/>
      <c r="MJ6" s="980"/>
      <c r="MK6" s="980"/>
      <c r="ML6" s="980"/>
      <c r="MM6" s="980"/>
      <c r="MN6" s="980"/>
      <c r="MO6" s="980"/>
      <c r="MP6" s="980"/>
      <c r="MQ6" s="980"/>
      <c r="MR6" s="980"/>
      <c r="MS6" s="980"/>
      <c r="MT6" s="980"/>
      <c r="MU6" s="980"/>
      <c r="MV6" s="980"/>
      <c r="MW6" s="980"/>
      <c r="MX6" s="980"/>
      <c r="MY6" s="980"/>
      <c r="MZ6" s="980"/>
      <c r="NA6" s="980"/>
      <c r="NB6" s="980"/>
      <c r="NC6" s="980"/>
      <c r="ND6" s="980"/>
      <c r="NE6" s="980"/>
      <c r="NF6" s="980"/>
      <c r="NG6" s="980"/>
      <c r="NH6" s="980"/>
      <c r="NI6" s="980"/>
      <c r="NJ6" s="980"/>
      <c r="NK6" s="980"/>
      <c r="NL6" s="980"/>
      <c r="NM6" s="980"/>
      <c r="NN6" s="980"/>
      <c r="NO6" s="980"/>
      <c r="NP6" s="980"/>
      <c r="NQ6" s="980"/>
      <c r="NR6" s="980"/>
      <c r="NS6" s="980"/>
      <c r="NT6" s="980"/>
      <c r="NU6" s="980"/>
      <c r="NV6" s="980"/>
      <c r="NW6" s="980"/>
      <c r="NX6" s="980"/>
      <c r="NY6" s="980"/>
      <c r="NZ6" s="980"/>
      <c r="OA6" s="980"/>
      <c r="OB6" s="980"/>
      <c r="OC6" s="980"/>
      <c r="OD6" s="980"/>
      <c r="OE6" s="980"/>
      <c r="OF6" s="980"/>
      <c r="OG6" s="980"/>
      <c r="OH6" s="980"/>
      <c r="OI6" s="980"/>
      <c r="OJ6" s="980"/>
      <c r="OK6" s="980"/>
      <c r="OL6" s="980"/>
      <c r="OM6" s="980"/>
      <c r="ON6" s="980"/>
      <c r="OO6" s="980"/>
      <c r="OP6" s="980"/>
      <c r="OQ6" s="980"/>
      <c r="OR6" s="980"/>
      <c r="OS6" s="980"/>
      <c r="OT6" s="980"/>
      <c r="OU6" s="980"/>
      <c r="OV6" s="980"/>
      <c r="OW6" s="980"/>
      <c r="OX6" s="980"/>
      <c r="OY6" s="980"/>
      <c r="OZ6" s="980"/>
      <c r="PA6" s="980"/>
      <c r="PB6" s="980"/>
      <c r="PC6" s="980"/>
      <c r="PD6" s="980"/>
      <c r="PE6" s="980"/>
      <c r="PF6" s="980"/>
      <c r="PG6" s="980"/>
      <c r="PH6" s="980"/>
      <c r="PI6" s="980"/>
      <c r="PJ6" s="980"/>
      <c r="PK6" s="980"/>
      <c r="PL6" s="980"/>
      <c r="PM6" s="980"/>
      <c r="PN6" s="980"/>
      <c r="PO6" s="980"/>
      <c r="PP6" s="980"/>
      <c r="PQ6" s="980"/>
      <c r="PR6" s="980"/>
      <c r="PS6" s="980"/>
      <c r="PT6" s="980"/>
      <c r="PU6" s="980"/>
      <c r="PV6" s="980"/>
      <c r="PW6" s="980"/>
      <c r="PX6" s="980"/>
      <c r="PY6" s="980"/>
      <c r="PZ6" s="980"/>
      <c r="QA6" s="980"/>
      <c r="QB6" s="980"/>
      <c r="QC6" s="980"/>
      <c r="QD6" s="980"/>
      <c r="QE6" s="980"/>
      <c r="QF6" s="980"/>
      <c r="QG6" s="980"/>
      <c r="QH6" s="980"/>
      <c r="QI6" s="980"/>
      <c r="QJ6" s="980"/>
      <c r="QK6" s="980"/>
      <c r="QL6" s="980"/>
      <c r="QM6" s="980"/>
      <c r="QN6" s="980"/>
      <c r="QO6" s="980"/>
      <c r="QP6" s="980"/>
      <c r="QQ6" s="980"/>
      <c r="QR6" s="980"/>
      <c r="QS6" s="980"/>
      <c r="QT6" s="980"/>
      <c r="QU6" s="980"/>
      <c r="QV6" s="980"/>
      <c r="QW6" s="980"/>
      <c r="QX6" s="980"/>
      <c r="QY6" s="980"/>
      <c r="QZ6" s="980"/>
      <c r="RA6" s="980"/>
      <c r="RB6" s="980"/>
      <c r="RC6" s="980"/>
      <c r="RD6" s="980"/>
      <c r="RE6" s="980"/>
      <c r="RF6" s="980"/>
      <c r="RG6" s="980"/>
      <c r="RH6" s="980"/>
      <c r="RI6" s="980"/>
      <c r="RJ6" s="980"/>
      <c r="RK6" s="980"/>
      <c r="RL6" s="980"/>
      <c r="RM6" s="980"/>
      <c r="RN6" s="980"/>
      <c r="RO6" s="980"/>
      <c r="RP6" s="980"/>
      <c r="RQ6" s="980"/>
      <c r="RR6" s="980"/>
      <c r="RS6" s="980"/>
      <c r="RT6" s="980"/>
      <c r="RU6" s="980"/>
      <c r="RV6" s="980"/>
      <c r="RW6" s="980"/>
      <c r="RX6" s="980"/>
      <c r="RY6" s="980"/>
      <c r="RZ6" s="980"/>
      <c r="SA6" s="980"/>
      <c r="SB6" s="980"/>
      <c r="SC6" s="980"/>
      <c r="SD6" s="980"/>
      <c r="SE6" s="980"/>
      <c r="SF6" s="980"/>
      <c r="SG6" s="980"/>
      <c r="SH6" s="980"/>
      <c r="SI6" s="980"/>
      <c r="SJ6" s="980"/>
      <c r="SK6" s="980"/>
      <c r="SL6" s="980"/>
      <c r="SM6" s="980"/>
      <c r="SN6" s="980"/>
      <c r="SO6" s="980"/>
      <c r="SP6" s="980"/>
      <c r="SQ6" s="980"/>
      <c r="SR6" s="980"/>
      <c r="SS6" s="980"/>
      <c r="ST6" s="980"/>
      <c r="SU6" s="980"/>
      <c r="SV6" s="980"/>
      <c r="SW6" s="980"/>
      <c r="SX6" s="980"/>
      <c r="SY6" s="980"/>
      <c r="SZ6" s="980"/>
      <c r="TA6" s="980"/>
      <c r="TB6" s="980"/>
      <c r="TC6" s="980"/>
      <c r="TD6" s="980"/>
      <c r="TE6" s="980"/>
      <c r="TF6" s="980"/>
      <c r="TG6" s="980"/>
      <c r="TH6" s="980"/>
      <c r="TI6" s="980"/>
      <c r="TJ6" s="980"/>
      <c r="TK6" s="980"/>
      <c r="TL6" s="980"/>
      <c r="TM6" s="980"/>
      <c r="TN6" s="980"/>
      <c r="TO6" s="980"/>
      <c r="TP6" s="980"/>
      <c r="TQ6" s="980"/>
      <c r="TR6" s="980"/>
      <c r="TS6" s="980"/>
      <c r="TT6" s="980"/>
      <c r="TU6" s="980"/>
      <c r="TV6" s="980"/>
      <c r="TW6" s="980"/>
      <c r="TX6" s="980"/>
      <c r="TY6" s="980"/>
      <c r="TZ6" s="980"/>
      <c r="UA6" s="980"/>
      <c r="UB6" s="980"/>
      <c r="UC6" s="980"/>
      <c r="UD6" s="980"/>
      <c r="UE6" s="980"/>
      <c r="UF6" s="980"/>
      <c r="UG6" s="980"/>
      <c r="UH6" s="980"/>
      <c r="UI6" s="980"/>
      <c r="UJ6" s="980"/>
      <c r="UK6" s="980"/>
      <c r="UL6" s="980"/>
      <c r="UM6" s="980"/>
      <c r="UN6" s="980"/>
      <c r="UO6" s="980"/>
      <c r="UP6" s="980"/>
      <c r="UQ6" s="980"/>
      <c r="UR6" s="980"/>
      <c r="US6" s="980"/>
      <c r="UT6" s="980"/>
      <c r="UU6" s="980"/>
      <c r="UV6" s="980"/>
      <c r="UW6" s="980"/>
      <c r="UX6" s="980"/>
      <c r="UY6" s="980"/>
      <c r="UZ6" s="980"/>
      <c r="VA6" s="980"/>
      <c r="VB6" s="980"/>
      <c r="VC6" s="980"/>
      <c r="VD6" s="980"/>
      <c r="VE6" s="980"/>
      <c r="VF6" s="980"/>
      <c r="VG6" s="980"/>
      <c r="VH6" s="980"/>
      <c r="VI6" s="980"/>
      <c r="VJ6" s="980"/>
      <c r="VK6" s="980"/>
      <c r="VL6" s="980"/>
      <c r="VM6" s="980"/>
      <c r="VN6" s="980"/>
      <c r="VO6" s="980"/>
      <c r="VP6" s="980"/>
      <c r="VQ6" s="980"/>
      <c r="VR6" s="980"/>
      <c r="VS6" s="980"/>
      <c r="VT6" s="980"/>
      <c r="VU6" s="980"/>
      <c r="VV6" s="980"/>
      <c r="VW6" s="980"/>
      <c r="VX6" s="980"/>
      <c r="VY6" s="980"/>
      <c r="VZ6" s="980"/>
      <c r="WA6" s="980"/>
      <c r="WB6" s="980"/>
      <c r="WC6" s="980"/>
      <c r="WD6" s="980"/>
      <c r="WE6" s="980"/>
      <c r="WF6" s="980"/>
      <c r="WG6" s="980"/>
      <c r="WH6" s="980"/>
      <c r="WI6" s="980"/>
      <c r="WJ6" s="980"/>
      <c r="WK6" s="980"/>
      <c r="WL6" s="980"/>
      <c r="WM6" s="980"/>
      <c r="WN6" s="980"/>
      <c r="WO6" s="980"/>
      <c r="WP6" s="980"/>
      <c r="WQ6" s="980"/>
      <c r="WR6" s="980"/>
      <c r="WS6" s="980"/>
      <c r="WT6" s="980"/>
      <c r="WU6" s="980"/>
      <c r="WV6" s="980"/>
      <c r="WW6" s="980"/>
      <c r="WX6" s="980"/>
      <c r="WY6" s="980"/>
      <c r="WZ6" s="980"/>
      <c r="XA6" s="980"/>
      <c r="XB6" s="980"/>
      <c r="XC6" s="980"/>
      <c r="XD6" s="980"/>
      <c r="XE6" s="980"/>
      <c r="XF6" s="980"/>
      <c r="XG6" s="980"/>
      <c r="XH6" s="980"/>
      <c r="XI6" s="980"/>
      <c r="XJ6" s="980"/>
      <c r="XK6" s="980"/>
      <c r="XL6" s="980"/>
      <c r="XM6" s="980"/>
      <c r="XN6" s="980"/>
      <c r="XO6" s="980"/>
      <c r="XP6" s="980"/>
      <c r="XQ6" s="980"/>
      <c r="XR6" s="980"/>
      <c r="XS6" s="980"/>
      <c r="XT6" s="980"/>
      <c r="XU6" s="980"/>
      <c r="XV6" s="980"/>
      <c r="XW6" s="980"/>
      <c r="XX6" s="980"/>
      <c r="XY6" s="980"/>
      <c r="XZ6" s="980"/>
      <c r="YA6" s="980"/>
      <c r="YB6" s="980"/>
      <c r="YC6" s="980"/>
      <c r="YD6" s="980"/>
      <c r="YE6" s="980"/>
      <c r="YF6" s="980"/>
      <c r="YG6" s="980"/>
      <c r="YH6" s="980"/>
      <c r="YI6" s="980"/>
      <c r="YJ6" s="980"/>
      <c r="YK6" s="980"/>
      <c r="YL6" s="980"/>
      <c r="YM6" s="980"/>
      <c r="YN6" s="980"/>
      <c r="YO6" s="980"/>
      <c r="YP6" s="980"/>
      <c r="YQ6" s="980"/>
      <c r="YR6" s="980"/>
      <c r="YS6" s="980"/>
      <c r="YT6" s="980"/>
      <c r="YU6" s="980"/>
      <c r="YV6" s="980"/>
      <c r="YW6" s="980"/>
      <c r="YX6" s="980"/>
      <c r="YY6" s="980"/>
      <c r="YZ6" s="980"/>
      <c r="ZA6" s="980"/>
      <c r="ZB6" s="980"/>
      <c r="ZC6" s="980"/>
      <c r="ZD6" s="980"/>
      <c r="ZE6" s="980"/>
      <c r="ZF6" s="980"/>
      <c r="ZG6" s="980"/>
      <c r="ZH6" s="980"/>
      <c r="ZI6" s="980"/>
      <c r="ZJ6" s="980"/>
      <c r="ZK6" s="980"/>
      <c r="ZL6" s="980"/>
      <c r="ZM6" s="980"/>
      <c r="ZN6" s="980"/>
      <c r="ZO6" s="980"/>
      <c r="ZP6" s="980"/>
      <c r="ZQ6" s="980"/>
      <c r="ZR6" s="980"/>
      <c r="ZS6" s="980"/>
      <c r="ZT6" s="980"/>
      <c r="ZU6" s="980"/>
      <c r="ZV6" s="980"/>
      <c r="ZW6" s="980"/>
      <c r="ZX6" s="980"/>
      <c r="ZY6" s="980"/>
      <c r="ZZ6" s="980"/>
      <c r="AAA6" s="980"/>
      <c r="AAB6" s="980"/>
      <c r="AAC6" s="980"/>
      <c r="AAD6" s="980"/>
      <c r="AAE6" s="980"/>
      <c r="AAF6" s="980"/>
      <c r="AAG6" s="980"/>
      <c r="AAH6" s="980"/>
      <c r="AAI6" s="980"/>
      <c r="AAJ6" s="980"/>
      <c r="AAK6" s="980"/>
      <c r="AAL6" s="980"/>
      <c r="AAM6" s="980"/>
      <c r="AAN6" s="980"/>
      <c r="AAO6" s="980"/>
      <c r="AAP6" s="980"/>
      <c r="AAQ6" s="980"/>
      <c r="AAR6" s="980"/>
      <c r="AAS6" s="980"/>
      <c r="AAT6" s="980"/>
      <c r="AAU6" s="980"/>
      <c r="AAV6" s="980"/>
      <c r="AAW6" s="980"/>
      <c r="AAX6" s="980"/>
      <c r="AAY6" s="980"/>
      <c r="AAZ6" s="980"/>
      <c r="ABA6" s="980"/>
      <c r="ABB6" s="980"/>
      <c r="ABC6" s="980"/>
      <c r="ABD6" s="980"/>
      <c r="ABE6" s="980"/>
      <c r="ABF6" s="980"/>
      <c r="ABG6" s="980"/>
      <c r="ABH6" s="980"/>
      <c r="ABI6" s="980"/>
      <c r="ABJ6" s="980"/>
      <c r="ABK6" s="980"/>
      <c r="ABL6" s="980"/>
      <c r="ABM6" s="980"/>
      <c r="ABN6" s="980"/>
      <c r="ABO6" s="980"/>
      <c r="ABP6" s="980"/>
      <c r="ABQ6" s="980"/>
      <c r="ABR6" s="980"/>
      <c r="ABS6" s="980"/>
      <c r="ABT6" s="980"/>
      <c r="ABU6" s="980"/>
      <c r="ABV6" s="980"/>
      <c r="ABW6" s="980"/>
      <c r="ABX6" s="980"/>
      <c r="ABY6" s="980"/>
      <c r="ABZ6" s="980"/>
      <c r="ACA6" s="980"/>
      <c r="ACB6" s="980"/>
      <c r="ACC6" s="980"/>
      <c r="ACD6" s="980"/>
      <c r="ACE6" s="980"/>
      <c r="ACF6" s="980"/>
      <c r="ACG6" s="980"/>
      <c r="ACH6" s="980"/>
      <c r="ACI6" s="980"/>
      <c r="ACJ6" s="980"/>
      <c r="ACK6" s="980"/>
      <c r="ACL6" s="980"/>
      <c r="ACM6" s="980"/>
      <c r="ACN6" s="980"/>
      <c r="ACO6" s="980"/>
      <c r="ACP6" s="980"/>
      <c r="ACQ6" s="980"/>
      <c r="ACR6" s="980"/>
      <c r="ACS6" s="980"/>
      <c r="ACT6" s="980"/>
      <c r="ACU6" s="980"/>
      <c r="ACV6" s="980"/>
      <c r="ACW6" s="980"/>
      <c r="ACX6" s="980"/>
      <c r="ACY6" s="980"/>
      <c r="ACZ6" s="980"/>
      <c r="ADA6" s="980"/>
      <c r="ADB6" s="980"/>
      <c r="ADC6" s="980"/>
      <c r="ADD6" s="980"/>
      <c r="ADE6" s="980"/>
      <c r="ADF6" s="980"/>
      <c r="ADG6" s="980"/>
      <c r="ADH6" s="980"/>
      <c r="ADI6" s="980"/>
      <c r="ADJ6" s="980"/>
      <c r="ADK6" s="980"/>
      <c r="ADL6" s="980"/>
      <c r="ADM6" s="980"/>
      <c r="ADN6" s="980"/>
      <c r="ADO6" s="980"/>
      <c r="ADP6" s="980"/>
      <c r="ADQ6" s="980"/>
      <c r="ADR6" s="980"/>
      <c r="ADS6" s="980"/>
      <c r="ADT6" s="980"/>
      <c r="ADU6" s="980"/>
      <c r="ADV6" s="980"/>
      <c r="ADW6" s="980"/>
      <c r="ADX6" s="980"/>
      <c r="ADY6" s="980"/>
      <c r="ADZ6" s="980"/>
      <c r="AEA6" s="980"/>
      <c r="AEB6" s="980"/>
      <c r="AEC6" s="980"/>
      <c r="AED6" s="980"/>
      <c r="AEE6" s="980"/>
      <c r="AEF6" s="980"/>
      <c r="AEG6" s="980"/>
      <c r="AEH6" s="980"/>
      <c r="AEI6" s="980"/>
      <c r="AEJ6" s="980"/>
      <c r="AEK6" s="980"/>
      <c r="AEL6" s="980"/>
      <c r="AEM6" s="980"/>
      <c r="AEN6" s="980"/>
      <c r="AEO6" s="980"/>
      <c r="AEP6" s="980"/>
      <c r="AEQ6" s="980"/>
      <c r="AER6" s="980"/>
      <c r="AES6" s="980"/>
      <c r="AET6" s="980"/>
      <c r="AEU6" s="980"/>
      <c r="AEV6" s="980"/>
      <c r="AEW6" s="980"/>
      <c r="AEX6" s="980"/>
      <c r="AEY6" s="980"/>
      <c r="AEZ6" s="980"/>
      <c r="AFA6" s="980"/>
      <c r="AFB6" s="980"/>
      <c r="AFC6" s="980"/>
      <c r="AFD6" s="980"/>
      <c r="AFE6" s="980"/>
      <c r="AFF6" s="980"/>
      <c r="AFG6" s="980"/>
      <c r="AFH6" s="980"/>
      <c r="AFI6" s="980"/>
      <c r="AFJ6" s="980"/>
      <c r="AFK6" s="980"/>
      <c r="AFL6" s="980"/>
      <c r="AFM6" s="980"/>
      <c r="AFN6" s="980"/>
      <c r="AFO6" s="980"/>
      <c r="AFP6" s="980"/>
      <c r="AFQ6" s="980"/>
      <c r="AFR6" s="980"/>
      <c r="AFS6" s="980"/>
      <c r="AFT6" s="980"/>
      <c r="AFU6" s="980"/>
      <c r="AFV6" s="980"/>
      <c r="AFW6" s="980"/>
      <c r="AFX6" s="980"/>
      <c r="AFY6" s="980"/>
      <c r="AFZ6" s="980"/>
      <c r="AGA6" s="980"/>
      <c r="AGB6" s="980"/>
      <c r="AGC6" s="980"/>
      <c r="AGD6" s="980"/>
      <c r="AGE6" s="980"/>
      <c r="AGF6" s="980"/>
      <c r="AGG6" s="980"/>
      <c r="AGH6" s="980"/>
      <c r="AGI6" s="980"/>
      <c r="AGJ6" s="980"/>
      <c r="AGK6" s="980"/>
      <c r="AGL6" s="980"/>
      <c r="AGM6" s="980"/>
      <c r="AGN6" s="980"/>
      <c r="AGO6" s="980"/>
      <c r="AGP6" s="980"/>
      <c r="AGQ6" s="980"/>
      <c r="AGR6" s="980"/>
      <c r="AGS6" s="980"/>
      <c r="AGT6" s="980"/>
      <c r="AGU6" s="980"/>
      <c r="AGV6" s="980"/>
      <c r="AGW6" s="980"/>
      <c r="AGX6" s="980"/>
      <c r="AGY6" s="980"/>
      <c r="AGZ6" s="980"/>
      <c r="AHA6" s="980"/>
      <c r="AHB6" s="980"/>
      <c r="AHC6" s="980"/>
      <c r="AHD6" s="980"/>
      <c r="AHE6" s="980"/>
      <c r="AHF6" s="980"/>
      <c r="AHG6" s="980"/>
      <c r="AHH6" s="980"/>
      <c r="AHI6" s="980"/>
      <c r="AHJ6" s="980"/>
      <c r="AHK6" s="980"/>
      <c r="AHL6" s="980"/>
      <c r="AHM6" s="980"/>
      <c r="AHN6" s="980"/>
      <c r="AHO6" s="980"/>
      <c r="AHP6" s="980"/>
      <c r="AHQ6" s="980"/>
      <c r="AHR6" s="980"/>
      <c r="AHS6" s="980"/>
      <c r="AHT6" s="980"/>
      <c r="AHU6" s="980"/>
      <c r="AHV6" s="980"/>
      <c r="AHW6" s="980"/>
      <c r="AHX6" s="980"/>
      <c r="AHY6" s="980"/>
      <c r="AHZ6" s="980"/>
      <c r="AIA6" s="980"/>
      <c r="AIB6" s="980"/>
      <c r="AIC6" s="980"/>
      <c r="AID6" s="980"/>
      <c r="AIE6" s="980"/>
      <c r="AIF6" s="980"/>
      <c r="AIG6" s="980"/>
      <c r="AIH6" s="980"/>
      <c r="AII6" s="980"/>
      <c r="AIJ6" s="980"/>
      <c r="AIK6" s="980"/>
      <c r="AIL6" s="980"/>
      <c r="AIM6" s="980"/>
      <c r="AIN6" s="980"/>
      <c r="AIO6" s="980"/>
      <c r="AIP6" s="980"/>
      <c r="AIQ6" s="980"/>
      <c r="AIR6" s="980"/>
      <c r="AIS6" s="980"/>
      <c r="AIT6" s="980"/>
      <c r="AIU6" s="980"/>
      <c r="AIV6" s="980"/>
      <c r="AIW6" s="980"/>
      <c r="AIX6" s="980"/>
      <c r="AIY6" s="980"/>
      <c r="AIZ6" s="980"/>
      <c r="AJA6" s="980"/>
      <c r="AJB6" s="980"/>
      <c r="AJC6" s="980"/>
      <c r="AJD6" s="980"/>
      <c r="AJE6" s="980"/>
      <c r="AJF6" s="980"/>
      <c r="AJG6" s="980"/>
      <c r="AJH6" s="980"/>
      <c r="AJI6" s="980"/>
      <c r="AJJ6" s="980"/>
      <c r="AJK6" s="980"/>
      <c r="AJL6" s="980"/>
      <c r="AJM6" s="980"/>
      <c r="AJN6" s="980"/>
      <c r="AJO6" s="980"/>
      <c r="AJP6" s="980"/>
      <c r="AJQ6" s="980"/>
      <c r="AJR6" s="980"/>
      <c r="AJS6" s="980"/>
      <c r="AJT6" s="980"/>
      <c r="AJU6" s="980"/>
      <c r="AJV6" s="980"/>
      <c r="AJW6" s="980"/>
      <c r="AJX6" s="980"/>
      <c r="AJY6" s="980"/>
      <c r="AJZ6" s="980"/>
      <c r="AKA6" s="980"/>
      <c r="AKB6" s="980"/>
      <c r="AKC6" s="980"/>
      <c r="AKD6" s="980"/>
      <c r="AKE6" s="980"/>
      <c r="AKF6" s="980"/>
      <c r="AKG6" s="980"/>
      <c r="AKH6" s="980"/>
      <c r="AKI6" s="980"/>
      <c r="AKJ6" s="980"/>
      <c r="AKK6" s="980"/>
      <c r="AKL6" s="980"/>
      <c r="AKM6" s="980"/>
      <c r="AKN6" s="980"/>
      <c r="AKO6" s="980"/>
      <c r="AKP6" s="980"/>
      <c r="AKQ6" s="980"/>
      <c r="AKR6" s="980"/>
      <c r="AKS6" s="980"/>
      <c r="AKT6" s="980"/>
      <c r="AKU6" s="980"/>
      <c r="AKV6" s="980"/>
      <c r="AKW6" s="980"/>
      <c r="AKX6" s="980"/>
      <c r="AKY6" s="980"/>
      <c r="AKZ6" s="980"/>
      <c r="ALA6" s="980"/>
      <c r="ALB6" s="980"/>
      <c r="ALC6" s="980"/>
      <c r="ALD6" s="980"/>
      <c r="ALE6" s="980"/>
      <c r="ALF6" s="980"/>
      <c r="ALG6" s="980"/>
      <c r="ALH6" s="980"/>
      <c r="ALI6" s="980"/>
      <c r="ALJ6" s="980"/>
      <c r="ALK6" s="980"/>
      <c r="ALL6" s="980"/>
      <c r="ALM6" s="980"/>
      <c r="ALN6" s="980"/>
      <c r="ALO6" s="980"/>
      <c r="ALP6" s="980"/>
      <c r="ALQ6" s="980"/>
      <c r="ALR6" s="980"/>
      <c r="ALS6" s="980"/>
      <c r="ALT6" s="980"/>
      <c r="ALU6" s="980"/>
      <c r="ALV6" s="980"/>
      <c r="ALW6" s="980"/>
      <c r="ALX6" s="980"/>
      <c r="ALY6" s="980"/>
      <c r="ALZ6" s="980"/>
      <c r="AMA6" s="980"/>
      <c r="AMB6" s="980"/>
      <c r="AMC6" s="980"/>
      <c r="AMD6" s="980"/>
      <c r="AME6" s="980"/>
      <c r="AMF6" s="980"/>
      <c r="AMG6" s="980"/>
      <c r="AMH6" s="980"/>
    </row>
    <row r="7" spans="1:1022" ht="15.6">
      <c r="A7" s="984" t="s">
        <v>1515</v>
      </c>
      <c r="B7" s="985" t="s">
        <v>1046</v>
      </c>
      <c r="C7" s="980"/>
      <c r="D7" s="980"/>
      <c r="E7" s="980"/>
      <c r="F7" s="980"/>
      <c r="G7" s="980"/>
      <c r="H7" s="981"/>
      <c r="I7" s="980"/>
      <c r="J7" s="980"/>
      <c r="K7" s="980"/>
      <c r="L7" s="980"/>
      <c r="M7" s="980"/>
      <c r="N7" s="981"/>
      <c r="O7" s="981"/>
      <c r="P7" s="981"/>
      <c r="Q7" s="981"/>
      <c r="R7" s="980"/>
      <c r="S7" s="981"/>
      <c r="T7" s="980"/>
      <c r="U7" s="980"/>
      <c r="V7" s="980"/>
      <c r="W7" s="980"/>
      <c r="X7" s="980"/>
      <c r="Y7" s="980"/>
      <c r="Z7" s="980"/>
      <c r="AA7" s="980"/>
      <c r="AB7" s="980"/>
      <c r="AC7" s="980"/>
      <c r="AD7" s="980"/>
      <c r="AE7" s="980"/>
      <c r="AF7" s="980"/>
      <c r="AG7" s="980"/>
      <c r="AH7" s="980"/>
      <c r="AI7" s="980"/>
      <c r="AJ7" s="980"/>
      <c r="AK7" s="980"/>
      <c r="AL7" s="980"/>
      <c r="AM7" s="980"/>
      <c r="AN7" s="980"/>
      <c r="AO7" s="980"/>
      <c r="AP7" s="980"/>
      <c r="AQ7" s="980"/>
      <c r="AR7" s="980"/>
      <c r="AS7" s="980"/>
      <c r="AT7" s="980"/>
      <c r="AU7" s="980"/>
      <c r="AV7" s="980"/>
      <c r="AW7" s="980"/>
      <c r="AX7" s="980"/>
      <c r="AY7" s="980"/>
      <c r="AZ7" s="980"/>
      <c r="BA7" s="980"/>
      <c r="BB7" s="980"/>
      <c r="BC7" s="980"/>
      <c r="BD7" s="980"/>
      <c r="BE7" s="980"/>
      <c r="BF7" s="980"/>
      <c r="BG7" s="980"/>
      <c r="BH7" s="980"/>
      <c r="BI7" s="980"/>
      <c r="BJ7" s="980"/>
      <c r="BK7" s="980"/>
      <c r="BL7" s="980"/>
      <c r="BM7" s="980"/>
      <c r="BN7" s="980"/>
      <c r="BO7" s="980"/>
      <c r="BP7" s="980"/>
      <c r="BQ7" s="980"/>
      <c r="BR7" s="980"/>
      <c r="BS7" s="980"/>
      <c r="BT7" s="980"/>
      <c r="BU7" s="980"/>
      <c r="BV7" s="980"/>
      <c r="BW7" s="980"/>
      <c r="BX7" s="980"/>
      <c r="BY7" s="980"/>
      <c r="BZ7" s="980"/>
      <c r="CA7" s="980"/>
      <c r="CB7" s="980"/>
      <c r="CC7" s="980"/>
      <c r="CD7" s="980"/>
      <c r="CE7" s="980"/>
      <c r="CF7" s="980"/>
      <c r="CG7" s="980"/>
      <c r="CH7" s="980"/>
      <c r="CI7" s="980"/>
      <c r="CJ7" s="980"/>
      <c r="CK7" s="980"/>
      <c r="CL7" s="980"/>
      <c r="CM7" s="980"/>
      <c r="CN7" s="980"/>
      <c r="CO7" s="980"/>
      <c r="CP7" s="980"/>
      <c r="CQ7" s="980"/>
      <c r="CR7" s="980"/>
      <c r="CS7" s="980"/>
      <c r="CT7" s="980"/>
      <c r="CU7" s="980"/>
      <c r="CV7" s="980"/>
      <c r="CW7" s="980"/>
      <c r="CX7" s="980"/>
      <c r="CY7" s="980"/>
      <c r="CZ7" s="980"/>
      <c r="DA7" s="980"/>
      <c r="DB7" s="980"/>
      <c r="DC7" s="980"/>
      <c r="DD7" s="980"/>
      <c r="DE7" s="980"/>
      <c r="DF7" s="980"/>
      <c r="DG7" s="980"/>
      <c r="DH7" s="980"/>
      <c r="DI7" s="980"/>
      <c r="DJ7" s="980"/>
      <c r="DK7" s="980"/>
      <c r="DL7" s="980"/>
      <c r="DM7" s="980"/>
      <c r="DN7" s="980"/>
      <c r="DO7" s="980"/>
      <c r="DP7" s="980"/>
      <c r="DQ7" s="980"/>
      <c r="DR7" s="980"/>
      <c r="DS7" s="980"/>
      <c r="DT7" s="980"/>
      <c r="DU7" s="980"/>
      <c r="DV7" s="980"/>
      <c r="DW7" s="980"/>
      <c r="DX7" s="980"/>
      <c r="DY7" s="980"/>
      <c r="DZ7" s="980"/>
      <c r="EA7" s="980"/>
      <c r="EB7" s="980"/>
      <c r="EC7" s="980"/>
      <c r="ED7" s="980"/>
      <c r="EE7" s="980"/>
      <c r="EF7" s="980"/>
      <c r="EG7" s="980"/>
      <c r="EH7" s="980"/>
      <c r="EI7" s="980"/>
      <c r="EJ7" s="980"/>
      <c r="EK7" s="980"/>
      <c r="EL7" s="980"/>
      <c r="EM7" s="980"/>
      <c r="EN7" s="980"/>
      <c r="EO7" s="980"/>
      <c r="EP7" s="980"/>
      <c r="EQ7" s="980"/>
      <c r="ER7" s="980"/>
      <c r="ES7" s="980"/>
      <c r="ET7" s="980"/>
      <c r="EU7" s="980"/>
      <c r="EV7" s="980"/>
      <c r="EW7" s="980"/>
      <c r="EX7" s="980"/>
      <c r="EY7" s="980"/>
      <c r="EZ7" s="980"/>
      <c r="FA7" s="980"/>
      <c r="FB7" s="980"/>
      <c r="FC7" s="980"/>
      <c r="FD7" s="980"/>
      <c r="FE7" s="980"/>
      <c r="FF7" s="980"/>
      <c r="FG7" s="980"/>
      <c r="FH7" s="980"/>
      <c r="FI7" s="980"/>
      <c r="FJ7" s="980"/>
      <c r="FK7" s="980"/>
      <c r="FL7" s="980"/>
      <c r="FM7" s="980"/>
      <c r="FN7" s="980"/>
      <c r="FO7" s="980"/>
      <c r="FP7" s="980"/>
      <c r="FQ7" s="980"/>
      <c r="FR7" s="980"/>
      <c r="FS7" s="980"/>
      <c r="FT7" s="980"/>
      <c r="FU7" s="980"/>
      <c r="FV7" s="980"/>
      <c r="FW7" s="980"/>
      <c r="FX7" s="980"/>
      <c r="FY7" s="980"/>
      <c r="FZ7" s="980"/>
      <c r="GA7" s="980"/>
      <c r="GB7" s="980"/>
      <c r="GC7" s="980"/>
      <c r="GD7" s="980"/>
      <c r="GE7" s="980"/>
      <c r="GF7" s="980"/>
      <c r="GG7" s="980"/>
      <c r="GH7" s="980"/>
      <c r="GI7" s="980"/>
      <c r="GJ7" s="980"/>
      <c r="GK7" s="980"/>
      <c r="GL7" s="980"/>
      <c r="GM7" s="980"/>
      <c r="GN7" s="980"/>
      <c r="GO7" s="980"/>
      <c r="GP7" s="980"/>
      <c r="GQ7" s="980"/>
      <c r="GR7" s="980"/>
      <c r="GS7" s="980"/>
      <c r="GT7" s="980"/>
      <c r="GU7" s="980"/>
      <c r="GV7" s="980"/>
      <c r="GW7" s="980"/>
      <c r="GX7" s="980"/>
      <c r="GY7" s="980"/>
      <c r="GZ7" s="980"/>
      <c r="HA7" s="980"/>
      <c r="HB7" s="980"/>
      <c r="HC7" s="980"/>
      <c r="HD7" s="980"/>
      <c r="HE7" s="980"/>
      <c r="HF7" s="980"/>
      <c r="HG7" s="980"/>
      <c r="HH7" s="980"/>
      <c r="HI7" s="980"/>
      <c r="HJ7" s="980"/>
      <c r="HK7" s="980"/>
      <c r="HL7" s="980"/>
      <c r="HM7" s="980"/>
      <c r="HN7" s="980"/>
      <c r="HO7" s="980"/>
      <c r="HP7" s="980"/>
      <c r="HQ7" s="980"/>
      <c r="HR7" s="980"/>
      <c r="HS7" s="980"/>
      <c r="HT7" s="980"/>
      <c r="HU7" s="980"/>
      <c r="HV7" s="980"/>
      <c r="HW7" s="980"/>
      <c r="HX7" s="980"/>
      <c r="HY7" s="980"/>
      <c r="HZ7" s="980"/>
      <c r="IA7" s="980"/>
      <c r="IB7" s="980"/>
      <c r="IC7" s="980"/>
      <c r="ID7" s="980"/>
      <c r="IE7" s="980"/>
      <c r="IF7" s="980"/>
      <c r="IG7" s="980"/>
      <c r="IH7" s="980"/>
      <c r="II7" s="980"/>
      <c r="IJ7" s="980"/>
      <c r="IK7" s="980"/>
      <c r="IL7" s="980"/>
      <c r="IM7" s="980"/>
      <c r="IN7" s="980"/>
      <c r="IO7" s="980"/>
      <c r="IP7" s="980"/>
      <c r="IQ7" s="980"/>
      <c r="IR7" s="980"/>
      <c r="IS7" s="980"/>
      <c r="IT7" s="980"/>
      <c r="IU7" s="980"/>
      <c r="IV7" s="980"/>
      <c r="IW7" s="980"/>
      <c r="IX7" s="980"/>
      <c r="IY7" s="980"/>
      <c r="IZ7" s="980"/>
      <c r="JA7" s="980"/>
      <c r="JB7" s="980"/>
      <c r="JC7" s="980"/>
      <c r="JD7" s="980"/>
      <c r="JE7" s="980"/>
      <c r="JF7" s="980"/>
      <c r="JG7" s="980"/>
      <c r="JH7" s="980"/>
      <c r="JI7" s="980"/>
      <c r="JJ7" s="980"/>
      <c r="JK7" s="980"/>
      <c r="JL7" s="980"/>
      <c r="JM7" s="980"/>
      <c r="JN7" s="980"/>
      <c r="JO7" s="980"/>
      <c r="JP7" s="980"/>
      <c r="JQ7" s="980"/>
      <c r="JR7" s="980"/>
      <c r="JS7" s="980"/>
      <c r="JT7" s="980"/>
      <c r="JU7" s="980"/>
      <c r="JV7" s="980"/>
      <c r="JW7" s="980"/>
      <c r="JX7" s="980"/>
      <c r="JY7" s="980"/>
      <c r="JZ7" s="980"/>
      <c r="KA7" s="980"/>
      <c r="KB7" s="980"/>
      <c r="KC7" s="980"/>
      <c r="KD7" s="980"/>
      <c r="KE7" s="980"/>
      <c r="KF7" s="980"/>
      <c r="KG7" s="980"/>
      <c r="KH7" s="980"/>
      <c r="KI7" s="980"/>
      <c r="KJ7" s="980"/>
      <c r="KK7" s="980"/>
      <c r="KL7" s="980"/>
      <c r="KM7" s="980"/>
      <c r="KN7" s="980"/>
      <c r="KO7" s="980"/>
      <c r="KP7" s="980"/>
      <c r="KQ7" s="980"/>
      <c r="KR7" s="980"/>
      <c r="KS7" s="980"/>
      <c r="KT7" s="980"/>
      <c r="KU7" s="980"/>
      <c r="KV7" s="980"/>
      <c r="KW7" s="980"/>
      <c r="KX7" s="980"/>
      <c r="KY7" s="980"/>
      <c r="KZ7" s="980"/>
      <c r="LA7" s="980"/>
      <c r="LB7" s="980"/>
      <c r="LC7" s="980"/>
      <c r="LD7" s="980"/>
      <c r="LE7" s="980"/>
      <c r="LF7" s="980"/>
      <c r="LG7" s="980"/>
      <c r="LH7" s="980"/>
      <c r="LI7" s="980"/>
      <c r="LJ7" s="980"/>
      <c r="LK7" s="980"/>
      <c r="LL7" s="980"/>
      <c r="LM7" s="980"/>
      <c r="LN7" s="980"/>
      <c r="LO7" s="980"/>
      <c r="LP7" s="980"/>
      <c r="LQ7" s="980"/>
      <c r="LR7" s="980"/>
      <c r="LS7" s="980"/>
      <c r="LT7" s="980"/>
      <c r="LU7" s="980"/>
      <c r="LV7" s="980"/>
      <c r="LW7" s="980"/>
      <c r="LX7" s="980"/>
      <c r="LY7" s="980"/>
      <c r="LZ7" s="980"/>
      <c r="MA7" s="980"/>
      <c r="MB7" s="980"/>
      <c r="MC7" s="980"/>
      <c r="MD7" s="980"/>
      <c r="ME7" s="980"/>
      <c r="MF7" s="980"/>
      <c r="MG7" s="980"/>
      <c r="MH7" s="980"/>
      <c r="MI7" s="980"/>
      <c r="MJ7" s="980"/>
      <c r="MK7" s="980"/>
      <c r="ML7" s="980"/>
      <c r="MM7" s="980"/>
      <c r="MN7" s="980"/>
      <c r="MO7" s="980"/>
      <c r="MP7" s="980"/>
      <c r="MQ7" s="980"/>
      <c r="MR7" s="980"/>
      <c r="MS7" s="980"/>
      <c r="MT7" s="980"/>
      <c r="MU7" s="980"/>
      <c r="MV7" s="980"/>
      <c r="MW7" s="980"/>
      <c r="MX7" s="980"/>
      <c r="MY7" s="980"/>
      <c r="MZ7" s="980"/>
      <c r="NA7" s="980"/>
      <c r="NB7" s="980"/>
      <c r="NC7" s="980"/>
      <c r="ND7" s="980"/>
      <c r="NE7" s="980"/>
      <c r="NF7" s="980"/>
      <c r="NG7" s="980"/>
      <c r="NH7" s="980"/>
      <c r="NI7" s="980"/>
      <c r="NJ7" s="980"/>
      <c r="NK7" s="980"/>
      <c r="NL7" s="980"/>
      <c r="NM7" s="980"/>
      <c r="NN7" s="980"/>
      <c r="NO7" s="980"/>
      <c r="NP7" s="980"/>
      <c r="NQ7" s="980"/>
      <c r="NR7" s="980"/>
      <c r="NS7" s="980"/>
      <c r="NT7" s="980"/>
      <c r="NU7" s="980"/>
      <c r="NV7" s="980"/>
      <c r="NW7" s="980"/>
      <c r="NX7" s="980"/>
      <c r="NY7" s="980"/>
      <c r="NZ7" s="980"/>
      <c r="OA7" s="980"/>
      <c r="OB7" s="980"/>
      <c r="OC7" s="980"/>
      <c r="OD7" s="980"/>
      <c r="OE7" s="980"/>
      <c r="OF7" s="980"/>
      <c r="OG7" s="980"/>
      <c r="OH7" s="980"/>
      <c r="OI7" s="980"/>
      <c r="OJ7" s="980"/>
      <c r="OK7" s="980"/>
      <c r="OL7" s="980"/>
      <c r="OM7" s="980"/>
      <c r="ON7" s="980"/>
      <c r="OO7" s="980"/>
      <c r="OP7" s="980"/>
      <c r="OQ7" s="980"/>
      <c r="OR7" s="980"/>
      <c r="OS7" s="980"/>
      <c r="OT7" s="980"/>
      <c r="OU7" s="980"/>
      <c r="OV7" s="980"/>
      <c r="OW7" s="980"/>
      <c r="OX7" s="980"/>
      <c r="OY7" s="980"/>
      <c r="OZ7" s="980"/>
      <c r="PA7" s="980"/>
      <c r="PB7" s="980"/>
      <c r="PC7" s="980"/>
      <c r="PD7" s="980"/>
      <c r="PE7" s="980"/>
      <c r="PF7" s="980"/>
      <c r="PG7" s="980"/>
      <c r="PH7" s="980"/>
      <c r="PI7" s="980"/>
      <c r="PJ7" s="980"/>
      <c r="PK7" s="980"/>
      <c r="PL7" s="980"/>
      <c r="PM7" s="980"/>
      <c r="PN7" s="980"/>
      <c r="PO7" s="980"/>
      <c r="PP7" s="980"/>
      <c r="PQ7" s="980"/>
      <c r="PR7" s="980"/>
      <c r="PS7" s="980"/>
      <c r="PT7" s="980"/>
      <c r="PU7" s="980"/>
      <c r="PV7" s="980"/>
      <c r="PW7" s="980"/>
      <c r="PX7" s="980"/>
      <c r="PY7" s="980"/>
      <c r="PZ7" s="980"/>
      <c r="QA7" s="980"/>
      <c r="QB7" s="980"/>
      <c r="QC7" s="980"/>
      <c r="QD7" s="980"/>
      <c r="QE7" s="980"/>
      <c r="QF7" s="980"/>
      <c r="QG7" s="980"/>
      <c r="QH7" s="980"/>
      <c r="QI7" s="980"/>
      <c r="QJ7" s="980"/>
      <c r="QK7" s="980"/>
      <c r="QL7" s="980"/>
      <c r="QM7" s="980"/>
      <c r="QN7" s="980"/>
      <c r="QO7" s="980"/>
      <c r="QP7" s="980"/>
      <c r="QQ7" s="980"/>
      <c r="QR7" s="980"/>
      <c r="QS7" s="980"/>
      <c r="QT7" s="980"/>
      <c r="QU7" s="980"/>
      <c r="QV7" s="980"/>
      <c r="QW7" s="980"/>
      <c r="QX7" s="980"/>
      <c r="QY7" s="980"/>
      <c r="QZ7" s="980"/>
      <c r="RA7" s="980"/>
      <c r="RB7" s="980"/>
      <c r="RC7" s="980"/>
      <c r="RD7" s="980"/>
      <c r="RE7" s="980"/>
      <c r="RF7" s="980"/>
      <c r="RG7" s="980"/>
      <c r="RH7" s="980"/>
      <c r="RI7" s="980"/>
      <c r="RJ7" s="980"/>
      <c r="RK7" s="980"/>
      <c r="RL7" s="980"/>
      <c r="RM7" s="980"/>
      <c r="RN7" s="980"/>
      <c r="RO7" s="980"/>
      <c r="RP7" s="980"/>
      <c r="RQ7" s="980"/>
      <c r="RR7" s="980"/>
      <c r="RS7" s="980"/>
      <c r="RT7" s="980"/>
      <c r="RU7" s="980"/>
      <c r="RV7" s="980"/>
      <c r="RW7" s="980"/>
      <c r="RX7" s="980"/>
      <c r="RY7" s="980"/>
      <c r="RZ7" s="980"/>
      <c r="SA7" s="980"/>
      <c r="SB7" s="980"/>
      <c r="SC7" s="980"/>
      <c r="SD7" s="980"/>
      <c r="SE7" s="980"/>
      <c r="SF7" s="980"/>
      <c r="SG7" s="980"/>
      <c r="SH7" s="980"/>
      <c r="SI7" s="980"/>
      <c r="SJ7" s="980"/>
      <c r="SK7" s="980"/>
      <c r="SL7" s="980"/>
      <c r="SM7" s="980"/>
      <c r="SN7" s="980"/>
      <c r="SO7" s="980"/>
      <c r="SP7" s="980"/>
      <c r="SQ7" s="980"/>
      <c r="SR7" s="980"/>
      <c r="SS7" s="980"/>
      <c r="ST7" s="980"/>
      <c r="SU7" s="980"/>
      <c r="SV7" s="980"/>
      <c r="SW7" s="980"/>
      <c r="SX7" s="980"/>
      <c r="SY7" s="980"/>
      <c r="SZ7" s="980"/>
      <c r="TA7" s="980"/>
      <c r="TB7" s="980"/>
      <c r="TC7" s="980"/>
      <c r="TD7" s="980"/>
      <c r="TE7" s="980"/>
      <c r="TF7" s="980"/>
      <c r="TG7" s="980"/>
      <c r="TH7" s="980"/>
      <c r="TI7" s="980"/>
      <c r="TJ7" s="980"/>
      <c r="TK7" s="980"/>
      <c r="TL7" s="980"/>
      <c r="TM7" s="980"/>
      <c r="TN7" s="980"/>
      <c r="TO7" s="980"/>
      <c r="TP7" s="980"/>
      <c r="TQ7" s="980"/>
      <c r="TR7" s="980"/>
      <c r="TS7" s="980"/>
      <c r="TT7" s="980"/>
      <c r="TU7" s="980"/>
      <c r="TV7" s="980"/>
      <c r="TW7" s="980"/>
      <c r="TX7" s="980"/>
      <c r="TY7" s="980"/>
      <c r="TZ7" s="980"/>
      <c r="UA7" s="980"/>
      <c r="UB7" s="980"/>
      <c r="UC7" s="980"/>
      <c r="UD7" s="980"/>
      <c r="UE7" s="980"/>
      <c r="UF7" s="980"/>
      <c r="UG7" s="980"/>
      <c r="UH7" s="980"/>
      <c r="UI7" s="980"/>
      <c r="UJ7" s="980"/>
      <c r="UK7" s="980"/>
      <c r="UL7" s="980"/>
      <c r="UM7" s="980"/>
      <c r="UN7" s="980"/>
      <c r="UO7" s="980"/>
      <c r="UP7" s="980"/>
      <c r="UQ7" s="980"/>
      <c r="UR7" s="980"/>
      <c r="US7" s="980"/>
      <c r="UT7" s="980"/>
      <c r="UU7" s="980"/>
      <c r="UV7" s="980"/>
      <c r="UW7" s="980"/>
      <c r="UX7" s="980"/>
      <c r="UY7" s="980"/>
      <c r="UZ7" s="980"/>
      <c r="VA7" s="980"/>
      <c r="VB7" s="980"/>
      <c r="VC7" s="980"/>
      <c r="VD7" s="980"/>
      <c r="VE7" s="980"/>
      <c r="VF7" s="980"/>
      <c r="VG7" s="980"/>
      <c r="VH7" s="980"/>
      <c r="VI7" s="980"/>
      <c r="VJ7" s="980"/>
      <c r="VK7" s="980"/>
      <c r="VL7" s="980"/>
      <c r="VM7" s="980"/>
      <c r="VN7" s="980"/>
      <c r="VO7" s="980"/>
      <c r="VP7" s="980"/>
      <c r="VQ7" s="980"/>
      <c r="VR7" s="980"/>
      <c r="VS7" s="980"/>
      <c r="VT7" s="980"/>
      <c r="VU7" s="980"/>
      <c r="VV7" s="980"/>
      <c r="VW7" s="980"/>
      <c r="VX7" s="980"/>
      <c r="VY7" s="980"/>
      <c r="VZ7" s="980"/>
      <c r="WA7" s="980"/>
      <c r="WB7" s="980"/>
      <c r="WC7" s="980"/>
      <c r="WD7" s="980"/>
      <c r="WE7" s="980"/>
      <c r="WF7" s="980"/>
      <c r="WG7" s="980"/>
      <c r="WH7" s="980"/>
      <c r="WI7" s="980"/>
      <c r="WJ7" s="980"/>
      <c r="WK7" s="980"/>
      <c r="WL7" s="980"/>
      <c r="WM7" s="980"/>
      <c r="WN7" s="980"/>
      <c r="WO7" s="980"/>
      <c r="WP7" s="980"/>
      <c r="WQ7" s="980"/>
      <c r="WR7" s="980"/>
      <c r="WS7" s="980"/>
      <c r="WT7" s="980"/>
      <c r="WU7" s="980"/>
      <c r="WV7" s="980"/>
      <c r="WW7" s="980"/>
      <c r="WX7" s="980"/>
      <c r="WY7" s="980"/>
      <c r="WZ7" s="980"/>
      <c r="XA7" s="980"/>
      <c r="XB7" s="980"/>
      <c r="XC7" s="980"/>
      <c r="XD7" s="980"/>
      <c r="XE7" s="980"/>
      <c r="XF7" s="980"/>
      <c r="XG7" s="980"/>
      <c r="XH7" s="980"/>
      <c r="XI7" s="980"/>
      <c r="XJ7" s="980"/>
      <c r="XK7" s="980"/>
      <c r="XL7" s="980"/>
      <c r="XM7" s="980"/>
      <c r="XN7" s="980"/>
      <c r="XO7" s="980"/>
      <c r="XP7" s="980"/>
      <c r="XQ7" s="980"/>
      <c r="XR7" s="980"/>
      <c r="XS7" s="980"/>
      <c r="XT7" s="980"/>
      <c r="XU7" s="980"/>
      <c r="XV7" s="980"/>
      <c r="XW7" s="980"/>
      <c r="XX7" s="980"/>
      <c r="XY7" s="980"/>
      <c r="XZ7" s="980"/>
      <c r="YA7" s="980"/>
      <c r="YB7" s="980"/>
      <c r="YC7" s="980"/>
      <c r="YD7" s="980"/>
      <c r="YE7" s="980"/>
      <c r="YF7" s="980"/>
      <c r="YG7" s="980"/>
      <c r="YH7" s="980"/>
      <c r="YI7" s="980"/>
      <c r="YJ7" s="980"/>
      <c r="YK7" s="980"/>
      <c r="YL7" s="980"/>
      <c r="YM7" s="980"/>
      <c r="YN7" s="980"/>
      <c r="YO7" s="980"/>
      <c r="YP7" s="980"/>
      <c r="YQ7" s="980"/>
      <c r="YR7" s="980"/>
      <c r="YS7" s="980"/>
      <c r="YT7" s="980"/>
      <c r="YU7" s="980"/>
      <c r="YV7" s="980"/>
      <c r="YW7" s="980"/>
      <c r="YX7" s="980"/>
      <c r="YY7" s="980"/>
      <c r="YZ7" s="980"/>
      <c r="ZA7" s="980"/>
      <c r="ZB7" s="980"/>
      <c r="ZC7" s="980"/>
      <c r="ZD7" s="980"/>
      <c r="ZE7" s="980"/>
      <c r="ZF7" s="980"/>
      <c r="ZG7" s="980"/>
      <c r="ZH7" s="980"/>
      <c r="ZI7" s="980"/>
      <c r="ZJ7" s="980"/>
      <c r="ZK7" s="980"/>
      <c r="ZL7" s="980"/>
      <c r="ZM7" s="980"/>
      <c r="ZN7" s="980"/>
      <c r="ZO7" s="980"/>
      <c r="ZP7" s="980"/>
      <c r="ZQ7" s="980"/>
      <c r="ZR7" s="980"/>
      <c r="ZS7" s="980"/>
      <c r="ZT7" s="980"/>
      <c r="ZU7" s="980"/>
      <c r="ZV7" s="980"/>
      <c r="ZW7" s="980"/>
      <c r="ZX7" s="980"/>
      <c r="ZY7" s="980"/>
      <c r="ZZ7" s="980"/>
      <c r="AAA7" s="980"/>
      <c r="AAB7" s="980"/>
      <c r="AAC7" s="980"/>
      <c r="AAD7" s="980"/>
      <c r="AAE7" s="980"/>
      <c r="AAF7" s="980"/>
      <c r="AAG7" s="980"/>
      <c r="AAH7" s="980"/>
      <c r="AAI7" s="980"/>
      <c r="AAJ7" s="980"/>
      <c r="AAK7" s="980"/>
      <c r="AAL7" s="980"/>
      <c r="AAM7" s="980"/>
      <c r="AAN7" s="980"/>
      <c r="AAO7" s="980"/>
      <c r="AAP7" s="980"/>
      <c r="AAQ7" s="980"/>
      <c r="AAR7" s="980"/>
      <c r="AAS7" s="980"/>
      <c r="AAT7" s="980"/>
      <c r="AAU7" s="980"/>
      <c r="AAV7" s="980"/>
      <c r="AAW7" s="980"/>
      <c r="AAX7" s="980"/>
      <c r="AAY7" s="980"/>
      <c r="AAZ7" s="980"/>
      <c r="ABA7" s="980"/>
      <c r="ABB7" s="980"/>
      <c r="ABC7" s="980"/>
      <c r="ABD7" s="980"/>
      <c r="ABE7" s="980"/>
      <c r="ABF7" s="980"/>
      <c r="ABG7" s="980"/>
      <c r="ABH7" s="980"/>
      <c r="ABI7" s="980"/>
      <c r="ABJ7" s="980"/>
      <c r="ABK7" s="980"/>
      <c r="ABL7" s="980"/>
      <c r="ABM7" s="980"/>
      <c r="ABN7" s="980"/>
      <c r="ABO7" s="980"/>
      <c r="ABP7" s="980"/>
      <c r="ABQ7" s="980"/>
      <c r="ABR7" s="980"/>
      <c r="ABS7" s="980"/>
      <c r="ABT7" s="980"/>
      <c r="ABU7" s="980"/>
      <c r="ABV7" s="980"/>
      <c r="ABW7" s="980"/>
      <c r="ABX7" s="980"/>
      <c r="ABY7" s="980"/>
      <c r="ABZ7" s="980"/>
      <c r="ACA7" s="980"/>
      <c r="ACB7" s="980"/>
      <c r="ACC7" s="980"/>
      <c r="ACD7" s="980"/>
      <c r="ACE7" s="980"/>
      <c r="ACF7" s="980"/>
      <c r="ACG7" s="980"/>
      <c r="ACH7" s="980"/>
      <c r="ACI7" s="980"/>
      <c r="ACJ7" s="980"/>
      <c r="ACK7" s="980"/>
      <c r="ACL7" s="980"/>
      <c r="ACM7" s="980"/>
      <c r="ACN7" s="980"/>
      <c r="ACO7" s="980"/>
      <c r="ACP7" s="980"/>
      <c r="ACQ7" s="980"/>
      <c r="ACR7" s="980"/>
      <c r="ACS7" s="980"/>
      <c r="ACT7" s="980"/>
      <c r="ACU7" s="980"/>
      <c r="ACV7" s="980"/>
      <c r="ACW7" s="980"/>
      <c r="ACX7" s="980"/>
      <c r="ACY7" s="980"/>
      <c r="ACZ7" s="980"/>
      <c r="ADA7" s="980"/>
      <c r="ADB7" s="980"/>
      <c r="ADC7" s="980"/>
      <c r="ADD7" s="980"/>
      <c r="ADE7" s="980"/>
      <c r="ADF7" s="980"/>
      <c r="ADG7" s="980"/>
      <c r="ADH7" s="980"/>
      <c r="ADI7" s="980"/>
      <c r="ADJ7" s="980"/>
      <c r="ADK7" s="980"/>
      <c r="ADL7" s="980"/>
      <c r="ADM7" s="980"/>
      <c r="ADN7" s="980"/>
      <c r="ADO7" s="980"/>
      <c r="ADP7" s="980"/>
      <c r="ADQ7" s="980"/>
      <c r="ADR7" s="980"/>
      <c r="ADS7" s="980"/>
      <c r="ADT7" s="980"/>
      <c r="ADU7" s="980"/>
      <c r="ADV7" s="980"/>
      <c r="ADW7" s="980"/>
      <c r="ADX7" s="980"/>
      <c r="ADY7" s="980"/>
      <c r="ADZ7" s="980"/>
      <c r="AEA7" s="980"/>
      <c r="AEB7" s="980"/>
      <c r="AEC7" s="980"/>
      <c r="AED7" s="980"/>
      <c r="AEE7" s="980"/>
      <c r="AEF7" s="980"/>
      <c r="AEG7" s="980"/>
      <c r="AEH7" s="980"/>
      <c r="AEI7" s="980"/>
      <c r="AEJ7" s="980"/>
      <c r="AEK7" s="980"/>
      <c r="AEL7" s="980"/>
      <c r="AEM7" s="980"/>
      <c r="AEN7" s="980"/>
      <c r="AEO7" s="980"/>
      <c r="AEP7" s="980"/>
      <c r="AEQ7" s="980"/>
      <c r="AER7" s="980"/>
      <c r="AES7" s="980"/>
      <c r="AET7" s="980"/>
      <c r="AEU7" s="980"/>
      <c r="AEV7" s="980"/>
      <c r="AEW7" s="980"/>
      <c r="AEX7" s="980"/>
      <c r="AEY7" s="980"/>
      <c r="AEZ7" s="980"/>
      <c r="AFA7" s="980"/>
      <c r="AFB7" s="980"/>
      <c r="AFC7" s="980"/>
      <c r="AFD7" s="980"/>
      <c r="AFE7" s="980"/>
      <c r="AFF7" s="980"/>
      <c r="AFG7" s="980"/>
      <c r="AFH7" s="980"/>
      <c r="AFI7" s="980"/>
      <c r="AFJ7" s="980"/>
      <c r="AFK7" s="980"/>
      <c r="AFL7" s="980"/>
      <c r="AFM7" s="980"/>
      <c r="AFN7" s="980"/>
      <c r="AFO7" s="980"/>
      <c r="AFP7" s="980"/>
      <c r="AFQ7" s="980"/>
      <c r="AFR7" s="980"/>
      <c r="AFS7" s="980"/>
      <c r="AFT7" s="980"/>
      <c r="AFU7" s="980"/>
      <c r="AFV7" s="980"/>
      <c r="AFW7" s="980"/>
      <c r="AFX7" s="980"/>
      <c r="AFY7" s="980"/>
      <c r="AFZ7" s="980"/>
      <c r="AGA7" s="980"/>
      <c r="AGB7" s="980"/>
      <c r="AGC7" s="980"/>
      <c r="AGD7" s="980"/>
      <c r="AGE7" s="980"/>
      <c r="AGF7" s="980"/>
      <c r="AGG7" s="980"/>
      <c r="AGH7" s="980"/>
      <c r="AGI7" s="980"/>
      <c r="AGJ7" s="980"/>
      <c r="AGK7" s="980"/>
      <c r="AGL7" s="980"/>
      <c r="AGM7" s="980"/>
      <c r="AGN7" s="980"/>
      <c r="AGO7" s="980"/>
      <c r="AGP7" s="980"/>
      <c r="AGQ7" s="980"/>
      <c r="AGR7" s="980"/>
      <c r="AGS7" s="980"/>
      <c r="AGT7" s="980"/>
      <c r="AGU7" s="980"/>
      <c r="AGV7" s="980"/>
      <c r="AGW7" s="980"/>
      <c r="AGX7" s="980"/>
      <c r="AGY7" s="980"/>
      <c r="AGZ7" s="980"/>
      <c r="AHA7" s="980"/>
      <c r="AHB7" s="980"/>
      <c r="AHC7" s="980"/>
      <c r="AHD7" s="980"/>
      <c r="AHE7" s="980"/>
      <c r="AHF7" s="980"/>
      <c r="AHG7" s="980"/>
      <c r="AHH7" s="980"/>
      <c r="AHI7" s="980"/>
      <c r="AHJ7" s="980"/>
      <c r="AHK7" s="980"/>
      <c r="AHL7" s="980"/>
      <c r="AHM7" s="980"/>
      <c r="AHN7" s="980"/>
      <c r="AHO7" s="980"/>
      <c r="AHP7" s="980"/>
      <c r="AHQ7" s="980"/>
      <c r="AHR7" s="980"/>
      <c r="AHS7" s="980"/>
      <c r="AHT7" s="980"/>
      <c r="AHU7" s="980"/>
      <c r="AHV7" s="980"/>
      <c r="AHW7" s="980"/>
      <c r="AHX7" s="980"/>
      <c r="AHY7" s="980"/>
      <c r="AHZ7" s="980"/>
      <c r="AIA7" s="980"/>
      <c r="AIB7" s="980"/>
      <c r="AIC7" s="980"/>
      <c r="AID7" s="980"/>
      <c r="AIE7" s="980"/>
      <c r="AIF7" s="980"/>
      <c r="AIG7" s="980"/>
      <c r="AIH7" s="980"/>
      <c r="AII7" s="980"/>
      <c r="AIJ7" s="980"/>
      <c r="AIK7" s="980"/>
      <c r="AIL7" s="980"/>
      <c r="AIM7" s="980"/>
      <c r="AIN7" s="980"/>
      <c r="AIO7" s="980"/>
      <c r="AIP7" s="980"/>
      <c r="AIQ7" s="980"/>
      <c r="AIR7" s="980"/>
      <c r="AIS7" s="980"/>
      <c r="AIT7" s="980"/>
      <c r="AIU7" s="980"/>
      <c r="AIV7" s="980"/>
      <c r="AIW7" s="980"/>
      <c r="AIX7" s="980"/>
      <c r="AIY7" s="980"/>
      <c r="AIZ7" s="980"/>
      <c r="AJA7" s="980"/>
      <c r="AJB7" s="980"/>
      <c r="AJC7" s="980"/>
      <c r="AJD7" s="980"/>
      <c r="AJE7" s="980"/>
      <c r="AJF7" s="980"/>
      <c r="AJG7" s="980"/>
      <c r="AJH7" s="980"/>
      <c r="AJI7" s="980"/>
      <c r="AJJ7" s="980"/>
      <c r="AJK7" s="980"/>
      <c r="AJL7" s="980"/>
      <c r="AJM7" s="980"/>
      <c r="AJN7" s="980"/>
      <c r="AJO7" s="980"/>
      <c r="AJP7" s="980"/>
      <c r="AJQ7" s="980"/>
      <c r="AJR7" s="980"/>
      <c r="AJS7" s="980"/>
      <c r="AJT7" s="980"/>
      <c r="AJU7" s="980"/>
      <c r="AJV7" s="980"/>
      <c r="AJW7" s="980"/>
      <c r="AJX7" s="980"/>
      <c r="AJY7" s="980"/>
      <c r="AJZ7" s="980"/>
      <c r="AKA7" s="980"/>
      <c r="AKB7" s="980"/>
      <c r="AKC7" s="980"/>
      <c r="AKD7" s="980"/>
      <c r="AKE7" s="980"/>
      <c r="AKF7" s="980"/>
      <c r="AKG7" s="980"/>
      <c r="AKH7" s="980"/>
      <c r="AKI7" s="980"/>
      <c r="AKJ7" s="980"/>
      <c r="AKK7" s="980"/>
      <c r="AKL7" s="980"/>
      <c r="AKM7" s="980"/>
      <c r="AKN7" s="980"/>
      <c r="AKO7" s="980"/>
      <c r="AKP7" s="980"/>
      <c r="AKQ7" s="980"/>
      <c r="AKR7" s="980"/>
      <c r="AKS7" s="980"/>
      <c r="AKT7" s="980"/>
      <c r="AKU7" s="980"/>
      <c r="AKV7" s="980"/>
      <c r="AKW7" s="980"/>
      <c r="AKX7" s="980"/>
      <c r="AKY7" s="980"/>
      <c r="AKZ7" s="980"/>
      <c r="ALA7" s="980"/>
      <c r="ALB7" s="980"/>
      <c r="ALC7" s="980"/>
      <c r="ALD7" s="980"/>
      <c r="ALE7" s="980"/>
      <c r="ALF7" s="980"/>
      <c r="ALG7" s="980"/>
      <c r="ALH7" s="980"/>
      <c r="ALI7" s="980"/>
      <c r="ALJ7" s="980"/>
      <c r="ALK7" s="980"/>
      <c r="ALL7" s="980"/>
      <c r="ALM7" s="980"/>
      <c r="ALN7" s="980"/>
      <c r="ALO7" s="980"/>
      <c r="ALP7" s="980"/>
      <c r="ALQ7" s="980"/>
      <c r="ALR7" s="980"/>
      <c r="ALS7" s="980"/>
      <c r="ALT7" s="980"/>
      <c r="ALU7" s="980"/>
      <c r="ALV7" s="980"/>
      <c r="ALW7" s="980"/>
      <c r="ALX7" s="980"/>
      <c r="ALY7" s="980"/>
      <c r="ALZ7" s="980"/>
      <c r="AMA7" s="980"/>
      <c r="AMB7" s="980"/>
      <c r="AMC7" s="980"/>
      <c r="AMD7" s="980"/>
      <c r="AME7" s="980"/>
      <c r="AMF7" s="980"/>
      <c r="AMG7" s="980"/>
      <c r="AMH7" s="980"/>
    </row>
    <row r="8" spans="1:1022" ht="15.6">
      <c r="A8" s="984" t="s">
        <v>1516</v>
      </c>
      <c r="B8" s="985" t="s">
        <v>1517</v>
      </c>
      <c r="C8" s="980"/>
      <c r="D8" s="980"/>
      <c r="E8" s="980"/>
      <c r="F8" s="980"/>
      <c r="G8" s="980"/>
      <c r="H8" s="981"/>
      <c r="I8" s="980"/>
      <c r="J8" s="980"/>
      <c r="K8" s="980"/>
      <c r="L8" s="980"/>
      <c r="M8" s="980"/>
      <c r="N8" s="981"/>
      <c r="O8" s="981"/>
      <c r="P8" s="981"/>
      <c r="Q8" s="981"/>
      <c r="R8" s="980"/>
      <c r="S8" s="981"/>
      <c r="T8" s="980"/>
      <c r="U8" s="980"/>
      <c r="V8" s="980"/>
      <c r="W8" s="980"/>
      <c r="X8" s="980"/>
      <c r="Y8" s="980"/>
      <c r="Z8" s="980"/>
      <c r="AA8" s="980"/>
      <c r="AB8" s="980"/>
      <c r="AC8" s="980"/>
      <c r="AD8" s="980"/>
      <c r="AE8" s="980"/>
      <c r="AF8" s="980"/>
      <c r="AG8" s="980"/>
      <c r="AH8" s="980"/>
      <c r="AI8" s="980"/>
      <c r="AJ8" s="980"/>
      <c r="AK8" s="980"/>
      <c r="AL8" s="980"/>
      <c r="AM8" s="980"/>
      <c r="AN8" s="980"/>
      <c r="AO8" s="980"/>
      <c r="AP8" s="980"/>
      <c r="AQ8" s="980"/>
      <c r="AR8" s="980"/>
      <c r="AS8" s="980"/>
      <c r="AT8" s="980"/>
      <c r="AU8" s="980"/>
      <c r="AV8" s="980"/>
      <c r="AW8" s="980"/>
      <c r="AX8" s="980"/>
      <c r="AY8" s="980"/>
      <c r="AZ8" s="980"/>
      <c r="BA8" s="980"/>
      <c r="BB8" s="980"/>
      <c r="BC8" s="980"/>
      <c r="BD8" s="980"/>
      <c r="BE8" s="980"/>
      <c r="BF8" s="980"/>
      <c r="BG8" s="980"/>
      <c r="BH8" s="980"/>
      <c r="BI8" s="980"/>
      <c r="BJ8" s="980"/>
      <c r="BK8" s="980"/>
      <c r="BL8" s="980"/>
      <c r="BM8" s="980"/>
      <c r="BN8" s="980"/>
      <c r="BO8" s="980"/>
      <c r="BP8" s="980"/>
      <c r="BQ8" s="980"/>
      <c r="BR8" s="980"/>
      <c r="BS8" s="980"/>
      <c r="BT8" s="980"/>
      <c r="BU8" s="980"/>
      <c r="BV8" s="980"/>
      <c r="BW8" s="980"/>
      <c r="BX8" s="980"/>
      <c r="BY8" s="980"/>
      <c r="BZ8" s="980"/>
      <c r="CA8" s="980"/>
      <c r="CB8" s="980"/>
      <c r="CC8" s="980"/>
      <c r="CD8" s="980"/>
      <c r="CE8" s="980"/>
      <c r="CF8" s="980"/>
      <c r="CG8" s="980"/>
      <c r="CH8" s="980"/>
      <c r="CI8" s="980"/>
      <c r="CJ8" s="980"/>
      <c r="CK8" s="980"/>
      <c r="CL8" s="980"/>
      <c r="CM8" s="980"/>
      <c r="CN8" s="980"/>
      <c r="CO8" s="980"/>
      <c r="CP8" s="980"/>
      <c r="CQ8" s="980"/>
      <c r="CR8" s="980"/>
      <c r="CS8" s="980"/>
      <c r="CT8" s="980"/>
      <c r="CU8" s="980"/>
      <c r="CV8" s="980"/>
      <c r="CW8" s="980"/>
      <c r="CX8" s="980"/>
      <c r="CY8" s="980"/>
      <c r="CZ8" s="980"/>
      <c r="DA8" s="980"/>
      <c r="DB8" s="980"/>
      <c r="DC8" s="980"/>
      <c r="DD8" s="980"/>
      <c r="DE8" s="980"/>
      <c r="DF8" s="980"/>
      <c r="DG8" s="980"/>
      <c r="DH8" s="980"/>
      <c r="DI8" s="980"/>
      <c r="DJ8" s="980"/>
      <c r="DK8" s="980"/>
      <c r="DL8" s="980"/>
      <c r="DM8" s="980"/>
      <c r="DN8" s="980"/>
      <c r="DO8" s="980"/>
      <c r="DP8" s="980"/>
      <c r="DQ8" s="980"/>
      <c r="DR8" s="980"/>
      <c r="DS8" s="980"/>
      <c r="DT8" s="980"/>
      <c r="DU8" s="980"/>
      <c r="DV8" s="980"/>
      <c r="DW8" s="980"/>
      <c r="DX8" s="980"/>
      <c r="DY8" s="980"/>
      <c r="DZ8" s="980"/>
      <c r="EA8" s="980"/>
      <c r="EB8" s="980"/>
      <c r="EC8" s="980"/>
      <c r="ED8" s="980"/>
      <c r="EE8" s="980"/>
      <c r="EF8" s="980"/>
      <c r="EG8" s="980"/>
      <c r="EH8" s="980"/>
      <c r="EI8" s="980"/>
      <c r="EJ8" s="980"/>
      <c r="EK8" s="980"/>
      <c r="EL8" s="980"/>
      <c r="EM8" s="980"/>
      <c r="EN8" s="980"/>
      <c r="EO8" s="980"/>
      <c r="EP8" s="980"/>
      <c r="EQ8" s="980"/>
      <c r="ER8" s="980"/>
      <c r="ES8" s="980"/>
      <c r="ET8" s="980"/>
      <c r="EU8" s="980"/>
      <c r="EV8" s="980"/>
      <c r="EW8" s="980"/>
      <c r="EX8" s="980"/>
      <c r="EY8" s="980"/>
      <c r="EZ8" s="980"/>
      <c r="FA8" s="980"/>
      <c r="FB8" s="980"/>
      <c r="FC8" s="980"/>
      <c r="FD8" s="980"/>
      <c r="FE8" s="980"/>
      <c r="FF8" s="980"/>
      <c r="FG8" s="980"/>
      <c r="FH8" s="980"/>
      <c r="FI8" s="980"/>
      <c r="FJ8" s="980"/>
      <c r="FK8" s="980"/>
      <c r="FL8" s="980"/>
      <c r="FM8" s="980"/>
      <c r="FN8" s="980"/>
      <c r="FO8" s="980"/>
      <c r="FP8" s="980"/>
      <c r="FQ8" s="980"/>
      <c r="FR8" s="980"/>
      <c r="FS8" s="980"/>
      <c r="FT8" s="980"/>
      <c r="FU8" s="980"/>
      <c r="FV8" s="980"/>
      <c r="FW8" s="980"/>
      <c r="FX8" s="980"/>
      <c r="FY8" s="980"/>
      <c r="FZ8" s="980"/>
      <c r="GA8" s="980"/>
      <c r="GB8" s="980"/>
      <c r="GC8" s="980"/>
      <c r="GD8" s="980"/>
      <c r="GE8" s="980"/>
      <c r="GF8" s="980"/>
      <c r="GG8" s="980"/>
      <c r="GH8" s="980"/>
      <c r="GI8" s="980"/>
      <c r="GJ8" s="980"/>
      <c r="GK8" s="980"/>
      <c r="GL8" s="980"/>
      <c r="GM8" s="980"/>
      <c r="GN8" s="980"/>
      <c r="GO8" s="980"/>
      <c r="GP8" s="980"/>
      <c r="GQ8" s="980"/>
      <c r="GR8" s="980"/>
      <c r="GS8" s="980"/>
      <c r="GT8" s="980"/>
      <c r="GU8" s="980"/>
      <c r="GV8" s="980"/>
      <c r="GW8" s="980"/>
      <c r="GX8" s="980"/>
      <c r="GY8" s="980"/>
      <c r="GZ8" s="980"/>
      <c r="HA8" s="980"/>
      <c r="HB8" s="980"/>
      <c r="HC8" s="980"/>
      <c r="HD8" s="980"/>
      <c r="HE8" s="980"/>
      <c r="HF8" s="980"/>
      <c r="HG8" s="980"/>
      <c r="HH8" s="980"/>
      <c r="HI8" s="980"/>
      <c r="HJ8" s="980"/>
      <c r="HK8" s="980"/>
      <c r="HL8" s="980"/>
      <c r="HM8" s="980"/>
      <c r="HN8" s="980"/>
      <c r="HO8" s="980"/>
      <c r="HP8" s="980"/>
      <c r="HQ8" s="980"/>
      <c r="HR8" s="980"/>
      <c r="HS8" s="980"/>
      <c r="HT8" s="980"/>
      <c r="HU8" s="980"/>
      <c r="HV8" s="980"/>
      <c r="HW8" s="980"/>
      <c r="HX8" s="980"/>
      <c r="HY8" s="980"/>
      <c r="HZ8" s="980"/>
      <c r="IA8" s="980"/>
      <c r="IB8" s="980"/>
      <c r="IC8" s="980"/>
      <c r="ID8" s="980"/>
      <c r="IE8" s="980"/>
      <c r="IF8" s="980"/>
      <c r="IG8" s="980"/>
      <c r="IH8" s="980"/>
      <c r="II8" s="980"/>
      <c r="IJ8" s="980"/>
      <c r="IK8" s="980"/>
      <c r="IL8" s="980"/>
      <c r="IM8" s="980"/>
      <c r="IN8" s="980"/>
      <c r="IO8" s="980"/>
      <c r="IP8" s="980"/>
      <c r="IQ8" s="980"/>
      <c r="IR8" s="980"/>
      <c r="IS8" s="980"/>
      <c r="IT8" s="980"/>
      <c r="IU8" s="980"/>
      <c r="IV8" s="980"/>
      <c r="IW8" s="980"/>
      <c r="IX8" s="980"/>
      <c r="IY8" s="980"/>
      <c r="IZ8" s="980"/>
      <c r="JA8" s="980"/>
      <c r="JB8" s="980"/>
      <c r="JC8" s="980"/>
      <c r="JD8" s="980"/>
      <c r="JE8" s="980"/>
      <c r="JF8" s="980"/>
      <c r="JG8" s="980"/>
      <c r="JH8" s="980"/>
      <c r="JI8" s="980"/>
      <c r="JJ8" s="980"/>
      <c r="JK8" s="980"/>
      <c r="JL8" s="980"/>
      <c r="JM8" s="980"/>
      <c r="JN8" s="980"/>
      <c r="JO8" s="980"/>
      <c r="JP8" s="980"/>
      <c r="JQ8" s="980"/>
      <c r="JR8" s="980"/>
      <c r="JS8" s="980"/>
      <c r="JT8" s="980"/>
      <c r="JU8" s="980"/>
      <c r="JV8" s="980"/>
      <c r="JW8" s="980"/>
      <c r="JX8" s="980"/>
      <c r="JY8" s="980"/>
      <c r="JZ8" s="980"/>
      <c r="KA8" s="980"/>
      <c r="KB8" s="980"/>
      <c r="KC8" s="980"/>
      <c r="KD8" s="980"/>
      <c r="KE8" s="980"/>
      <c r="KF8" s="980"/>
      <c r="KG8" s="980"/>
      <c r="KH8" s="980"/>
      <c r="KI8" s="980"/>
      <c r="KJ8" s="980"/>
      <c r="KK8" s="980"/>
      <c r="KL8" s="980"/>
      <c r="KM8" s="980"/>
      <c r="KN8" s="980"/>
      <c r="KO8" s="980"/>
      <c r="KP8" s="980"/>
      <c r="KQ8" s="980"/>
      <c r="KR8" s="980"/>
      <c r="KS8" s="980"/>
      <c r="KT8" s="980"/>
      <c r="KU8" s="980"/>
      <c r="KV8" s="980"/>
      <c r="KW8" s="980"/>
      <c r="KX8" s="980"/>
      <c r="KY8" s="980"/>
      <c r="KZ8" s="980"/>
      <c r="LA8" s="980"/>
      <c r="LB8" s="980"/>
      <c r="LC8" s="980"/>
      <c r="LD8" s="980"/>
      <c r="LE8" s="980"/>
      <c r="LF8" s="980"/>
      <c r="LG8" s="980"/>
      <c r="LH8" s="980"/>
      <c r="LI8" s="980"/>
      <c r="LJ8" s="980"/>
      <c r="LK8" s="980"/>
      <c r="LL8" s="980"/>
      <c r="LM8" s="980"/>
      <c r="LN8" s="980"/>
      <c r="LO8" s="980"/>
      <c r="LP8" s="980"/>
      <c r="LQ8" s="980"/>
      <c r="LR8" s="980"/>
      <c r="LS8" s="980"/>
      <c r="LT8" s="980"/>
      <c r="LU8" s="980"/>
      <c r="LV8" s="980"/>
      <c r="LW8" s="980"/>
      <c r="LX8" s="980"/>
      <c r="LY8" s="980"/>
      <c r="LZ8" s="980"/>
      <c r="MA8" s="980"/>
      <c r="MB8" s="980"/>
      <c r="MC8" s="980"/>
      <c r="MD8" s="980"/>
      <c r="ME8" s="980"/>
      <c r="MF8" s="980"/>
      <c r="MG8" s="980"/>
      <c r="MH8" s="980"/>
      <c r="MI8" s="980"/>
      <c r="MJ8" s="980"/>
      <c r="MK8" s="980"/>
      <c r="ML8" s="980"/>
      <c r="MM8" s="980"/>
      <c r="MN8" s="980"/>
      <c r="MO8" s="980"/>
      <c r="MP8" s="980"/>
      <c r="MQ8" s="980"/>
      <c r="MR8" s="980"/>
      <c r="MS8" s="980"/>
      <c r="MT8" s="980"/>
      <c r="MU8" s="980"/>
      <c r="MV8" s="980"/>
      <c r="MW8" s="980"/>
      <c r="MX8" s="980"/>
      <c r="MY8" s="980"/>
      <c r="MZ8" s="980"/>
      <c r="NA8" s="980"/>
      <c r="NB8" s="980"/>
      <c r="NC8" s="980"/>
      <c r="ND8" s="980"/>
      <c r="NE8" s="980"/>
      <c r="NF8" s="980"/>
      <c r="NG8" s="980"/>
      <c r="NH8" s="980"/>
      <c r="NI8" s="980"/>
      <c r="NJ8" s="980"/>
      <c r="NK8" s="980"/>
      <c r="NL8" s="980"/>
      <c r="NM8" s="980"/>
      <c r="NN8" s="980"/>
      <c r="NO8" s="980"/>
      <c r="NP8" s="980"/>
      <c r="NQ8" s="980"/>
      <c r="NR8" s="980"/>
      <c r="NS8" s="980"/>
      <c r="NT8" s="980"/>
      <c r="NU8" s="980"/>
      <c r="NV8" s="980"/>
      <c r="NW8" s="980"/>
      <c r="NX8" s="980"/>
      <c r="NY8" s="980"/>
      <c r="NZ8" s="980"/>
      <c r="OA8" s="980"/>
      <c r="OB8" s="980"/>
      <c r="OC8" s="980"/>
      <c r="OD8" s="980"/>
      <c r="OE8" s="980"/>
      <c r="OF8" s="980"/>
      <c r="OG8" s="980"/>
      <c r="OH8" s="980"/>
      <c r="OI8" s="980"/>
      <c r="OJ8" s="980"/>
      <c r="OK8" s="980"/>
      <c r="OL8" s="980"/>
      <c r="OM8" s="980"/>
      <c r="ON8" s="980"/>
      <c r="OO8" s="980"/>
      <c r="OP8" s="980"/>
      <c r="OQ8" s="980"/>
      <c r="OR8" s="980"/>
      <c r="OS8" s="980"/>
      <c r="OT8" s="980"/>
      <c r="OU8" s="980"/>
      <c r="OV8" s="980"/>
      <c r="OW8" s="980"/>
      <c r="OX8" s="980"/>
      <c r="OY8" s="980"/>
      <c r="OZ8" s="980"/>
      <c r="PA8" s="980"/>
      <c r="PB8" s="980"/>
      <c r="PC8" s="980"/>
      <c r="PD8" s="980"/>
      <c r="PE8" s="980"/>
      <c r="PF8" s="980"/>
      <c r="PG8" s="980"/>
      <c r="PH8" s="980"/>
      <c r="PI8" s="980"/>
      <c r="PJ8" s="980"/>
      <c r="PK8" s="980"/>
      <c r="PL8" s="980"/>
      <c r="PM8" s="980"/>
      <c r="PN8" s="980"/>
      <c r="PO8" s="980"/>
      <c r="PP8" s="980"/>
      <c r="PQ8" s="980"/>
      <c r="PR8" s="980"/>
      <c r="PS8" s="980"/>
      <c r="PT8" s="980"/>
      <c r="PU8" s="980"/>
      <c r="PV8" s="980"/>
      <c r="PW8" s="980"/>
      <c r="PX8" s="980"/>
      <c r="PY8" s="980"/>
      <c r="PZ8" s="980"/>
      <c r="QA8" s="980"/>
      <c r="QB8" s="980"/>
      <c r="QC8" s="980"/>
      <c r="QD8" s="980"/>
      <c r="QE8" s="980"/>
      <c r="QF8" s="980"/>
      <c r="QG8" s="980"/>
      <c r="QH8" s="980"/>
      <c r="QI8" s="980"/>
      <c r="QJ8" s="980"/>
      <c r="QK8" s="980"/>
      <c r="QL8" s="980"/>
      <c r="QM8" s="980"/>
      <c r="QN8" s="980"/>
      <c r="QO8" s="980"/>
      <c r="QP8" s="980"/>
      <c r="QQ8" s="980"/>
      <c r="QR8" s="980"/>
      <c r="QS8" s="980"/>
      <c r="QT8" s="980"/>
      <c r="QU8" s="980"/>
      <c r="QV8" s="980"/>
      <c r="QW8" s="980"/>
      <c r="QX8" s="980"/>
      <c r="QY8" s="980"/>
      <c r="QZ8" s="980"/>
      <c r="RA8" s="980"/>
      <c r="RB8" s="980"/>
      <c r="RC8" s="980"/>
      <c r="RD8" s="980"/>
      <c r="RE8" s="980"/>
      <c r="RF8" s="980"/>
      <c r="RG8" s="980"/>
      <c r="RH8" s="980"/>
      <c r="RI8" s="980"/>
      <c r="RJ8" s="980"/>
      <c r="RK8" s="980"/>
      <c r="RL8" s="980"/>
      <c r="RM8" s="980"/>
      <c r="RN8" s="980"/>
      <c r="RO8" s="980"/>
      <c r="RP8" s="980"/>
      <c r="RQ8" s="980"/>
      <c r="RR8" s="980"/>
      <c r="RS8" s="980"/>
      <c r="RT8" s="980"/>
      <c r="RU8" s="980"/>
      <c r="RV8" s="980"/>
      <c r="RW8" s="980"/>
      <c r="RX8" s="980"/>
      <c r="RY8" s="980"/>
      <c r="RZ8" s="980"/>
      <c r="SA8" s="980"/>
      <c r="SB8" s="980"/>
      <c r="SC8" s="980"/>
      <c r="SD8" s="980"/>
      <c r="SE8" s="980"/>
      <c r="SF8" s="980"/>
      <c r="SG8" s="980"/>
      <c r="SH8" s="980"/>
      <c r="SI8" s="980"/>
      <c r="SJ8" s="980"/>
      <c r="SK8" s="980"/>
      <c r="SL8" s="980"/>
      <c r="SM8" s="980"/>
      <c r="SN8" s="980"/>
      <c r="SO8" s="980"/>
      <c r="SP8" s="980"/>
      <c r="SQ8" s="980"/>
      <c r="SR8" s="980"/>
      <c r="SS8" s="980"/>
      <c r="ST8" s="980"/>
      <c r="SU8" s="980"/>
      <c r="SV8" s="980"/>
      <c r="SW8" s="980"/>
      <c r="SX8" s="980"/>
      <c r="SY8" s="980"/>
      <c r="SZ8" s="980"/>
      <c r="TA8" s="980"/>
      <c r="TB8" s="980"/>
      <c r="TC8" s="980"/>
      <c r="TD8" s="980"/>
      <c r="TE8" s="980"/>
      <c r="TF8" s="980"/>
      <c r="TG8" s="980"/>
      <c r="TH8" s="980"/>
      <c r="TI8" s="980"/>
      <c r="TJ8" s="980"/>
      <c r="TK8" s="980"/>
      <c r="TL8" s="980"/>
      <c r="TM8" s="980"/>
      <c r="TN8" s="980"/>
      <c r="TO8" s="980"/>
      <c r="TP8" s="980"/>
      <c r="TQ8" s="980"/>
      <c r="TR8" s="980"/>
      <c r="TS8" s="980"/>
      <c r="TT8" s="980"/>
      <c r="TU8" s="980"/>
      <c r="TV8" s="980"/>
      <c r="TW8" s="980"/>
      <c r="TX8" s="980"/>
      <c r="TY8" s="980"/>
      <c r="TZ8" s="980"/>
      <c r="UA8" s="980"/>
      <c r="UB8" s="980"/>
      <c r="UC8" s="980"/>
      <c r="UD8" s="980"/>
      <c r="UE8" s="980"/>
      <c r="UF8" s="980"/>
      <c r="UG8" s="980"/>
      <c r="UH8" s="980"/>
      <c r="UI8" s="980"/>
      <c r="UJ8" s="980"/>
      <c r="UK8" s="980"/>
      <c r="UL8" s="980"/>
      <c r="UM8" s="980"/>
      <c r="UN8" s="980"/>
      <c r="UO8" s="980"/>
      <c r="UP8" s="980"/>
      <c r="UQ8" s="980"/>
      <c r="UR8" s="980"/>
      <c r="US8" s="980"/>
      <c r="UT8" s="980"/>
      <c r="UU8" s="980"/>
      <c r="UV8" s="980"/>
      <c r="UW8" s="980"/>
      <c r="UX8" s="980"/>
      <c r="UY8" s="980"/>
      <c r="UZ8" s="980"/>
      <c r="VA8" s="980"/>
      <c r="VB8" s="980"/>
      <c r="VC8" s="980"/>
      <c r="VD8" s="980"/>
      <c r="VE8" s="980"/>
      <c r="VF8" s="980"/>
      <c r="VG8" s="980"/>
      <c r="VH8" s="980"/>
      <c r="VI8" s="980"/>
      <c r="VJ8" s="980"/>
      <c r="VK8" s="980"/>
      <c r="VL8" s="980"/>
      <c r="VM8" s="980"/>
      <c r="VN8" s="980"/>
      <c r="VO8" s="980"/>
      <c r="VP8" s="980"/>
      <c r="VQ8" s="980"/>
      <c r="VR8" s="980"/>
      <c r="VS8" s="980"/>
      <c r="VT8" s="980"/>
      <c r="VU8" s="980"/>
      <c r="VV8" s="980"/>
      <c r="VW8" s="980"/>
      <c r="VX8" s="980"/>
      <c r="VY8" s="980"/>
      <c r="VZ8" s="980"/>
      <c r="WA8" s="980"/>
      <c r="WB8" s="980"/>
      <c r="WC8" s="980"/>
      <c r="WD8" s="980"/>
      <c r="WE8" s="980"/>
      <c r="WF8" s="980"/>
      <c r="WG8" s="980"/>
      <c r="WH8" s="980"/>
      <c r="WI8" s="980"/>
      <c r="WJ8" s="980"/>
      <c r="WK8" s="980"/>
      <c r="WL8" s="980"/>
      <c r="WM8" s="980"/>
      <c r="WN8" s="980"/>
      <c r="WO8" s="980"/>
      <c r="WP8" s="980"/>
      <c r="WQ8" s="980"/>
      <c r="WR8" s="980"/>
      <c r="WS8" s="980"/>
      <c r="WT8" s="980"/>
      <c r="WU8" s="980"/>
      <c r="WV8" s="980"/>
      <c r="WW8" s="980"/>
      <c r="WX8" s="980"/>
      <c r="WY8" s="980"/>
      <c r="WZ8" s="980"/>
      <c r="XA8" s="980"/>
      <c r="XB8" s="980"/>
      <c r="XC8" s="980"/>
      <c r="XD8" s="980"/>
      <c r="XE8" s="980"/>
      <c r="XF8" s="980"/>
      <c r="XG8" s="980"/>
      <c r="XH8" s="980"/>
      <c r="XI8" s="980"/>
      <c r="XJ8" s="980"/>
      <c r="XK8" s="980"/>
      <c r="XL8" s="980"/>
      <c r="XM8" s="980"/>
      <c r="XN8" s="980"/>
      <c r="XO8" s="980"/>
      <c r="XP8" s="980"/>
      <c r="XQ8" s="980"/>
      <c r="XR8" s="980"/>
      <c r="XS8" s="980"/>
      <c r="XT8" s="980"/>
      <c r="XU8" s="980"/>
      <c r="XV8" s="980"/>
      <c r="XW8" s="980"/>
      <c r="XX8" s="980"/>
      <c r="XY8" s="980"/>
      <c r="XZ8" s="980"/>
      <c r="YA8" s="980"/>
      <c r="YB8" s="980"/>
      <c r="YC8" s="980"/>
      <c r="YD8" s="980"/>
      <c r="YE8" s="980"/>
      <c r="YF8" s="980"/>
      <c r="YG8" s="980"/>
      <c r="YH8" s="980"/>
      <c r="YI8" s="980"/>
      <c r="YJ8" s="980"/>
      <c r="YK8" s="980"/>
      <c r="YL8" s="980"/>
      <c r="YM8" s="980"/>
      <c r="YN8" s="980"/>
      <c r="YO8" s="980"/>
      <c r="YP8" s="980"/>
      <c r="YQ8" s="980"/>
      <c r="YR8" s="980"/>
      <c r="YS8" s="980"/>
      <c r="YT8" s="980"/>
      <c r="YU8" s="980"/>
      <c r="YV8" s="980"/>
      <c r="YW8" s="980"/>
      <c r="YX8" s="980"/>
      <c r="YY8" s="980"/>
      <c r="YZ8" s="980"/>
      <c r="ZA8" s="980"/>
      <c r="ZB8" s="980"/>
      <c r="ZC8" s="980"/>
      <c r="ZD8" s="980"/>
      <c r="ZE8" s="980"/>
      <c r="ZF8" s="980"/>
      <c r="ZG8" s="980"/>
      <c r="ZH8" s="980"/>
      <c r="ZI8" s="980"/>
      <c r="ZJ8" s="980"/>
      <c r="ZK8" s="980"/>
      <c r="ZL8" s="980"/>
      <c r="ZM8" s="980"/>
      <c r="ZN8" s="980"/>
      <c r="ZO8" s="980"/>
      <c r="ZP8" s="980"/>
      <c r="ZQ8" s="980"/>
      <c r="ZR8" s="980"/>
      <c r="ZS8" s="980"/>
      <c r="ZT8" s="980"/>
      <c r="ZU8" s="980"/>
      <c r="ZV8" s="980"/>
      <c r="ZW8" s="980"/>
      <c r="ZX8" s="980"/>
      <c r="ZY8" s="980"/>
      <c r="ZZ8" s="980"/>
      <c r="AAA8" s="980"/>
      <c r="AAB8" s="980"/>
      <c r="AAC8" s="980"/>
      <c r="AAD8" s="980"/>
      <c r="AAE8" s="980"/>
      <c r="AAF8" s="980"/>
      <c r="AAG8" s="980"/>
      <c r="AAH8" s="980"/>
      <c r="AAI8" s="980"/>
      <c r="AAJ8" s="980"/>
      <c r="AAK8" s="980"/>
      <c r="AAL8" s="980"/>
      <c r="AAM8" s="980"/>
      <c r="AAN8" s="980"/>
      <c r="AAO8" s="980"/>
      <c r="AAP8" s="980"/>
      <c r="AAQ8" s="980"/>
      <c r="AAR8" s="980"/>
      <c r="AAS8" s="980"/>
      <c r="AAT8" s="980"/>
      <c r="AAU8" s="980"/>
      <c r="AAV8" s="980"/>
      <c r="AAW8" s="980"/>
      <c r="AAX8" s="980"/>
      <c r="AAY8" s="980"/>
      <c r="AAZ8" s="980"/>
      <c r="ABA8" s="980"/>
      <c r="ABB8" s="980"/>
      <c r="ABC8" s="980"/>
      <c r="ABD8" s="980"/>
      <c r="ABE8" s="980"/>
      <c r="ABF8" s="980"/>
      <c r="ABG8" s="980"/>
      <c r="ABH8" s="980"/>
      <c r="ABI8" s="980"/>
      <c r="ABJ8" s="980"/>
      <c r="ABK8" s="980"/>
      <c r="ABL8" s="980"/>
      <c r="ABM8" s="980"/>
      <c r="ABN8" s="980"/>
      <c r="ABO8" s="980"/>
      <c r="ABP8" s="980"/>
      <c r="ABQ8" s="980"/>
      <c r="ABR8" s="980"/>
      <c r="ABS8" s="980"/>
      <c r="ABT8" s="980"/>
      <c r="ABU8" s="980"/>
      <c r="ABV8" s="980"/>
      <c r="ABW8" s="980"/>
      <c r="ABX8" s="980"/>
      <c r="ABY8" s="980"/>
      <c r="ABZ8" s="980"/>
      <c r="ACA8" s="980"/>
      <c r="ACB8" s="980"/>
      <c r="ACC8" s="980"/>
      <c r="ACD8" s="980"/>
      <c r="ACE8" s="980"/>
      <c r="ACF8" s="980"/>
      <c r="ACG8" s="980"/>
      <c r="ACH8" s="980"/>
      <c r="ACI8" s="980"/>
      <c r="ACJ8" s="980"/>
      <c r="ACK8" s="980"/>
      <c r="ACL8" s="980"/>
      <c r="ACM8" s="980"/>
      <c r="ACN8" s="980"/>
      <c r="ACO8" s="980"/>
      <c r="ACP8" s="980"/>
      <c r="ACQ8" s="980"/>
      <c r="ACR8" s="980"/>
      <c r="ACS8" s="980"/>
      <c r="ACT8" s="980"/>
      <c r="ACU8" s="980"/>
      <c r="ACV8" s="980"/>
      <c r="ACW8" s="980"/>
      <c r="ACX8" s="980"/>
      <c r="ACY8" s="980"/>
      <c r="ACZ8" s="980"/>
      <c r="ADA8" s="980"/>
      <c r="ADB8" s="980"/>
      <c r="ADC8" s="980"/>
      <c r="ADD8" s="980"/>
      <c r="ADE8" s="980"/>
      <c r="ADF8" s="980"/>
      <c r="ADG8" s="980"/>
      <c r="ADH8" s="980"/>
      <c r="ADI8" s="980"/>
      <c r="ADJ8" s="980"/>
      <c r="ADK8" s="980"/>
      <c r="ADL8" s="980"/>
      <c r="ADM8" s="980"/>
      <c r="ADN8" s="980"/>
      <c r="ADO8" s="980"/>
      <c r="ADP8" s="980"/>
      <c r="ADQ8" s="980"/>
      <c r="ADR8" s="980"/>
      <c r="ADS8" s="980"/>
      <c r="ADT8" s="980"/>
      <c r="ADU8" s="980"/>
      <c r="ADV8" s="980"/>
      <c r="ADW8" s="980"/>
      <c r="ADX8" s="980"/>
      <c r="ADY8" s="980"/>
      <c r="ADZ8" s="980"/>
      <c r="AEA8" s="980"/>
      <c r="AEB8" s="980"/>
      <c r="AEC8" s="980"/>
      <c r="AED8" s="980"/>
      <c r="AEE8" s="980"/>
      <c r="AEF8" s="980"/>
      <c r="AEG8" s="980"/>
      <c r="AEH8" s="980"/>
      <c r="AEI8" s="980"/>
      <c r="AEJ8" s="980"/>
      <c r="AEK8" s="980"/>
      <c r="AEL8" s="980"/>
      <c r="AEM8" s="980"/>
      <c r="AEN8" s="980"/>
      <c r="AEO8" s="980"/>
      <c r="AEP8" s="980"/>
      <c r="AEQ8" s="980"/>
      <c r="AER8" s="980"/>
      <c r="AES8" s="980"/>
      <c r="AET8" s="980"/>
      <c r="AEU8" s="980"/>
      <c r="AEV8" s="980"/>
      <c r="AEW8" s="980"/>
      <c r="AEX8" s="980"/>
      <c r="AEY8" s="980"/>
      <c r="AEZ8" s="980"/>
      <c r="AFA8" s="980"/>
      <c r="AFB8" s="980"/>
      <c r="AFC8" s="980"/>
      <c r="AFD8" s="980"/>
      <c r="AFE8" s="980"/>
      <c r="AFF8" s="980"/>
      <c r="AFG8" s="980"/>
      <c r="AFH8" s="980"/>
      <c r="AFI8" s="980"/>
      <c r="AFJ8" s="980"/>
      <c r="AFK8" s="980"/>
      <c r="AFL8" s="980"/>
      <c r="AFM8" s="980"/>
      <c r="AFN8" s="980"/>
      <c r="AFO8" s="980"/>
      <c r="AFP8" s="980"/>
      <c r="AFQ8" s="980"/>
      <c r="AFR8" s="980"/>
      <c r="AFS8" s="980"/>
      <c r="AFT8" s="980"/>
      <c r="AFU8" s="980"/>
      <c r="AFV8" s="980"/>
      <c r="AFW8" s="980"/>
      <c r="AFX8" s="980"/>
      <c r="AFY8" s="980"/>
      <c r="AFZ8" s="980"/>
      <c r="AGA8" s="980"/>
      <c r="AGB8" s="980"/>
      <c r="AGC8" s="980"/>
      <c r="AGD8" s="980"/>
      <c r="AGE8" s="980"/>
      <c r="AGF8" s="980"/>
      <c r="AGG8" s="980"/>
      <c r="AGH8" s="980"/>
      <c r="AGI8" s="980"/>
      <c r="AGJ8" s="980"/>
      <c r="AGK8" s="980"/>
      <c r="AGL8" s="980"/>
      <c r="AGM8" s="980"/>
      <c r="AGN8" s="980"/>
      <c r="AGO8" s="980"/>
      <c r="AGP8" s="980"/>
      <c r="AGQ8" s="980"/>
      <c r="AGR8" s="980"/>
      <c r="AGS8" s="980"/>
      <c r="AGT8" s="980"/>
      <c r="AGU8" s="980"/>
      <c r="AGV8" s="980"/>
      <c r="AGW8" s="980"/>
      <c r="AGX8" s="980"/>
      <c r="AGY8" s="980"/>
      <c r="AGZ8" s="980"/>
      <c r="AHA8" s="980"/>
      <c r="AHB8" s="980"/>
      <c r="AHC8" s="980"/>
      <c r="AHD8" s="980"/>
      <c r="AHE8" s="980"/>
      <c r="AHF8" s="980"/>
      <c r="AHG8" s="980"/>
      <c r="AHH8" s="980"/>
      <c r="AHI8" s="980"/>
      <c r="AHJ8" s="980"/>
      <c r="AHK8" s="980"/>
      <c r="AHL8" s="980"/>
      <c r="AHM8" s="980"/>
      <c r="AHN8" s="980"/>
      <c r="AHO8" s="980"/>
      <c r="AHP8" s="980"/>
      <c r="AHQ8" s="980"/>
      <c r="AHR8" s="980"/>
      <c r="AHS8" s="980"/>
      <c r="AHT8" s="980"/>
      <c r="AHU8" s="980"/>
      <c r="AHV8" s="980"/>
      <c r="AHW8" s="980"/>
      <c r="AHX8" s="980"/>
      <c r="AHY8" s="980"/>
      <c r="AHZ8" s="980"/>
      <c r="AIA8" s="980"/>
      <c r="AIB8" s="980"/>
      <c r="AIC8" s="980"/>
      <c r="AID8" s="980"/>
      <c r="AIE8" s="980"/>
      <c r="AIF8" s="980"/>
      <c r="AIG8" s="980"/>
      <c r="AIH8" s="980"/>
      <c r="AII8" s="980"/>
      <c r="AIJ8" s="980"/>
      <c r="AIK8" s="980"/>
      <c r="AIL8" s="980"/>
      <c r="AIM8" s="980"/>
      <c r="AIN8" s="980"/>
      <c r="AIO8" s="980"/>
      <c r="AIP8" s="980"/>
      <c r="AIQ8" s="980"/>
      <c r="AIR8" s="980"/>
      <c r="AIS8" s="980"/>
      <c r="AIT8" s="980"/>
      <c r="AIU8" s="980"/>
      <c r="AIV8" s="980"/>
      <c r="AIW8" s="980"/>
      <c r="AIX8" s="980"/>
      <c r="AIY8" s="980"/>
      <c r="AIZ8" s="980"/>
      <c r="AJA8" s="980"/>
      <c r="AJB8" s="980"/>
      <c r="AJC8" s="980"/>
      <c r="AJD8" s="980"/>
      <c r="AJE8" s="980"/>
      <c r="AJF8" s="980"/>
      <c r="AJG8" s="980"/>
      <c r="AJH8" s="980"/>
      <c r="AJI8" s="980"/>
      <c r="AJJ8" s="980"/>
      <c r="AJK8" s="980"/>
      <c r="AJL8" s="980"/>
      <c r="AJM8" s="980"/>
      <c r="AJN8" s="980"/>
      <c r="AJO8" s="980"/>
      <c r="AJP8" s="980"/>
      <c r="AJQ8" s="980"/>
      <c r="AJR8" s="980"/>
      <c r="AJS8" s="980"/>
      <c r="AJT8" s="980"/>
      <c r="AJU8" s="980"/>
      <c r="AJV8" s="980"/>
      <c r="AJW8" s="980"/>
      <c r="AJX8" s="980"/>
      <c r="AJY8" s="980"/>
      <c r="AJZ8" s="980"/>
      <c r="AKA8" s="980"/>
      <c r="AKB8" s="980"/>
      <c r="AKC8" s="980"/>
      <c r="AKD8" s="980"/>
      <c r="AKE8" s="980"/>
      <c r="AKF8" s="980"/>
      <c r="AKG8" s="980"/>
      <c r="AKH8" s="980"/>
      <c r="AKI8" s="980"/>
      <c r="AKJ8" s="980"/>
      <c r="AKK8" s="980"/>
      <c r="AKL8" s="980"/>
      <c r="AKM8" s="980"/>
      <c r="AKN8" s="980"/>
      <c r="AKO8" s="980"/>
      <c r="AKP8" s="980"/>
      <c r="AKQ8" s="980"/>
      <c r="AKR8" s="980"/>
      <c r="AKS8" s="980"/>
      <c r="AKT8" s="980"/>
      <c r="AKU8" s="980"/>
      <c r="AKV8" s="980"/>
      <c r="AKW8" s="980"/>
      <c r="AKX8" s="980"/>
      <c r="AKY8" s="980"/>
      <c r="AKZ8" s="980"/>
      <c r="ALA8" s="980"/>
      <c r="ALB8" s="980"/>
      <c r="ALC8" s="980"/>
      <c r="ALD8" s="980"/>
      <c r="ALE8" s="980"/>
      <c r="ALF8" s="980"/>
      <c r="ALG8" s="980"/>
      <c r="ALH8" s="980"/>
      <c r="ALI8" s="980"/>
      <c r="ALJ8" s="980"/>
      <c r="ALK8" s="980"/>
      <c r="ALL8" s="980"/>
      <c r="ALM8" s="980"/>
      <c r="ALN8" s="980"/>
      <c r="ALO8" s="980"/>
      <c r="ALP8" s="980"/>
      <c r="ALQ8" s="980"/>
      <c r="ALR8" s="980"/>
      <c r="ALS8" s="980"/>
      <c r="ALT8" s="980"/>
      <c r="ALU8" s="980"/>
      <c r="ALV8" s="980"/>
      <c r="ALW8" s="980"/>
      <c r="ALX8" s="980"/>
      <c r="ALY8" s="980"/>
      <c r="ALZ8" s="980"/>
      <c r="AMA8" s="980"/>
      <c r="AMB8" s="980"/>
      <c r="AMC8" s="980"/>
      <c r="AMD8" s="980"/>
      <c r="AME8" s="980"/>
      <c r="AMF8" s="980"/>
      <c r="AMG8" s="980"/>
      <c r="AMH8" s="980"/>
    </row>
    <row r="9" spans="1:1022" ht="15.6">
      <c r="A9" s="984" t="s">
        <v>1518</v>
      </c>
      <c r="B9" s="985" t="s">
        <v>1510</v>
      </c>
      <c r="C9" s="980"/>
      <c r="D9" s="980"/>
      <c r="E9" s="980"/>
      <c r="F9" s="980"/>
      <c r="G9" s="980"/>
      <c r="H9" s="981"/>
      <c r="I9" s="980"/>
      <c r="J9" s="980"/>
      <c r="K9" s="980"/>
      <c r="L9" s="980"/>
      <c r="M9" s="980"/>
      <c r="N9" s="981"/>
      <c r="O9" s="981"/>
      <c r="P9" s="981"/>
      <c r="Q9" s="981"/>
      <c r="R9" s="980"/>
      <c r="S9" s="981"/>
      <c r="T9" s="980"/>
      <c r="U9" s="980"/>
      <c r="V9" s="980"/>
      <c r="W9" s="980"/>
      <c r="X9" s="980"/>
      <c r="Y9" s="980"/>
      <c r="Z9" s="980"/>
      <c r="AA9" s="980"/>
      <c r="AB9" s="980"/>
      <c r="AC9" s="980"/>
      <c r="AD9" s="980"/>
      <c r="AE9" s="980"/>
      <c r="AF9" s="980"/>
      <c r="AG9" s="980"/>
      <c r="AH9" s="980"/>
      <c r="AI9" s="980"/>
      <c r="AJ9" s="980"/>
      <c r="AK9" s="980"/>
      <c r="AL9" s="980"/>
      <c r="AM9" s="980"/>
      <c r="AN9" s="980"/>
      <c r="AO9" s="980"/>
      <c r="AP9" s="980"/>
      <c r="AQ9" s="980"/>
      <c r="AR9" s="980"/>
      <c r="AS9" s="980"/>
      <c r="AT9" s="980"/>
      <c r="AU9" s="980"/>
      <c r="AV9" s="980"/>
      <c r="AW9" s="980"/>
      <c r="AX9" s="980"/>
      <c r="AY9" s="980"/>
      <c r="AZ9" s="980"/>
      <c r="BA9" s="980"/>
      <c r="BB9" s="980"/>
      <c r="BC9" s="980"/>
      <c r="BD9" s="980"/>
      <c r="BE9" s="980"/>
      <c r="BF9" s="980"/>
      <c r="BG9" s="980"/>
      <c r="BH9" s="980"/>
      <c r="BI9" s="980"/>
      <c r="BJ9" s="980"/>
      <c r="BK9" s="980"/>
      <c r="BL9" s="980"/>
      <c r="BM9" s="980"/>
      <c r="BN9" s="980"/>
      <c r="BO9" s="980"/>
      <c r="BP9" s="980"/>
      <c r="BQ9" s="980"/>
      <c r="BR9" s="980"/>
      <c r="BS9" s="980"/>
      <c r="BT9" s="980"/>
      <c r="BU9" s="980"/>
      <c r="BV9" s="980"/>
      <c r="BW9" s="980"/>
      <c r="BX9" s="980"/>
      <c r="BY9" s="980"/>
      <c r="BZ9" s="980"/>
      <c r="CA9" s="980"/>
      <c r="CB9" s="980"/>
      <c r="CC9" s="980"/>
      <c r="CD9" s="980"/>
      <c r="CE9" s="980"/>
      <c r="CF9" s="980"/>
      <c r="CG9" s="980"/>
      <c r="CH9" s="980"/>
      <c r="CI9" s="980"/>
      <c r="CJ9" s="980"/>
      <c r="CK9" s="980"/>
      <c r="CL9" s="980"/>
      <c r="CM9" s="980"/>
      <c r="CN9" s="980"/>
      <c r="CO9" s="980"/>
      <c r="CP9" s="980"/>
      <c r="CQ9" s="980"/>
      <c r="CR9" s="980"/>
      <c r="CS9" s="980"/>
      <c r="CT9" s="980"/>
      <c r="CU9" s="980"/>
      <c r="CV9" s="980"/>
      <c r="CW9" s="980"/>
      <c r="CX9" s="980"/>
      <c r="CY9" s="980"/>
      <c r="CZ9" s="980"/>
      <c r="DA9" s="980"/>
      <c r="DB9" s="980"/>
      <c r="DC9" s="980"/>
      <c r="DD9" s="980"/>
      <c r="DE9" s="980"/>
      <c r="DF9" s="980"/>
      <c r="DG9" s="980"/>
      <c r="DH9" s="980"/>
      <c r="DI9" s="980"/>
      <c r="DJ9" s="980"/>
      <c r="DK9" s="980"/>
      <c r="DL9" s="980"/>
      <c r="DM9" s="980"/>
      <c r="DN9" s="980"/>
      <c r="DO9" s="980"/>
      <c r="DP9" s="980"/>
      <c r="DQ9" s="980"/>
      <c r="DR9" s="980"/>
      <c r="DS9" s="980"/>
      <c r="DT9" s="980"/>
      <c r="DU9" s="980"/>
      <c r="DV9" s="980"/>
      <c r="DW9" s="980"/>
      <c r="DX9" s="980"/>
      <c r="DY9" s="980"/>
      <c r="DZ9" s="980"/>
      <c r="EA9" s="980"/>
      <c r="EB9" s="980"/>
      <c r="EC9" s="980"/>
      <c r="ED9" s="980"/>
      <c r="EE9" s="980"/>
      <c r="EF9" s="980"/>
      <c r="EG9" s="980"/>
      <c r="EH9" s="980"/>
      <c r="EI9" s="980"/>
      <c r="EJ9" s="980"/>
      <c r="EK9" s="980"/>
      <c r="EL9" s="980"/>
      <c r="EM9" s="980"/>
      <c r="EN9" s="980"/>
      <c r="EO9" s="980"/>
      <c r="EP9" s="980"/>
      <c r="EQ9" s="980"/>
      <c r="ER9" s="980"/>
      <c r="ES9" s="980"/>
      <c r="ET9" s="980"/>
      <c r="EU9" s="980"/>
      <c r="EV9" s="980"/>
      <c r="EW9" s="980"/>
      <c r="EX9" s="980"/>
      <c r="EY9" s="980"/>
      <c r="EZ9" s="980"/>
      <c r="FA9" s="980"/>
      <c r="FB9" s="980"/>
      <c r="FC9" s="980"/>
      <c r="FD9" s="980"/>
      <c r="FE9" s="980"/>
      <c r="FF9" s="980"/>
      <c r="FG9" s="980"/>
      <c r="FH9" s="980"/>
      <c r="FI9" s="980"/>
      <c r="FJ9" s="980"/>
      <c r="FK9" s="980"/>
      <c r="FL9" s="980"/>
      <c r="FM9" s="980"/>
      <c r="FN9" s="980"/>
      <c r="FO9" s="980"/>
      <c r="FP9" s="980"/>
      <c r="FQ9" s="980"/>
      <c r="FR9" s="980"/>
      <c r="FS9" s="980"/>
      <c r="FT9" s="980"/>
      <c r="FU9" s="980"/>
      <c r="FV9" s="980"/>
      <c r="FW9" s="980"/>
      <c r="FX9" s="980"/>
      <c r="FY9" s="980"/>
      <c r="FZ9" s="980"/>
      <c r="GA9" s="980"/>
      <c r="GB9" s="980"/>
      <c r="GC9" s="980"/>
      <c r="GD9" s="980"/>
      <c r="GE9" s="980"/>
      <c r="GF9" s="980"/>
      <c r="GG9" s="980"/>
      <c r="GH9" s="980"/>
      <c r="GI9" s="980"/>
      <c r="GJ9" s="980"/>
      <c r="GK9" s="980"/>
      <c r="GL9" s="980"/>
      <c r="GM9" s="980"/>
      <c r="GN9" s="980"/>
      <c r="GO9" s="980"/>
      <c r="GP9" s="980"/>
      <c r="GQ9" s="980"/>
      <c r="GR9" s="980"/>
      <c r="GS9" s="980"/>
      <c r="GT9" s="980"/>
      <c r="GU9" s="980"/>
      <c r="GV9" s="980"/>
      <c r="GW9" s="980"/>
      <c r="GX9" s="980"/>
      <c r="GY9" s="980"/>
      <c r="GZ9" s="980"/>
      <c r="HA9" s="980"/>
      <c r="HB9" s="980"/>
      <c r="HC9" s="980"/>
      <c r="HD9" s="980"/>
      <c r="HE9" s="980"/>
      <c r="HF9" s="980"/>
      <c r="HG9" s="980"/>
      <c r="HH9" s="980"/>
      <c r="HI9" s="980"/>
      <c r="HJ9" s="980"/>
      <c r="HK9" s="980"/>
      <c r="HL9" s="980"/>
      <c r="HM9" s="980"/>
      <c r="HN9" s="980"/>
      <c r="HO9" s="980"/>
      <c r="HP9" s="980"/>
      <c r="HQ9" s="980"/>
      <c r="HR9" s="980"/>
      <c r="HS9" s="980"/>
      <c r="HT9" s="980"/>
      <c r="HU9" s="980"/>
      <c r="HV9" s="980"/>
      <c r="HW9" s="980"/>
      <c r="HX9" s="980"/>
      <c r="HY9" s="980"/>
      <c r="HZ9" s="980"/>
      <c r="IA9" s="980"/>
      <c r="IB9" s="980"/>
      <c r="IC9" s="980"/>
      <c r="ID9" s="980"/>
      <c r="IE9" s="980"/>
      <c r="IF9" s="980"/>
      <c r="IG9" s="980"/>
      <c r="IH9" s="980"/>
      <c r="II9" s="980"/>
      <c r="IJ9" s="980"/>
      <c r="IK9" s="980"/>
      <c r="IL9" s="980"/>
      <c r="IM9" s="980"/>
      <c r="IN9" s="980"/>
      <c r="IO9" s="980"/>
      <c r="IP9" s="980"/>
      <c r="IQ9" s="980"/>
      <c r="IR9" s="980"/>
      <c r="IS9" s="980"/>
      <c r="IT9" s="980"/>
      <c r="IU9" s="980"/>
      <c r="IV9" s="980"/>
      <c r="IW9" s="980"/>
      <c r="IX9" s="980"/>
      <c r="IY9" s="980"/>
      <c r="IZ9" s="980"/>
      <c r="JA9" s="980"/>
      <c r="JB9" s="980"/>
      <c r="JC9" s="980"/>
      <c r="JD9" s="980"/>
      <c r="JE9" s="980"/>
      <c r="JF9" s="980"/>
      <c r="JG9" s="980"/>
      <c r="JH9" s="980"/>
      <c r="JI9" s="980"/>
      <c r="JJ9" s="980"/>
      <c r="JK9" s="980"/>
      <c r="JL9" s="980"/>
      <c r="JM9" s="980"/>
      <c r="JN9" s="980"/>
      <c r="JO9" s="980"/>
      <c r="JP9" s="980"/>
      <c r="JQ9" s="980"/>
      <c r="JR9" s="980"/>
      <c r="JS9" s="980"/>
      <c r="JT9" s="980"/>
      <c r="JU9" s="980"/>
      <c r="JV9" s="980"/>
      <c r="JW9" s="980"/>
      <c r="JX9" s="980"/>
      <c r="JY9" s="980"/>
      <c r="JZ9" s="980"/>
      <c r="KA9" s="980"/>
      <c r="KB9" s="980"/>
      <c r="KC9" s="980"/>
      <c r="KD9" s="980"/>
      <c r="KE9" s="980"/>
      <c r="KF9" s="980"/>
      <c r="KG9" s="980"/>
      <c r="KH9" s="980"/>
      <c r="KI9" s="980"/>
      <c r="KJ9" s="980"/>
      <c r="KK9" s="980"/>
      <c r="KL9" s="980"/>
      <c r="KM9" s="980"/>
      <c r="KN9" s="980"/>
      <c r="KO9" s="980"/>
      <c r="KP9" s="980"/>
      <c r="KQ9" s="980"/>
      <c r="KR9" s="980"/>
      <c r="KS9" s="980"/>
      <c r="KT9" s="980"/>
      <c r="KU9" s="980"/>
      <c r="KV9" s="980"/>
      <c r="KW9" s="980"/>
      <c r="KX9" s="980"/>
      <c r="KY9" s="980"/>
      <c r="KZ9" s="980"/>
      <c r="LA9" s="980"/>
      <c r="LB9" s="980"/>
      <c r="LC9" s="980"/>
      <c r="LD9" s="980"/>
      <c r="LE9" s="980"/>
      <c r="LF9" s="980"/>
      <c r="LG9" s="980"/>
      <c r="LH9" s="980"/>
      <c r="LI9" s="980"/>
      <c r="LJ9" s="980"/>
      <c r="LK9" s="980"/>
      <c r="LL9" s="980"/>
      <c r="LM9" s="980"/>
      <c r="LN9" s="980"/>
      <c r="LO9" s="980"/>
      <c r="LP9" s="980"/>
      <c r="LQ9" s="980"/>
      <c r="LR9" s="980"/>
      <c r="LS9" s="980"/>
      <c r="LT9" s="980"/>
      <c r="LU9" s="980"/>
      <c r="LV9" s="980"/>
      <c r="LW9" s="980"/>
      <c r="LX9" s="980"/>
      <c r="LY9" s="980"/>
      <c r="LZ9" s="980"/>
      <c r="MA9" s="980"/>
      <c r="MB9" s="980"/>
      <c r="MC9" s="980"/>
      <c r="MD9" s="980"/>
      <c r="ME9" s="980"/>
      <c r="MF9" s="980"/>
      <c r="MG9" s="980"/>
      <c r="MH9" s="980"/>
      <c r="MI9" s="980"/>
      <c r="MJ9" s="980"/>
      <c r="MK9" s="980"/>
      <c r="ML9" s="980"/>
      <c r="MM9" s="980"/>
      <c r="MN9" s="980"/>
      <c r="MO9" s="980"/>
      <c r="MP9" s="980"/>
      <c r="MQ9" s="980"/>
      <c r="MR9" s="980"/>
      <c r="MS9" s="980"/>
      <c r="MT9" s="980"/>
      <c r="MU9" s="980"/>
      <c r="MV9" s="980"/>
      <c r="MW9" s="980"/>
      <c r="MX9" s="980"/>
      <c r="MY9" s="980"/>
      <c r="MZ9" s="980"/>
      <c r="NA9" s="980"/>
      <c r="NB9" s="980"/>
      <c r="NC9" s="980"/>
      <c r="ND9" s="980"/>
      <c r="NE9" s="980"/>
      <c r="NF9" s="980"/>
      <c r="NG9" s="980"/>
      <c r="NH9" s="980"/>
      <c r="NI9" s="980"/>
      <c r="NJ9" s="980"/>
      <c r="NK9" s="980"/>
      <c r="NL9" s="980"/>
      <c r="NM9" s="980"/>
      <c r="NN9" s="980"/>
      <c r="NO9" s="980"/>
      <c r="NP9" s="980"/>
      <c r="NQ9" s="980"/>
      <c r="NR9" s="980"/>
      <c r="NS9" s="980"/>
      <c r="NT9" s="980"/>
      <c r="NU9" s="980"/>
      <c r="NV9" s="980"/>
      <c r="NW9" s="980"/>
      <c r="NX9" s="980"/>
      <c r="NY9" s="980"/>
      <c r="NZ9" s="980"/>
      <c r="OA9" s="980"/>
      <c r="OB9" s="980"/>
      <c r="OC9" s="980"/>
      <c r="OD9" s="980"/>
      <c r="OE9" s="980"/>
      <c r="OF9" s="980"/>
      <c r="OG9" s="980"/>
      <c r="OH9" s="980"/>
      <c r="OI9" s="980"/>
      <c r="OJ9" s="980"/>
      <c r="OK9" s="980"/>
      <c r="OL9" s="980"/>
      <c r="OM9" s="980"/>
      <c r="ON9" s="980"/>
      <c r="OO9" s="980"/>
      <c r="OP9" s="980"/>
      <c r="OQ9" s="980"/>
      <c r="OR9" s="980"/>
      <c r="OS9" s="980"/>
      <c r="OT9" s="980"/>
      <c r="OU9" s="980"/>
      <c r="OV9" s="980"/>
      <c r="OW9" s="980"/>
      <c r="OX9" s="980"/>
      <c r="OY9" s="980"/>
      <c r="OZ9" s="980"/>
      <c r="PA9" s="980"/>
      <c r="PB9" s="980"/>
      <c r="PC9" s="980"/>
      <c r="PD9" s="980"/>
      <c r="PE9" s="980"/>
      <c r="PF9" s="980"/>
      <c r="PG9" s="980"/>
      <c r="PH9" s="980"/>
      <c r="PI9" s="980"/>
      <c r="PJ9" s="980"/>
      <c r="PK9" s="980"/>
      <c r="PL9" s="980"/>
      <c r="PM9" s="980"/>
      <c r="PN9" s="980"/>
      <c r="PO9" s="980"/>
      <c r="PP9" s="980"/>
      <c r="PQ9" s="980"/>
      <c r="PR9" s="980"/>
      <c r="PS9" s="980"/>
      <c r="PT9" s="980"/>
      <c r="PU9" s="980"/>
      <c r="PV9" s="980"/>
      <c r="PW9" s="980"/>
      <c r="PX9" s="980"/>
      <c r="PY9" s="980"/>
      <c r="PZ9" s="980"/>
      <c r="QA9" s="980"/>
      <c r="QB9" s="980"/>
      <c r="QC9" s="980"/>
      <c r="QD9" s="980"/>
      <c r="QE9" s="980"/>
      <c r="QF9" s="980"/>
      <c r="QG9" s="980"/>
      <c r="QH9" s="980"/>
      <c r="QI9" s="980"/>
      <c r="QJ9" s="980"/>
      <c r="QK9" s="980"/>
      <c r="QL9" s="980"/>
      <c r="QM9" s="980"/>
      <c r="QN9" s="980"/>
      <c r="QO9" s="980"/>
      <c r="QP9" s="980"/>
      <c r="QQ9" s="980"/>
      <c r="QR9" s="980"/>
      <c r="QS9" s="980"/>
      <c r="QT9" s="980"/>
      <c r="QU9" s="980"/>
      <c r="QV9" s="980"/>
      <c r="QW9" s="980"/>
      <c r="QX9" s="980"/>
      <c r="QY9" s="980"/>
      <c r="QZ9" s="980"/>
      <c r="RA9" s="980"/>
      <c r="RB9" s="980"/>
      <c r="RC9" s="980"/>
      <c r="RD9" s="980"/>
      <c r="RE9" s="980"/>
      <c r="RF9" s="980"/>
      <c r="RG9" s="980"/>
      <c r="RH9" s="980"/>
      <c r="RI9" s="980"/>
      <c r="RJ9" s="980"/>
      <c r="RK9" s="980"/>
      <c r="RL9" s="980"/>
      <c r="RM9" s="980"/>
      <c r="RN9" s="980"/>
      <c r="RO9" s="980"/>
      <c r="RP9" s="980"/>
      <c r="RQ9" s="980"/>
      <c r="RR9" s="980"/>
      <c r="RS9" s="980"/>
      <c r="RT9" s="980"/>
      <c r="RU9" s="980"/>
      <c r="RV9" s="980"/>
      <c r="RW9" s="980"/>
      <c r="RX9" s="980"/>
      <c r="RY9" s="980"/>
      <c r="RZ9" s="980"/>
      <c r="SA9" s="980"/>
      <c r="SB9" s="980"/>
      <c r="SC9" s="980"/>
      <c r="SD9" s="980"/>
      <c r="SE9" s="980"/>
      <c r="SF9" s="980"/>
      <c r="SG9" s="980"/>
      <c r="SH9" s="980"/>
      <c r="SI9" s="980"/>
      <c r="SJ9" s="980"/>
      <c r="SK9" s="980"/>
      <c r="SL9" s="980"/>
      <c r="SM9" s="980"/>
      <c r="SN9" s="980"/>
      <c r="SO9" s="980"/>
      <c r="SP9" s="980"/>
      <c r="SQ9" s="980"/>
      <c r="SR9" s="980"/>
      <c r="SS9" s="980"/>
      <c r="ST9" s="980"/>
      <c r="SU9" s="980"/>
      <c r="SV9" s="980"/>
      <c r="SW9" s="980"/>
      <c r="SX9" s="980"/>
      <c r="SY9" s="980"/>
      <c r="SZ9" s="980"/>
      <c r="TA9" s="980"/>
      <c r="TB9" s="980"/>
      <c r="TC9" s="980"/>
      <c r="TD9" s="980"/>
      <c r="TE9" s="980"/>
      <c r="TF9" s="980"/>
      <c r="TG9" s="980"/>
      <c r="TH9" s="980"/>
      <c r="TI9" s="980"/>
      <c r="TJ9" s="980"/>
      <c r="TK9" s="980"/>
      <c r="TL9" s="980"/>
      <c r="TM9" s="980"/>
      <c r="TN9" s="980"/>
      <c r="TO9" s="980"/>
      <c r="TP9" s="980"/>
      <c r="TQ9" s="980"/>
      <c r="TR9" s="980"/>
      <c r="TS9" s="980"/>
      <c r="TT9" s="980"/>
      <c r="TU9" s="980"/>
      <c r="TV9" s="980"/>
      <c r="TW9" s="980"/>
      <c r="TX9" s="980"/>
      <c r="TY9" s="980"/>
      <c r="TZ9" s="980"/>
      <c r="UA9" s="980"/>
      <c r="UB9" s="980"/>
      <c r="UC9" s="980"/>
      <c r="UD9" s="980"/>
      <c r="UE9" s="980"/>
      <c r="UF9" s="980"/>
      <c r="UG9" s="980"/>
      <c r="UH9" s="980"/>
      <c r="UI9" s="980"/>
      <c r="UJ9" s="980"/>
      <c r="UK9" s="980"/>
      <c r="UL9" s="980"/>
      <c r="UM9" s="980"/>
      <c r="UN9" s="980"/>
      <c r="UO9" s="980"/>
      <c r="UP9" s="980"/>
      <c r="UQ9" s="980"/>
      <c r="UR9" s="980"/>
      <c r="US9" s="980"/>
      <c r="UT9" s="980"/>
      <c r="UU9" s="980"/>
      <c r="UV9" s="980"/>
      <c r="UW9" s="980"/>
      <c r="UX9" s="980"/>
      <c r="UY9" s="980"/>
      <c r="UZ9" s="980"/>
      <c r="VA9" s="980"/>
      <c r="VB9" s="980"/>
      <c r="VC9" s="980"/>
      <c r="VD9" s="980"/>
      <c r="VE9" s="980"/>
      <c r="VF9" s="980"/>
      <c r="VG9" s="980"/>
      <c r="VH9" s="980"/>
      <c r="VI9" s="980"/>
      <c r="VJ9" s="980"/>
      <c r="VK9" s="980"/>
      <c r="VL9" s="980"/>
      <c r="VM9" s="980"/>
      <c r="VN9" s="980"/>
      <c r="VO9" s="980"/>
      <c r="VP9" s="980"/>
      <c r="VQ9" s="980"/>
      <c r="VR9" s="980"/>
      <c r="VS9" s="980"/>
      <c r="VT9" s="980"/>
      <c r="VU9" s="980"/>
      <c r="VV9" s="980"/>
      <c r="VW9" s="980"/>
      <c r="VX9" s="980"/>
      <c r="VY9" s="980"/>
      <c r="VZ9" s="980"/>
      <c r="WA9" s="980"/>
      <c r="WB9" s="980"/>
      <c r="WC9" s="980"/>
      <c r="WD9" s="980"/>
      <c r="WE9" s="980"/>
      <c r="WF9" s="980"/>
      <c r="WG9" s="980"/>
      <c r="WH9" s="980"/>
      <c r="WI9" s="980"/>
      <c r="WJ9" s="980"/>
      <c r="WK9" s="980"/>
      <c r="WL9" s="980"/>
      <c r="WM9" s="980"/>
      <c r="WN9" s="980"/>
      <c r="WO9" s="980"/>
      <c r="WP9" s="980"/>
      <c r="WQ9" s="980"/>
      <c r="WR9" s="980"/>
      <c r="WS9" s="980"/>
      <c r="WT9" s="980"/>
      <c r="WU9" s="980"/>
      <c r="WV9" s="980"/>
      <c r="WW9" s="980"/>
      <c r="WX9" s="980"/>
      <c r="WY9" s="980"/>
      <c r="WZ9" s="980"/>
      <c r="XA9" s="980"/>
      <c r="XB9" s="980"/>
      <c r="XC9" s="980"/>
      <c r="XD9" s="980"/>
      <c r="XE9" s="980"/>
      <c r="XF9" s="980"/>
      <c r="XG9" s="980"/>
      <c r="XH9" s="980"/>
      <c r="XI9" s="980"/>
      <c r="XJ9" s="980"/>
      <c r="XK9" s="980"/>
      <c r="XL9" s="980"/>
      <c r="XM9" s="980"/>
      <c r="XN9" s="980"/>
      <c r="XO9" s="980"/>
      <c r="XP9" s="980"/>
      <c r="XQ9" s="980"/>
      <c r="XR9" s="980"/>
      <c r="XS9" s="980"/>
      <c r="XT9" s="980"/>
      <c r="XU9" s="980"/>
      <c r="XV9" s="980"/>
      <c r="XW9" s="980"/>
      <c r="XX9" s="980"/>
      <c r="XY9" s="980"/>
      <c r="XZ9" s="980"/>
      <c r="YA9" s="980"/>
      <c r="YB9" s="980"/>
      <c r="YC9" s="980"/>
      <c r="YD9" s="980"/>
      <c r="YE9" s="980"/>
      <c r="YF9" s="980"/>
      <c r="YG9" s="980"/>
      <c r="YH9" s="980"/>
      <c r="YI9" s="980"/>
      <c r="YJ9" s="980"/>
      <c r="YK9" s="980"/>
      <c r="YL9" s="980"/>
      <c r="YM9" s="980"/>
      <c r="YN9" s="980"/>
      <c r="YO9" s="980"/>
      <c r="YP9" s="980"/>
      <c r="YQ9" s="980"/>
      <c r="YR9" s="980"/>
      <c r="YS9" s="980"/>
      <c r="YT9" s="980"/>
      <c r="YU9" s="980"/>
      <c r="YV9" s="980"/>
      <c r="YW9" s="980"/>
      <c r="YX9" s="980"/>
      <c r="YY9" s="980"/>
      <c r="YZ9" s="980"/>
      <c r="ZA9" s="980"/>
      <c r="ZB9" s="980"/>
      <c r="ZC9" s="980"/>
      <c r="ZD9" s="980"/>
      <c r="ZE9" s="980"/>
      <c r="ZF9" s="980"/>
      <c r="ZG9" s="980"/>
      <c r="ZH9" s="980"/>
      <c r="ZI9" s="980"/>
      <c r="ZJ9" s="980"/>
      <c r="ZK9" s="980"/>
      <c r="ZL9" s="980"/>
      <c r="ZM9" s="980"/>
      <c r="ZN9" s="980"/>
      <c r="ZO9" s="980"/>
      <c r="ZP9" s="980"/>
      <c r="ZQ9" s="980"/>
      <c r="ZR9" s="980"/>
      <c r="ZS9" s="980"/>
      <c r="ZT9" s="980"/>
      <c r="ZU9" s="980"/>
      <c r="ZV9" s="980"/>
      <c r="ZW9" s="980"/>
      <c r="ZX9" s="980"/>
      <c r="ZY9" s="980"/>
      <c r="ZZ9" s="980"/>
      <c r="AAA9" s="980"/>
      <c r="AAB9" s="980"/>
      <c r="AAC9" s="980"/>
      <c r="AAD9" s="980"/>
      <c r="AAE9" s="980"/>
      <c r="AAF9" s="980"/>
      <c r="AAG9" s="980"/>
      <c r="AAH9" s="980"/>
      <c r="AAI9" s="980"/>
      <c r="AAJ9" s="980"/>
      <c r="AAK9" s="980"/>
      <c r="AAL9" s="980"/>
      <c r="AAM9" s="980"/>
      <c r="AAN9" s="980"/>
      <c r="AAO9" s="980"/>
      <c r="AAP9" s="980"/>
      <c r="AAQ9" s="980"/>
      <c r="AAR9" s="980"/>
      <c r="AAS9" s="980"/>
      <c r="AAT9" s="980"/>
      <c r="AAU9" s="980"/>
      <c r="AAV9" s="980"/>
      <c r="AAW9" s="980"/>
      <c r="AAX9" s="980"/>
      <c r="AAY9" s="980"/>
      <c r="AAZ9" s="980"/>
      <c r="ABA9" s="980"/>
      <c r="ABB9" s="980"/>
      <c r="ABC9" s="980"/>
      <c r="ABD9" s="980"/>
      <c r="ABE9" s="980"/>
      <c r="ABF9" s="980"/>
      <c r="ABG9" s="980"/>
      <c r="ABH9" s="980"/>
      <c r="ABI9" s="980"/>
      <c r="ABJ9" s="980"/>
      <c r="ABK9" s="980"/>
      <c r="ABL9" s="980"/>
      <c r="ABM9" s="980"/>
      <c r="ABN9" s="980"/>
      <c r="ABO9" s="980"/>
      <c r="ABP9" s="980"/>
      <c r="ABQ9" s="980"/>
      <c r="ABR9" s="980"/>
      <c r="ABS9" s="980"/>
      <c r="ABT9" s="980"/>
      <c r="ABU9" s="980"/>
      <c r="ABV9" s="980"/>
      <c r="ABW9" s="980"/>
      <c r="ABX9" s="980"/>
      <c r="ABY9" s="980"/>
      <c r="ABZ9" s="980"/>
      <c r="ACA9" s="980"/>
      <c r="ACB9" s="980"/>
      <c r="ACC9" s="980"/>
      <c r="ACD9" s="980"/>
      <c r="ACE9" s="980"/>
      <c r="ACF9" s="980"/>
      <c r="ACG9" s="980"/>
      <c r="ACH9" s="980"/>
      <c r="ACI9" s="980"/>
      <c r="ACJ9" s="980"/>
      <c r="ACK9" s="980"/>
      <c r="ACL9" s="980"/>
      <c r="ACM9" s="980"/>
      <c r="ACN9" s="980"/>
      <c r="ACO9" s="980"/>
      <c r="ACP9" s="980"/>
      <c r="ACQ9" s="980"/>
      <c r="ACR9" s="980"/>
      <c r="ACS9" s="980"/>
      <c r="ACT9" s="980"/>
      <c r="ACU9" s="980"/>
      <c r="ACV9" s="980"/>
      <c r="ACW9" s="980"/>
      <c r="ACX9" s="980"/>
      <c r="ACY9" s="980"/>
      <c r="ACZ9" s="980"/>
      <c r="ADA9" s="980"/>
      <c r="ADB9" s="980"/>
      <c r="ADC9" s="980"/>
      <c r="ADD9" s="980"/>
      <c r="ADE9" s="980"/>
      <c r="ADF9" s="980"/>
      <c r="ADG9" s="980"/>
      <c r="ADH9" s="980"/>
      <c r="ADI9" s="980"/>
      <c r="ADJ9" s="980"/>
      <c r="ADK9" s="980"/>
      <c r="ADL9" s="980"/>
      <c r="ADM9" s="980"/>
      <c r="ADN9" s="980"/>
      <c r="ADO9" s="980"/>
      <c r="ADP9" s="980"/>
      <c r="ADQ9" s="980"/>
      <c r="ADR9" s="980"/>
      <c r="ADS9" s="980"/>
      <c r="ADT9" s="980"/>
      <c r="ADU9" s="980"/>
      <c r="ADV9" s="980"/>
      <c r="ADW9" s="980"/>
      <c r="ADX9" s="980"/>
      <c r="ADY9" s="980"/>
      <c r="ADZ9" s="980"/>
      <c r="AEA9" s="980"/>
      <c r="AEB9" s="980"/>
      <c r="AEC9" s="980"/>
      <c r="AED9" s="980"/>
      <c r="AEE9" s="980"/>
      <c r="AEF9" s="980"/>
      <c r="AEG9" s="980"/>
      <c r="AEH9" s="980"/>
      <c r="AEI9" s="980"/>
      <c r="AEJ9" s="980"/>
      <c r="AEK9" s="980"/>
      <c r="AEL9" s="980"/>
      <c r="AEM9" s="980"/>
      <c r="AEN9" s="980"/>
      <c r="AEO9" s="980"/>
      <c r="AEP9" s="980"/>
      <c r="AEQ9" s="980"/>
      <c r="AER9" s="980"/>
      <c r="AES9" s="980"/>
      <c r="AET9" s="980"/>
      <c r="AEU9" s="980"/>
      <c r="AEV9" s="980"/>
      <c r="AEW9" s="980"/>
      <c r="AEX9" s="980"/>
      <c r="AEY9" s="980"/>
      <c r="AEZ9" s="980"/>
      <c r="AFA9" s="980"/>
      <c r="AFB9" s="980"/>
      <c r="AFC9" s="980"/>
      <c r="AFD9" s="980"/>
      <c r="AFE9" s="980"/>
      <c r="AFF9" s="980"/>
      <c r="AFG9" s="980"/>
      <c r="AFH9" s="980"/>
      <c r="AFI9" s="980"/>
      <c r="AFJ9" s="980"/>
      <c r="AFK9" s="980"/>
      <c r="AFL9" s="980"/>
      <c r="AFM9" s="980"/>
      <c r="AFN9" s="980"/>
      <c r="AFO9" s="980"/>
      <c r="AFP9" s="980"/>
      <c r="AFQ9" s="980"/>
      <c r="AFR9" s="980"/>
      <c r="AFS9" s="980"/>
      <c r="AFT9" s="980"/>
      <c r="AFU9" s="980"/>
      <c r="AFV9" s="980"/>
      <c r="AFW9" s="980"/>
      <c r="AFX9" s="980"/>
      <c r="AFY9" s="980"/>
      <c r="AFZ9" s="980"/>
      <c r="AGA9" s="980"/>
      <c r="AGB9" s="980"/>
      <c r="AGC9" s="980"/>
      <c r="AGD9" s="980"/>
      <c r="AGE9" s="980"/>
      <c r="AGF9" s="980"/>
      <c r="AGG9" s="980"/>
      <c r="AGH9" s="980"/>
      <c r="AGI9" s="980"/>
      <c r="AGJ9" s="980"/>
      <c r="AGK9" s="980"/>
      <c r="AGL9" s="980"/>
      <c r="AGM9" s="980"/>
      <c r="AGN9" s="980"/>
      <c r="AGO9" s="980"/>
      <c r="AGP9" s="980"/>
      <c r="AGQ9" s="980"/>
      <c r="AGR9" s="980"/>
      <c r="AGS9" s="980"/>
      <c r="AGT9" s="980"/>
      <c r="AGU9" s="980"/>
      <c r="AGV9" s="980"/>
      <c r="AGW9" s="980"/>
      <c r="AGX9" s="980"/>
      <c r="AGY9" s="980"/>
      <c r="AGZ9" s="980"/>
      <c r="AHA9" s="980"/>
      <c r="AHB9" s="980"/>
      <c r="AHC9" s="980"/>
      <c r="AHD9" s="980"/>
      <c r="AHE9" s="980"/>
      <c r="AHF9" s="980"/>
      <c r="AHG9" s="980"/>
      <c r="AHH9" s="980"/>
      <c r="AHI9" s="980"/>
      <c r="AHJ9" s="980"/>
      <c r="AHK9" s="980"/>
      <c r="AHL9" s="980"/>
      <c r="AHM9" s="980"/>
      <c r="AHN9" s="980"/>
      <c r="AHO9" s="980"/>
      <c r="AHP9" s="980"/>
      <c r="AHQ9" s="980"/>
      <c r="AHR9" s="980"/>
      <c r="AHS9" s="980"/>
      <c r="AHT9" s="980"/>
      <c r="AHU9" s="980"/>
      <c r="AHV9" s="980"/>
      <c r="AHW9" s="980"/>
      <c r="AHX9" s="980"/>
      <c r="AHY9" s="980"/>
      <c r="AHZ9" s="980"/>
      <c r="AIA9" s="980"/>
      <c r="AIB9" s="980"/>
      <c r="AIC9" s="980"/>
      <c r="AID9" s="980"/>
      <c r="AIE9" s="980"/>
      <c r="AIF9" s="980"/>
      <c r="AIG9" s="980"/>
      <c r="AIH9" s="980"/>
      <c r="AII9" s="980"/>
      <c r="AIJ9" s="980"/>
      <c r="AIK9" s="980"/>
      <c r="AIL9" s="980"/>
      <c r="AIM9" s="980"/>
      <c r="AIN9" s="980"/>
      <c r="AIO9" s="980"/>
      <c r="AIP9" s="980"/>
      <c r="AIQ9" s="980"/>
      <c r="AIR9" s="980"/>
      <c r="AIS9" s="980"/>
      <c r="AIT9" s="980"/>
      <c r="AIU9" s="980"/>
      <c r="AIV9" s="980"/>
      <c r="AIW9" s="980"/>
      <c r="AIX9" s="980"/>
      <c r="AIY9" s="980"/>
      <c r="AIZ9" s="980"/>
      <c r="AJA9" s="980"/>
      <c r="AJB9" s="980"/>
      <c r="AJC9" s="980"/>
      <c r="AJD9" s="980"/>
      <c r="AJE9" s="980"/>
      <c r="AJF9" s="980"/>
      <c r="AJG9" s="980"/>
      <c r="AJH9" s="980"/>
      <c r="AJI9" s="980"/>
      <c r="AJJ9" s="980"/>
      <c r="AJK9" s="980"/>
      <c r="AJL9" s="980"/>
      <c r="AJM9" s="980"/>
      <c r="AJN9" s="980"/>
      <c r="AJO9" s="980"/>
      <c r="AJP9" s="980"/>
      <c r="AJQ9" s="980"/>
      <c r="AJR9" s="980"/>
      <c r="AJS9" s="980"/>
      <c r="AJT9" s="980"/>
      <c r="AJU9" s="980"/>
      <c r="AJV9" s="980"/>
      <c r="AJW9" s="980"/>
      <c r="AJX9" s="980"/>
      <c r="AJY9" s="980"/>
      <c r="AJZ9" s="980"/>
      <c r="AKA9" s="980"/>
      <c r="AKB9" s="980"/>
      <c r="AKC9" s="980"/>
      <c r="AKD9" s="980"/>
      <c r="AKE9" s="980"/>
      <c r="AKF9" s="980"/>
      <c r="AKG9" s="980"/>
      <c r="AKH9" s="980"/>
      <c r="AKI9" s="980"/>
      <c r="AKJ9" s="980"/>
      <c r="AKK9" s="980"/>
      <c r="AKL9" s="980"/>
      <c r="AKM9" s="980"/>
      <c r="AKN9" s="980"/>
      <c r="AKO9" s="980"/>
      <c r="AKP9" s="980"/>
      <c r="AKQ9" s="980"/>
      <c r="AKR9" s="980"/>
      <c r="AKS9" s="980"/>
      <c r="AKT9" s="980"/>
      <c r="AKU9" s="980"/>
      <c r="AKV9" s="980"/>
      <c r="AKW9" s="980"/>
      <c r="AKX9" s="980"/>
      <c r="AKY9" s="980"/>
      <c r="AKZ9" s="980"/>
      <c r="ALA9" s="980"/>
      <c r="ALB9" s="980"/>
      <c r="ALC9" s="980"/>
      <c r="ALD9" s="980"/>
      <c r="ALE9" s="980"/>
      <c r="ALF9" s="980"/>
      <c r="ALG9" s="980"/>
      <c r="ALH9" s="980"/>
      <c r="ALI9" s="980"/>
      <c r="ALJ9" s="980"/>
      <c r="ALK9" s="980"/>
      <c r="ALL9" s="980"/>
      <c r="ALM9" s="980"/>
      <c r="ALN9" s="980"/>
      <c r="ALO9" s="980"/>
      <c r="ALP9" s="980"/>
      <c r="ALQ9" s="980"/>
      <c r="ALR9" s="980"/>
      <c r="ALS9" s="980"/>
      <c r="ALT9" s="980"/>
      <c r="ALU9" s="980"/>
      <c r="ALV9" s="980"/>
      <c r="ALW9" s="980"/>
      <c r="ALX9" s="980"/>
      <c r="ALY9" s="980"/>
      <c r="ALZ9" s="980"/>
      <c r="AMA9" s="980"/>
      <c r="AMB9" s="980"/>
      <c r="AMC9" s="980"/>
      <c r="AMD9" s="980"/>
      <c r="AME9" s="980"/>
      <c r="AMF9" s="980"/>
      <c r="AMG9" s="980"/>
      <c r="AMH9" s="980"/>
    </row>
    <row r="10" spans="1:1022" ht="15.6">
      <c r="A10" s="984" t="s">
        <v>1519</v>
      </c>
      <c r="B10" s="985" t="s">
        <v>18</v>
      </c>
      <c r="C10" s="980"/>
      <c r="D10" s="980"/>
      <c r="E10" s="980"/>
      <c r="F10" s="980"/>
      <c r="G10" s="980"/>
      <c r="H10" s="981"/>
      <c r="I10" s="980"/>
      <c r="J10" s="980"/>
      <c r="K10" s="980"/>
      <c r="L10" s="980"/>
      <c r="M10" s="980"/>
      <c r="N10" s="981"/>
      <c r="O10" s="981"/>
      <c r="P10" s="981"/>
      <c r="Q10" s="981"/>
      <c r="R10" s="980"/>
      <c r="S10" s="981"/>
      <c r="T10" s="980"/>
      <c r="U10" s="980"/>
      <c r="V10" s="980"/>
      <c r="W10" s="980"/>
      <c r="X10" s="980"/>
      <c r="Y10" s="980"/>
      <c r="Z10" s="980"/>
      <c r="AA10" s="980"/>
      <c r="AB10" s="980"/>
      <c r="AC10" s="980"/>
      <c r="AD10" s="980"/>
      <c r="AE10" s="980"/>
      <c r="AF10" s="980"/>
      <c r="AG10" s="980"/>
      <c r="AH10" s="980"/>
      <c r="AI10" s="980"/>
      <c r="AJ10" s="980"/>
      <c r="AK10" s="980"/>
      <c r="AL10" s="980"/>
      <c r="AM10" s="980"/>
      <c r="AN10" s="980"/>
      <c r="AO10" s="980"/>
      <c r="AP10" s="980"/>
      <c r="AQ10" s="980"/>
      <c r="AR10" s="980"/>
      <c r="AS10" s="980"/>
      <c r="AT10" s="980"/>
      <c r="AU10" s="980"/>
      <c r="AV10" s="980"/>
      <c r="AW10" s="980"/>
      <c r="AX10" s="980"/>
      <c r="AY10" s="980"/>
      <c r="AZ10" s="980"/>
      <c r="BA10" s="980"/>
      <c r="BB10" s="980"/>
      <c r="BC10" s="980"/>
      <c r="BD10" s="980"/>
      <c r="BE10" s="980"/>
      <c r="BF10" s="980"/>
      <c r="BG10" s="980"/>
      <c r="BH10" s="980"/>
      <c r="BI10" s="980"/>
      <c r="BJ10" s="980"/>
      <c r="BK10" s="980"/>
      <c r="BL10" s="980"/>
      <c r="BM10" s="980"/>
      <c r="BN10" s="980"/>
      <c r="BO10" s="980"/>
      <c r="BP10" s="980"/>
      <c r="BQ10" s="980"/>
      <c r="BR10" s="980"/>
      <c r="BS10" s="980"/>
      <c r="BT10" s="980"/>
      <c r="BU10" s="980"/>
      <c r="BV10" s="980"/>
      <c r="BW10" s="980"/>
      <c r="BX10" s="980"/>
      <c r="BY10" s="980"/>
      <c r="BZ10" s="980"/>
      <c r="CA10" s="980"/>
      <c r="CB10" s="980"/>
      <c r="CC10" s="980"/>
      <c r="CD10" s="980"/>
      <c r="CE10" s="980"/>
      <c r="CF10" s="980"/>
      <c r="CG10" s="980"/>
      <c r="CH10" s="980"/>
      <c r="CI10" s="980"/>
      <c r="CJ10" s="980"/>
      <c r="CK10" s="980"/>
      <c r="CL10" s="980"/>
      <c r="CM10" s="980"/>
      <c r="CN10" s="980"/>
      <c r="CO10" s="980"/>
      <c r="CP10" s="980"/>
      <c r="CQ10" s="980"/>
      <c r="CR10" s="980"/>
      <c r="CS10" s="980"/>
      <c r="CT10" s="980"/>
      <c r="CU10" s="980"/>
      <c r="CV10" s="980"/>
      <c r="CW10" s="980"/>
      <c r="CX10" s="980"/>
      <c r="CY10" s="980"/>
      <c r="CZ10" s="980"/>
      <c r="DA10" s="980"/>
      <c r="DB10" s="980"/>
      <c r="DC10" s="980"/>
      <c r="DD10" s="980"/>
      <c r="DE10" s="980"/>
      <c r="DF10" s="980"/>
      <c r="DG10" s="980"/>
      <c r="DH10" s="980"/>
      <c r="DI10" s="980"/>
      <c r="DJ10" s="980"/>
      <c r="DK10" s="980"/>
      <c r="DL10" s="980"/>
      <c r="DM10" s="980"/>
      <c r="DN10" s="980"/>
      <c r="DO10" s="980"/>
      <c r="DP10" s="980"/>
      <c r="DQ10" s="980"/>
      <c r="DR10" s="980"/>
      <c r="DS10" s="980"/>
      <c r="DT10" s="980"/>
      <c r="DU10" s="980"/>
      <c r="DV10" s="980"/>
      <c r="DW10" s="980"/>
      <c r="DX10" s="980"/>
      <c r="DY10" s="980"/>
      <c r="DZ10" s="980"/>
      <c r="EA10" s="980"/>
      <c r="EB10" s="980"/>
      <c r="EC10" s="980"/>
      <c r="ED10" s="980"/>
      <c r="EE10" s="980"/>
      <c r="EF10" s="980"/>
      <c r="EG10" s="980"/>
      <c r="EH10" s="980"/>
      <c r="EI10" s="980"/>
      <c r="EJ10" s="980"/>
      <c r="EK10" s="980"/>
      <c r="EL10" s="980"/>
      <c r="EM10" s="980"/>
      <c r="EN10" s="980"/>
      <c r="EO10" s="980"/>
      <c r="EP10" s="980"/>
      <c r="EQ10" s="980"/>
      <c r="ER10" s="980"/>
      <c r="ES10" s="980"/>
      <c r="ET10" s="980"/>
      <c r="EU10" s="980"/>
      <c r="EV10" s="980"/>
      <c r="EW10" s="980"/>
      <c r="EX10" s="980"/>
      <c r="EY10" s="980"/>
      <c r="EZ10" s="980"/>
      <c r="FA10" s="980"/>
      <c r="FB10" s="980"/>
      <c r="FC10" s="980"/>
      <c r="FD10" s="980"/>
      <c r="FE10" s="980"/>
      <c r="FF10" s="980"/>
      <c r="FG10" s="980"/>
      <c r="FH10" s="980"/>
      <c r="FI10" s="980"/>
      <c r="FJ10" s="980"/>
      <c r="FK10" s="980"/>
      <c r="FL10" s="980"/>
      <c r="FM10" s="980"/>
      <c r="FN10" s="980"/>
      <c r="FO10" s="980"/>
      <c r="FP10" s="980"/>
      <c r="FQ10" s="980"/>
      <c r="FR10" s="980"/>
      <c r="FS10" s="980"/>
      <c r="FT10" s="980"/>
      <c r="FU10" s="980"/>
      <c r="FV10" s="980"/>
      <c r="FW10" s="980"/>
      <c r="FX10" s="980"/>
      <c r="FY10" s="980"/>
      <c r="FZ10" s="980"/>
      <c r="GA10" s="980"/>
      <c r="GB10" s="980"/>
      <c r="GC10" s="980"/>
      <c r="GD10" s="980"/>
      <c r="GE10" s="980"/>
      <c r="GF10" s="980"/>
      <c r="GG10" s="980"/>
      <c r="GH10" s="980"/>
      <c r="GI10" s="980"/>
      <c r="GJ10" s="980"/>
      <c r="GK10" s="980"/>
      <c r="GL10" s="980"/>
      <c r="GM10" s="980"/>
      <c r="GN10" s="980"/>
      <c r="GO10" s="980"/>
      <c r="GP10" s="980"/>
      <c r="GQ10" s="980"/>
      <c r="GR10" s="980"/>
      <c r="GS10" s="980"/>
      <c r="GT10" s="980"/>
      <c r="GU10" s="980"/>
      <c r="GV10" s="980"/>
      <c r="GW10" s="980"/>
      <c r="GX10" s="980"/>
      <c r="GY10" s="980"/>
      <c r="GZ10" s="980"/>
      <c r="HA10" s="980"/>
      <c r="HB10" s="980"/>
      <c r="HC10" s="980"/>
      <c r="HD10" s="980"/>
      <c r="HE10" s="980"/>
      <c r="HF10" s="980"/>
      <c r="HG10" s="980"/>
      <c r="HH10" s="980"/>
      <c r="HI10" s="980"/>
      <c r="HJ10" s="980"/>
      <c r="HK10" s="980"/>
      <c r="HL10" s="980"/>
      <c r="HM10" s="980"/>
      <c r="HN10" s="980"/>
      <c r="HO10" s="980"/>
      <c r="HP10" s="980"/>
      <c r="HQ10" s="980"/>
      <c r="HR10" s="980"/>
      <c r="HS10" s="980"/>
      <c r="HT10" s="980"/>
      <c r="HU10" s="980"/>
      <c r="HV10" s="980"/>
      <c r="HW10" s="980"/>
      <c r="HX10" s="980"/>
      <c r="HY10" s="980"/>
      <c r="HZ10" s="980"/>
      <c r="IA10" s="980"/>
      <c r="IB10" s="980"/>
      <c r="IC10" s="980"/>
      <c r="ID10" s="980"/>
      <c r="IE10" s="980"/>
      <c r="IF10" s="980"/>
      <c r="IG10" s="980"/>
      <c r="IH10" s="980"/>
      <c r="II10" s="980"/>
      <c r="IJ10" s="980"/>
      <c r="IK10" s="980"/>
      <c r="IL10" s="980"/>
      <c r="IM10" s="980"/>
      <c r="IN10" s="980"/>
      <c r="IO10" s="980"/>
      <c r="IP10" s="980"/>
      <c r="IQ10" s="980"/>
      <c r="IR10" s="980"/>
      <c r="IS10" s="980"/>
      <c r="IT10" s="980"/>
      <c r="IU10" s="980"/>
      <c r="IV10" s="980"/>
      <c r="IW10" s="980"/>
      <c r="IX10" s="980"/>
      <c r="IY10" s="980"/>
      <c r="IZ10" s="980"/>
      <c r="JA10" s="980"/>
      <c r="JB10" s="980"/>
      <c r="JC10" s="980"/>
      <c r="JD10" s="980"/>
      <c r="JE10" s="980"/>
      <c r="JF10" s="980"/>
      <c r="JG10" s="980"/>
      <c r="JH10" s="980"/>
      <c r="JI10" s="980"/>
      <c r="JJ10" s="980"/>
      <c r="JK10" s="980"/>
      <c r="JL10" s="980"/>
      <c r="JM10" s="980"/>
      <c r="JN10" s="980"/>
      <c r="JO10" s="980"/>
      <c r="JP10" s="980"/>
      <c r="JQ10" s="980"/>
      <c r="JR10" s="980"/>
      <c r="JS10" s="980"/>
      <c r="JT10" s="980"/>
      <c r="JU10" s="980"/>
      <c r="JV10" s="980"/>
      <c r="JW10" s="980"/>
      <c r="JX10" s="980"/>
      <c r="JY10" s="980"/>
      <c r="JZ10" s="980"/>
      <c r="KA10" s="980"/>
      <c r="KB10" s="980"/>
      <c r="KC10" s="980"/>
      <c r="KD10" s="980"/>
      <c r="KE10" s="980"/>
      <c r="KF10" s="980"/>
      <c r="KG10" s="980"/>
      <c r="KH10" s="980"/>
      <c r="KI10" s="980"/>
      <c r="KJ10" s="980"/>
      <c r="KK10" s="980"/>
      <c r="KL10" s="980"/>
      <c r="KM10" s="980"/>
      <c r="KN10" s="980"/>
      <c r="KO10" s="980"/>
      <c r="KP10" s="980"/>
      <c r="KQ10" s="980"/>
      <c r="KR10" s="980"/>
      <c r="KS10" s="980"/>
      <c r="KT10" s="980"/>
      <c r="KU10" s="980"/>
      <c r="KV10" s="980"/>
      <c r="KW10" s="980"/>
      <c r="KX10" s="980"/>
      <c r="KY10" s="980"/>
      <c r="KZ10" s="980"/>
      <c r="LA10" s="980"/>
      <c r="LB10" s="980"/>
      <c r="LC10" s="980"/>
      <c r="LD10" s="980"/>
      <c r="LE10" s="980"/>
      <c r="LF10" s="980"/>
      <c r="LG10" s="980"/>
      <c r="LH10" s="980"/>
      <c r="LI10" s="980"/>
      <c r="LJ10" s="980"/>
      <c r="LK10" s="980"/>
      <c r="LL10" s="980"/>
      <c r="LM10" s="980"/>
      <c r="LN10" s="980"/>
      <c r="LO10" s="980"/>
      <c r="LP10" s="980"/>
      <c r="LQ10" s="980"/>
      <c r="LR10" s="980"/>
      <c r="LS10" s="980"/>
      <c r="LT10" s="980"/>
      <c r="LU10" s="980"/>
      <c r="LV10" s="980"/>
      <c r="LW10" s="980"/>
      <c r="LX10" s="980"/>
      <c r="LY10" s="980"/>
      <c r="LZ10" s="980"/>
      <c r="MA10" s="980"/>
      <c r="MB10" s="980"/>
      <c r="MC10" s="980"/>
      <c r="MD10" s="980"/>
      <c r="ME10" s="980"/>
      <c r="MF10" s="980"/>
      <c r="MG10" s="980"/>
      <c r="MH10" s="980"/>
      <c r="MI10" s="980"/>
      <c r="MJ10" s="980"/>
      <c r="MK10" s="980"/>
      <c r="ML10" s="980"/>
      <c r="MM10" s="980"/>
      <c r="MN10" s="980"/>
      <c r="MO10" s="980"/>
      <c r="MP10" s="980"/>
      <c r="MQ10" s="980"/>
      <c r="MR10" s="980"/>
      <c r="MS10" s="980"/>
      <c r="MT10" s="980"/>
      <c r="MU10" s="980"/>
      <c r="MV10" s="980"/>
      <c r="MW10" s="980"/>
      <c r="MX10" s="980"/>
      <c r="MY10" s="980"/>
      <c r="MZ10" s="980"/>
      <c r="NA10" s="980"/>
      <c r="NB10" s="980"/>
      <c r="NC10" s="980"/>
      <c r="ND10" s="980"/>
      <c r="NE10" s="980"/>
      <c r="NF10" s="980"/>
      <c r="NG10" s="980"/>
      <c r="NH10" s="980"/>
      <c r="NI10" s="980"/>
      <c r="NJ10" s="980"/>
      <c r="NK10" s="980"/>
      <c r="NL10" s="980"/>
      <c r="NM10" s="980"/>
      <c r="NN10" s="980"/>
      <c r="NO10" s="980"/>
      <c r="NP10" s="980"/>
      <c r="NQ10" s="980"/>
      <c r="NR10" s="980"/>
      <c r="NS10" s="980"/>
      <c r="NT10" s="980"/>
      <c r="NU10" s="980"/>
      <c r="NV10" s="980"/>
      <c r="NW10" s="980"/>
      <c r="NX10" s="980"/>
      <c r="NY10" s="980"/>
      <c r="NZ10" s="980"/>
      <c r="OA10" s="980"/>
      <c r="OB10" s="980"/>
      <c r="OC10" s="980"/>
      <c r="OD10" s="980"/>
      <c r="OE10" s="980"/>
      <c r="OF10" s="980"/>
      <c r="OG10" s="980"/>
      <c r="OH10" s="980"/>
      <c r="OI10" s="980"/>
      <c r="OJ10" s="980"/>
      <c r="OK10" s="980"/>
      <c r="OL10" s="980"/>
      <c r="OM10" s="980"/>
      <c r="ON10" s="980"/>
      <c r="OO10" s="980"/>
      <c r="OP10" s="980"/>
      <c r="OQ10" s="980"/>
      <c r="OR10" s="980"/>
      <c r="OS10" s="980"/>
      <c r="OT10" s="980"/>
      <c r="OU10" s="980"/>
      <c r="OV10" s="980"/>
      <c r="OW10" s="980"/>
      <c r="OX10" s="980"/>
      <c r="OY10" s="980"/>
      <c r="OZ10" s="980"/>
      <c r="PA10" s="980"/>
      <c r="PB10" s="980"/>
      <c r="PC10" s="980"/>
      <c r="PD10" s="980"/>
      <c r="PE10" s="980"/>
      <c r="PF10" s="980"/>
      <c r="PG10" s="980"/>
      <c r="PH10" s="980"/>
      <c r="PI10" s="980"/>
      <c r="PJ10" s="980"/>
      <c r="PK10" s="980"/>
      <c r="PL10" s="980"/>
      <c r="PM10" s="980"/>
      <c r="PN10" s="980"/>
      <c r="PO10" s="980"/>
      <c r="PP10" s="980"/>
      <c r="PQ10" s="980"/>
      <c r="PR10" s="980"/>
      <c r="PS10" s="980"/>
      <c r="PT10" s="980"/>
      <c r="PU10" s="980"/>
      <c r="PV10" s="980"/>
      <c r="PW10" s="980"/>
      <c r="PX10" s="980"/>
      <c r="PY10" s="980"/>
      <c r="PZ10" s="980"/>
      <c r="QA10" s="980"/>
      <c r="QB10" s="980"/>
      <c r="QC10" s="980"/>
      <c r="QD10" s="980"/>
      <c r="QE10" s="980"/>
      <c r="QF10" s="980"/>
      <c r="QG10" s="980"/>
      <c r="QH10" s="980"/>
      <c r="QI10" s="980"/>
      <c r="QJ10" s="980"/>
      <c r="QK10" s="980"/>
      <c r="QL10" s="980"/>
      <c r="QM10" s="980"/>
      <c r="QN10" s="980"/>
      <c r="QO10" s="980"/>
      <c r="QP10" s="980"/>
      <c r="QQ10" s="980"/>
      <c r="QR10" s="980"/>
      <c r="QS10" s="980"/>
      <c r="QT10" s="980"/>
      <c r="QU10" s="980"/>
      <c r="QV10" s="980"/>
      <c r="QW10" s="980"/>
      <c r="QX10" s="980"/>
      <c r="QY10" s="980"/>
      <c r="QZ10" s="980"/>
      <c r="RA10" s="980"/>
      <c r="RB10" s="980"/>
      <c r="RC10" s="980"/>
      <c r="RD10" s="980"/>
      <c r="RE10" s="980"/>
      <c r="RF10" s="980"/>
      <c r="RG10" s="980"/>
      <c r="RH10" s="980"/>
      <c r="RI10" s="980"/>
      <c r="RJ10" s="980"/>
      <c r="RK10" s="980"/>
      <c r="RL10" s="980"/>
      <c r="RM10" s="980"/>
      <c r="RN10" s="980"/>
      <c r="RO10" s="980"/>
      <c r="RP10" s="980"/>
      <c r="RQ10" s="980"/>
      <c r="RR10" s="980"/>
      <c r="RS10" s="980"/>
      <c r="RT10" s="980"/>
      <c r="RU10" s="980"/>
      <c r="RV10" s="980"/>
      <c r="RW10" s="980"/>
      <c r="RX10" s="980"/>
      <c r="RY10" s="980"/>
      <c r="RZ10" s="980"/>
      <c r="SA10" s="980"/>
      <c r="SB10" s="980"/>
      <c r="SC10" s="980"/>
      <c r="SD10" s="980"/>
      <c r="SE10" s="980"/>
      <c r="SF10" s="980"/>
      <c r="SG10" s="980"/>
      <c r="SH10" s="980"/>
      <c r="SI10" s="980"/>
      <c r="SJ10" s="980"/>
      <c r="SK10" s="980"/>
      <c r="SL10" s="980"/>
      <c r="SM10" s="980"/>
      <c r="SN10" s="980"/>
      <c r="SO10" s="980"/>
      <c r="SP10" s="980"/>
      <c r="SQ10" s="980"/>
      <c r="SR10" s="980"/>
      <c r="SS10" s="980"/>
      <c r="ST10" s="980"/>
      <c r="SU10" s="980"/>
      <c r="SV10" s="980"/>
      <c r="SW10" s="980"/>
      <c r="SX10" s="980"/>
      <c r="SY10" s="980"/>
      <c r="SZ10" s="980"/>
      <c r="TA10" s="980"/>
      <c r="TB10" s="980"/>
      <c r="TC10" s="980"/>
      <c r="TD10" s="980"/>
      <c r="TE10" s="980"/>
      <c r="TF10" s="980"/>
      <c r="TG10" s="980"/>
      <c r="TH10" s="980"/>
      <c r="TI10" s="980"/>
      <c r="TJ10" s="980"/>
      <c r="TK10" s="980"/>
      <c r="TL10" s="980"/>
      <c r="TM10" s="980"/>
      <c r="TN10" s="980"/>
      <c r="TO10" s="980"/>
      <c r="TP10" s="980"/>
      <c r="TQ10" s="980"/>
      <c r="TR10" s="980"/>
      <c r="TS10" s="980"/>
      <c r="TT10" s="980"/>
      <c r="TU10" s="980"/>
      <c r="TV10" s="980"/>
      <c r="TW10" s="980"/>
      <c r="TX10" s="980"/>
      <c r="TY10" s="980"/>
      <c r="TZ10" s="980"/>
      <c r="UA10" s="980"/>
      <c r="UB10" s="980"/>
      <c r="UC10" s="980"/>
      <c r="UD10" s="980"/>
      <c r="UE10" s="980"/>
      <c r="UF10" s="980"/>
      <c r="UG10" s="980"/>
      <c r="UH10" s="980"/>
      <c r="UI10" s="980"/>
      <c r="UJ10" s="980"/>
      <c r="UK10" s="980"/>
      <c r="UL10" s="980"/>
      <c r="UM10" s="980"/>
      <c r="UN10" s="980"/>
      <c r="UO10" s="980"/>
      <c r="UP10" s="980"/>
      <c r="UQ10" s="980"/>
      <c r="UR10" s="980"/>
      <c r="US10" s="980"/>
      <c r="UT10" s="980"/>
      <c r="UU10" s="980"/>
      <c r="UV10" s="980"/>
      <c r="UW10" s="980"/>
      <c r="UX10" s="980"/>
      <c r="UY10" s="980"/>
      <c r="UZ10" s="980"/>
      <c r="VA10" s="980"/>
      <c r="VB10" s="980"/>
      <c r="VC10" s="980"/>
      <c r="VD10" s="980"/>
      <c r="VE10" s="980"/>
      <c r="VF10" s="980"/>
      <c r="VG10" s="980"/>
      <c r="VH10" s="980"/>
      <c r="VI10" s="980"/>
      <c r="VJ10" s="980"/>
      <c r="VK10" s="980"/>
      <c r="VL10" s="980"/>
      <c r="VM10" s="980"/>
      <c r="VN10" s="980"/>
      <c r="VO10" s="980"/>
      <c r="VP10" s="980"/>
      <c r="VQ10" s="980"/>
      <c r="VR10" s="980"/>
      <c r="VS10" s="980"/>
      <c r="VT10" s="980"/>
      <c r="VU10" s="980"/>
      <c r="VV10" s="980"/>
      <c r="VW10" s="980"/>
      <c r="VX10" s="980"/>
      <c r="VY10" s="980"/>
      <c r="VZ10" s="980"/>
      <c r="WA10" s="980"/>
      <c r="WB10" s="980"/>
      <c r="WC10" s="980"/>
      <c r="WD10" s="980"/>
      <c r="WE10" s="980"/>
      <c r="WF10" s="980"/>
      <c r="WG10" s="980"/>
      <c r="WH10" s="980"/>
      <c r="WI10" s="980"/>
      <c r="WJ10" s="980"/>
      <c r="WK10" s="980"/>
      <c r="WL10" s="980"/>
      <c r="WM10" s="980"/>
      <c r="WN10" s="980"/>
      <c r="WO10" s="980"/>
      <c r="WP10" s="980"/>
      <c r="WQ10" s="980"/>
      <c r="WR10" s="980"/>
      <c r="WS10" s="980"/>
      <c r="WT10" s="980"/>
      <c r="WU10" s="980"/>
      <c r="WV10" s="980"/>
      <c r="WW10" s="980"/>
      <c r="WX10" s="980"/>
      <c r="WY10" s="980"/>
      <c r="WZ10" s="980"/>
      <c r="XA10" s="980"/>
      <c r="XB10" s="980"/>
      <c r="XC10" s="980"/>
      <c r="XD10" s="980"/>
      <c r="XE10" s="980"/>
      <c r="XF10" s="980"/>
      <c r="XG10" s="980"/>
      <c r="XH10" s="980"/>
      <c r="XI10" s="980"/>
      <c r="XJ10" s="980"/>
      <c r="XK10" s="980"/>
      <c r="XL10" s="980"/>
      <c r="XM10" s="980"/>
      <c r="XN10" s="980"/>
      <c r="XO10" s="980"/>
      <c r="XP10" s="980"/>
      <c r="XQ10" s="980"/>
      <c r="XR10" s="980"/>
      <c r="XS10" s="980"/>
      <c r="XT10" s="980"/>
      <c r="XU10" s="980"/>
      <c r="XV10" s="980"/>
      <c r="XW10" s="980"/>
      <c r="XX10" s="980"/>
      <c r="XY10" s="980"/>
      <c r="XZ10" s="980"/>
      <c r="YA10" s="980"/>
      <c r="YB10" s="980"/>
      <c r="YC10" s="980"/>
      <c r="YD10" s="980"/>
      <c r="YE10" s="980"/>
      <c r="YF10" s="980"/>
      <c r="YG10" s="980"/>
      <c r="YH10" s="980"/>
      <c r="YI10" s="980"/>
      <c r="YJ10" s="980"/>
      <c r="YK10" s="980"/>
      <c r="YL10" s="980"/>
      <c r="YM10" s="980"/>
      <c r="YN10" s="980"/>
      <c r="YO10" s="980"/>
      <c r="YP10" s="980"/>
      <c r="YQ10" s="980"/>
      <c r="YR10" s="980"/>
      <c r="YS10" s="980"/>
      <c r="YT10" s="980"/>
      <c r="YU10" s="980"/>
      <c r="YV10" s="980"/>
      <c r="YW10" s="980"/>
      <c r="YX10" s="980"/>
      <c r="YY10" s="980"/>
      <c r="YZ10" s="980"/>
      <c r="ZA10" s="980"/>
      <c r="ZB10" s="980"/>
      <c r="ZC10" s="980"/>
      <c r="ZD10" s="980"/>
      <c r="ZE10" s="980"/>
      <c r="ZF10" s="980"/>
      <c r="ZG10" s="980"/>
      <c r="ZH10" s="980"/>
      <c r="ZI10" s="980"/>
      <c r="ZJ10" s="980"/>
      <c r="ZK10" s="980"/>
      <c r="ZL10" s="980"/>
      <c r="ZM10" s="980"/>
      <c r="ZN10" s="980"/>
      <c r="ZO10" s="980"/>
      <c r="ZP10" s="980"/>
      <c r="ZQ10" s="980"/>
      <c r="ZR10" s="980"/>
      <c r="ZS10" s="980"/>
      <c r="ZT10" s="980"/>
      <c r="ZU10" s="980"/>
      <c r="ZV10" s="980"/>
      <c r="ZW10" s="980"/>
      <c r="ZX10" s="980"/>
      <c r="ZY10" s="980"/>
      <c r="ZZ10" s="980"/>
      <c r="AAA10" s="980"/>
      <c r="AAB10" s="980"/>
      <c r="AAC10" s="980"/>
      <c r="AAD10" s="980"/>
      <c r="AAE10" s="980"/>
      <c r="AAF10" s="980"/>
      <c r="AAG10" s="980"/>
      <c r="AAH10" s="980"/>
      <c r="AAI10" s="980"/>
      <c r="AAJ10" s="980"/>
      <c r="AAK10" s="980"/>
      <c r="AAL10" s="980"/>
      <c r="AAM10" s="980"/>
      <c r="AAN10" s="980"/>
      <c r="AAO10" s="980"/>
      <c r="AAP10" s="980"/>
      <c r="AAQ10" s="980"/>
      <c r="AAR10" s="980"/>
      <c r="AAS10" s="980"/>
      <c r="AAT10" s="980"/>
      <c r="AAU10" s="980"/>
      <c r="AAV10" s="980"/>
      <c r="AAW10" s="980"/>
      <c r="AAX10" s="980"/>
      <c r="AAY10" s="980"/>
      <c r="AAZ10" s="980"/>
      <c r="ABA10" s="980"/>
      <c r="ABB10" s="980"/>
      <c r="ABC10" s="980"/>
      <c r="ABD10" s="980"/>
      <c r="ABE10" s="980"/>
      <c r="ABF10" s="980"/>
      <c r="ABG10" s="980"/>
      <c r="ABH10" s="980"/>
      <c r="ABI10" s="980"/>
      <c r="ABJ10" s="980"/>
      <c r="ABK10" s="980"/>
      <c r="ABL10" s="980"/>
      <c r="ABM10" s="980"/>
      <c r="ABN10" s="980"/>
      <c r="ABO10" s="980"/>
      <c r="ABP10" s="980"/>
      <c r="ABQ10" s="980"/>
      <c r="ABR10" s="980"/>
      <c r="ABS10" s="980"/>
      <c r="ABT10" s="980"/>
      <c r="ABU10" s="980"/>
      <c r="ABV10" s="980"/>
      <c r="ABW10" s="980"/>
      <c r="ABX10" s="980"/>
      <c r="ABY10" s="980"/>
      <c r="ABZ10" s="980"/>
      <c r="ACA10" s="980"/>
      <c r="ACB10" s="980"/>
      <c r="ACC10" s="980"/>
      <c r="ACD10" s="980"/>
      <c r="ACE10" s="980"/>
      <c r="ACF10" s="980"/>
      <c r="ACG10" s="980"/>
      <c r="ACH10" s="980"/>
      <c r="ACI10" s="980"/>
      <c r="ACJ10" s="980"/>
      <c r="ACK10" s="980"/>
      <c r="ACL10" s="980"/>
      <c r="ACM10" s="980"/>
      <c r="ACN10" s="980"/>
      <c r="ACO10" s="980"/>
      <c r="ACP10" s="980"/>
      <c r="ACQ10" s="980"/>
      <c r="ACR10" s="980"/>
      <c r="ACS10" s="980"/>
      <c r="ACT10" s="980"/>
      <c r="ACU10" s="980"/>
      <c r="ACV10" s="980"/>
      <c r="ACW10" s="980"/>
      <c r="ACX10" s="980"/>
      <c r="ACY10" s="980"/>
      <c r="ACZ10" s="980"/>
      <c r="ADA10" s="980"/>
      <c r="ADB10" s="980"/>
      <c r="ADC10" s="980"/>
      <c r="ADD10" s="980"/>
      <c r="ADE10" s="980"/>
      <c r="ADF10" s="980"/>
      <c r="ADG10" s="980"/>
      <c r="ADH10" s="980"/>
      <c r="ADI10" s="980"/>
      <c r="ADJ10" s="980"/>
      <c r="ADK10" s="980"/>
      <c r="ADL10" s="980"/>
      <c r="ADM10" s="980"/>
      <c r="ADN10" s="980"/>
      <c r="ADO10" s="980"/>
      <c r="ADP10" s="980"/>
      <c r="ADQ10" s="980"/>
      <c r="ADR10" s="980"/>
      <c r="ADS10" s="980"/>
      <c r="ADT10" s="980"/>
      <c r="ADU10" s="980"/>
      <c r="ADV10" s="980"/>
      <c r="ADW10" s="980"/>
      <c r="ADX10" s="980"/>
      <c r="ADY10" s="980"/>
      <c r="ADZ10" s="980"/>
      <c r="AEA10" s="980"/>
      <c r="AEB10" s="980"/>
      <c r="AEC10" s="980"/>
      <c r="AED10" s="980"/>
      <c r="AEE10" s="980"/>
      <c r="AEF10" s="980"/>
      <c r="AEG10" s="980"/>
      <c r="AEH10" s="980"/>
      <c r="AEI10" s="980"/>
      <c r="AEJ10" s="980"/>
      <c r="AEK10" s="980"/>
      <c r="AEL10" s="980"/>
      <c r="AEM10" s="980"/>
      <c r="AEN10" s="980"/>
      <c r="AEO10" s="980"/>
      <c r="AEP10" s="980"/>
      <c r="AEQ10" s="980"/>
      <c r="AER10" s="980"/>
      <c r="AES10" s="980"/>
      <c r="AET10" s="980"/>
      <c r="AEU10" s="980"/>
      <c r="AEV10" s="980"/>
      <c r="AEW10" s="980"/>
      <c r="AEX10" s="980"/>
      <c r="AEY10" s="980"/>
      <c r="AEZ10" s="980"/>
      <c r="AFA10" s="980"/>
      <c r="AFB10" s="980"/>
      <c r="AFC10" s="980"/>
      <c r="AFD10" s="980"/>
      <c r="AFE10" s="980"/>
      <c r="AFF10" s="980"/>
      <c r="AFG10" s="980"/>
      <c r="AFH10" s="980"/>
      <c r="AFI10" s="980"/>
      <c r="AFJ10" s="980"/>
      <c r="AFK10" s="980"/>
      <c r="AFL10" s="980"/>
      <c r="AFM10" s="980"/>
      <c r="AFN10" s="980"/>
      <c r="AFO10" s="980"/>
      <c r="AFP10" s="980"/>
      <c r="AFQ10" s="980"/>
      <c r="AFR10" s="980"/>
      <c r="AFS10" s="980"/>
      <c r="AFT10" s="980"/>
      <c r="AFU10" s="980"/>
      <c r="AFV10" s="980"/>
      <c r="AFW10" s="980"/>
      <c r="AFX10" s="980"/>
      <c r="AFY10" s="980"/>
      <c r="AFZ10" s="980"/>
      <c r="AGA10" s="980"/>
      <c r="AGB10" s="980"/>
      <c r="AGC10" s="980"/>
      <c r="AGD10" s="980"/>
      <c r="AGE10" s="980"/>
      <c r="AGF10" s="980"/>
      <c r="AGG10" s="980"/>
      <c r="AGH10" s="980"/>
      <c r="AGI10" s="980"/>
      <c r="AGJ10" s="980"/>
      <c r="AGK10" s="980"/>
      <c r="AGL10" s="980"/>
      <c r="AGM10" s="980"/>
      <c r="AGN10" s="980"/>
      <c r="AGO10" s="980"/>
      <c r="AGP10" s="980"/>
      <c r="AGQ10" s="980"/>
      <c r="AGR10" s="980"/>
      <c r="AGS10" s="980"/>
      <c r="AGT10" s="980"/>
      <c r="AGU10" s="980"/>
      <c r="AGV10" s="980"/>
      <c r="AGW10" s="980"/>
      <c r="AGX10" s="980"/>
      <c r="AGY10" s="980"/>
      <c r="AGZ10" s="980"/>
      <c r="AHA10" s="980"/>
      <c r="AHB10" s="980"/>
      <c r="AHC10" s="980"/>
      <c r="AHD10" s="980"/>
      <c r="AHE10" s="980"/>
      <c r="AHF10" s="980"/>
      <c r="AHG10" s="980"/>
      <c r="AHH10" s="980"/>
      <c r="AHI10" s="980"/>
      <c r="AHJ10" s="980"/>
      <c r="AHK10" s="980"/>
      <c r="AHL10" s="980"/>
      <c r="AHM10" s="980"/>
      <c r="AHN10" s="980"/>
      <c r="AHO10" s="980"/>
      <c r="AHP10" s="980"/>
      <c r="AHQ10" s="980"/>
      <c r="AHR10" s="980"/>
      <c r="AHS10" s="980"/>
      <c r="AHT10" s="980"/>
      <c r="AHU10" s="980"/>
      <c r="AHV10" s="980"/>
      <c r="AHW10" s="980"/>
      <c r="AHX10" s="980"/>
      <c r="AHY10" s="980"/>
      <c r="AHZ10" s="980"/>
      <c r="AIA10" s="980"/>
      <c r="AIB10" s="980"/>
      <c r="AIC10" s="980"/>
      <c r="AID10" s="980"/>
      <c r="AIE10" s="980"/>
      <c r="AIF10" s="980"/>
      <c r="AIG10" s="980"/>
      <c r="AIH10" s="980"/>
      <c r="AII10" s="980"/>
      <c r="AIJ10" s="980"/>
      <c r="AIK10" s="980"/>
      <c r="AIL10" s="980"/>
      <c r="AIM10" s="980"/>
      <c r="AIN10" s="980"/>
      <c r="AIO10" s="980"/>
      <c r="AIP10" s="980"/>
      <c r="AIQ10" s="980"/>
      <c r="AIR10" s="980"/>
      <c r="AIS10" s="980"/>
      <c r="AIT10" s="980"/>
      <c r="AIU10" s="980"/>
      <c r="AIV10" s="980"/>
      <c r="AIW10" s="980"/>
      <c r="AIX10" s="980"/>
      <c r="AIY10" s="980"/>
      <c r="AIZ10" s="980"/>
      <c r="AJA10" s="980"/>
      <c r="AJB10" s="980"/>
      <c r="AJC10" s="980"/>
      <c r="AJD10" s="980"/>
      <c r="AJE10" s="980"/>
      <c r="AJF10" s="980"/>
      <c r="AJG10" s="980"/>
      <c r="AJH10" s="980"/>
      <c r="AJI10" s="980"/>
      <c r="AJJ10" s="980"/>
      <c r="AJK10" s="980"/>
      <c r="AJL10" s="980"/>
      <c r="AJM10" s="980"/>
      <c r="AJN10" s="980"/>
      <c r="AJO10" s="980"/>
      <c r="AJP10" s="980"/>
      <c r="AJQ10" s="980"/>
      <c r="AJR10" s="980"/>
      <c r="AJS10" s="980"/>
      <c r="AJT10" s="980"/>
      <c r="AJU10" s="980"/>
      <c r="AJV10" s="980"/>
      <c r="AJW10" s="980"/>
      <c r="AJX10" s="980"/>
      <c r="AJY10" s="980"/>
      <c r="AJZ10" s="980"/>
      <c r="AKA10" s="980"/>
      <c r="AKB10" s="980"/>
      <c r="AKC10" s="980"/>
      <c r="AKD10" s="980"/>
      <c r="AKE10" s="980"/>
      <c r="AKF10" s="980"/>
      <c r="AKG10" s="980"/>
      <c r="AKH10" s="980"/>
      <c r="AKI10" s="980"/>
      <c r="AKJ10" s="980"/>
      <c r="AKK10" s="980"/>
      <c r="AKL10" s="980"/>
      <c r="AKM10" s="980"/>
      <c r="AKN10" s="980"/>
      <c r="AKO10" s="980"/>
      <c r="AKP10" s="980"/>
      <c r="AKQ10" s="980"/>
      <c r="AKR10" s="980"/>
      <c r="AKS10" s="980"/>
      <c r="AKT10" s="980"/>
      <c r="AKU10" s="980"/>
      <c r="AKV10" s="980"/>
      <c r="AKW10" s="980"/>
      <c r="AKX10" s="980"/>
      <c r="AKY10" s="980"/>
      <c r="AKZ10" s="980"/>
      <c r="ALA10" s="980"/>
      <c r="ALB10" s="980"/>
      <c r="ALC10" s="980"/>
      <c r="ALD10" s="980"/>
      <c r="ALE10" s="980"/>
      <c r="ALF10" s="980"/>
      <c r="ALG10" s="980"/>
      <c r="ALH10" s="980"/>
      <c r="ALI10" s="980"/>
      <c r="ALJ10" s="980"/>
      <c r="ALK10" s="980"/>
      <c r="ALL10" s="980"/>
      <c r="ALM10" s="980"/>
      <c r="ALN10" s="980"/>
      <c r="ALO10" s="980"/>
      <c r="ALP10" s="980"/>
      <c r="ALQ10" s="980"/>
      <c r="ALR10" s="980"/>
      <c r="ALS10" s="980"/>
      <c r="ALT10" s="980"/>
      <c r="ALU10" s="980"/>
      <c r="ALV10" s="980"/>
      <c r="ALW10" s="980"/>
      <c r="ALX10" s="980"/>
      <c r="ALY10" s="980"/>
      <c r="ALZ10" s="980"/>
      <c r="AMA10" s="980"/>
      <c r="AMB10" s="980"/>
      <c r="AMC10" s="980"/>
      <c r="AMD10" s="980"/>
      <c r="AME10" s="980"/>
      <c r="AMF10" s="980"/>
      <c r="AMG10" s="980"/>
      <c r="AMH10" s="980"/>
    </row>
    <row r="11" spans="1:1022" ht="15.6">
      <c r="A11" s="984" t="s">
        <v>1520</v>
      </c>
      <c r="B11" s="987">
        <v>46038</v>
      </c>
      <c r="C11" s="980"/>
      <c r="D11" s="980"/>
      <c r="E11" s="980"/>
      <c r="F11" s="980"/>
      <c r="G11" s="980"/>
      <c r="H11" s="981"/>
      <c r="I11" s="980"/>
      <c r="J11" s="980"/>
      <c r="K11" s="980"/>
      <c r="L11" s="980"/>
      <c r="M11" s="980"/>
      <c r="N11" s="981"/>
      <c r="O11" s="981"/>
      <c r="P11" s="981"/>
      <c r="Q11" s="981"/>
      <c r="R11" s="980"/>
      <c r="S11" s="981"/>
      <c r="T11" s="980"/>
      <c r="U11" s="980"/>
      <c r="V11" s="980"/>
      <c r="W11" s="980"/>
      <c r="X11" s="980"/>
      <c r="Y11" s="980"/>
      <c r="Z11" s="980"/>
      <c r="AA11" s="980"/>
      <c r="AB11" s="980"/>
      <c r="AC11" s="980"/>
      <c r="AD11" s="980"/>
      <c r="AE11" s="980"/>
      <c r="AF11" s="980"/>
      <c r="AG11" s="980"/>
      <c r="AH11" s="980"/>
      <c r="AI11" s="980"/>
      <c r="AJ11" s="980"/>
      <c r="AK11" s="980"/>
      <c r="AL11" s="980"/>
      <c r="AM11" s="980"/>
      <c r="AN11" s="980"/>
      <c r="AO11" s="980"/>
      <c r="AP11" s="980"/>
      <c r="AQ11" s="980"/>
      <c r="AR11" s="980"/>
      <c r="AS11" s="980"/>
      <c r="AT11" s="980"/>
      <c r="AU11" s="980"/>
      <c r="AV11" s="980"/>
      <c r="AW11" s="980"/>
      <c r="AX11" s="980"/>
      <c r="AY11" s="980"/>
      <c r="AZ11" s="980"/>
      <c r="BA11" s="980"/>
      <c r="BB11" s="980"/>
      <c r="BC11" s="980"/>
      <c r="BD11" s="980"/>
      <c r="BE11" s="980"/>
      <c r="BF11" s="980"/>
      <c r="BG11" s="980"/>
      <c r="BH11" s="980"/>
      <c r="BI11" s="980"/>
      <c r="BJ11" s="980"/>
      <c r="BK11" s="980"/>
      <c r="BL11" s="980"/>
      <c r="BM11" s="980"/>
      <c r="BN11" s="980"/>
      <c r="BO11" s="980"/>
      <c r="BP11" s="980"/>
      <c r="BQ11" s="980"/>
      <c r="BR11" s="980"/>
      <c r="BS11" s="980"/>
      <c r="BT11" s="980"/>
      <c r="BU11" s="980"/>
      <c r="BV11" s="980"/>
      <c r="BW11" s="980"/>
      <c r="BX11" s="980"/>
      <c r="BY11" s="980"/>
      <c r="BZ11" s="980"/>
      <c r="CA11" s="980"/>
      <c r="CB11" s="980"/>
      <c r="CC11" s="980"/>
      <c r="CD11" s="980"/>
      <c r="CE11" s="980"/>
      <c r="CF11" s="980"/>
      <c r="CG11" s="980"/>
      <c r="CH11" s="980"/>
      <c r="CI11" s="980"/>
      <c r="CJ11" s="980"/>
      <c r="CK11" s="980"/>
      <c r="CL11" s="980"/>
      <c r="CM11" s="980"/>
      <c r="CN11" s="980"/>
      <c r="CO11" s="980"/>
      <c r="CP11" s="980"/>
      <c r="CQ11" s="980"/>
      <c r="CR11" s="980"/>
      <c r="CS11" s="980"/>
      <c r="CT11" s="980"/>
      <c r="CU11" s="980"/>
      <c r="CV11" s="980"/>
      <c r="CW11" s="980"/>
      <c r="CX11" s="980"/>
      <c r="CY11" s="980"/>
      <c r="CZ11" s="980"/>
      <c r="DA11" s="980"/>
      <c r="DB11" s="980"/>
      <c r="DC11" s="980"/>
      <c r="DD11" s="980"/>
      <c r="DE11" s="980"/>
      <c r="DF11" s="980"/>
      <c r="DG11" s="980"/>
      <c r="DH11" s="980"/>
      <c r="DI11" s="980"/>
      <c r="DJ11" s="980"/>
      <c r="DK11" s="980"/>
      <c r="DL11" s="980"/>
      <c r="DM11" s="980"/>
      <c r="DN11" s="980"/>
      <c r="DO11" s="980"/>
      <c r="DP11" s="980"/>
      <c r="DQ11" s="980"/>
      <c r="DR11" s="980"/>
      <c r="DS11" s="980"/>
      <c r="DT11" s="980"/>
      <c r="DU11" s="980"/>
      <c r="DV11" s="980"/>
      <c r="DW11" s="980"/>
      <c r="DX11" s="980"/>
      <c r="DY11" s="980"/>
      <c r="DZ11" s="980"/>
      <c r="EA11" s="980"/>
      <c r="EB11" s="980"/>
      <c r="EC11" s="980"/>
      <c r="ED11" s="980"/>
      <c r="EE11" s="980"/>
      <c r="EF11" s="980"/>
      <c r="EG11" s="980"/>
      <c r="EH11" s="980"/>
      <c r="EI11" s="980"/>
      <c r="EJ11" s="980"/>
      <c r="EK11" s="980"/>
      <c r="EL11" s="980"/>
      <c r="EM11" s="980"/>
      <c r="EN11" s="980"/>
      <c r="EO11" s="980"/>
      <c r="EP11" s="980"/>
      <c r="EQ11" s="980"/>
      <c r="ER11" s="980"/>
      <c r="ES11" s="980"/>
      <c r="ET11" s="980"/>
      <c r="EU11" s="980"/>
      <c r="EV11" s="980"/>
      <c r="EW11" s="980"/>
      <c r="EX11" s="980"/>
      <c r="EY11" s="980"/>
      <c r="EZ11" s="980"/>
      <c r="FA11" s="980"/>
      <c r="FB11" s="980"/>
      <c r="FC11" s="980"/>
      <c r="FD11" s="980"/>
      <c r="FE11" s="980"/>
      <c r="FF11" s="980"/>
      <c r="FG11" s="980"/>
      <c r="FH11" s="980"/>
      <c r="FI11" s="980"/>
      <c r="FJ11" s="980"/>
      <c r="FK11" s="980"/>
      <c r="FL11" s="980"/>
      <c r="FM11" s="980"/>
      <c r="FN11" s="980"/>
      <c r="FO11" s="980"/>
      <c r="FP11" s="980"/>
      <c r="FQ11" s="980"/>
      <c r="FR11" s="980"/>
      <c r="FS11" s="980"/>
      <c r="FT11" s="980"/>
      <c r="FU11" s="980"/>
      <c r="FV11" s="980"/>
      <c r="FW11" s="980"/>
      <c r="FX11" s="980"/>
      <c r="FY11" s="980"/>
      <c r="FZ11" s="980"/>
      <c r="GA11" s="980"/>
      <c r="GB11" s="980"/>
      <c r="GC11" s="980"/>
      <c r="GD11" s="980"/>
      <c r="GE11" s="980"/>
      <c r="GF11" s="980"/>
      <c r="GG11" s="980"/>
      <c r="GH11" s="980"/>
      <c r="GI11" s="980"/>
      <c r="GJ11" s="980"/>
      <c r="GK11" s="980"/>
      <c r="GL11" s="980"/>
      <c r="GM11" s="980"/>
      <c r="GN11" s="980"/>
      <c r="GO11" s="980"/>
      <c r="GP11" s="980"/>
      <c r="GQ11" s="980"/>
      <c r="GR11" s="980"/>
      <c r="GS11" s="980"/>
      <c r="GT11" s="980"/>
      <c r="GU11" s="980"/>
      <c r="GV11" s="980"/>
      <c r="GW11" s="980"/>
      <c r="GX11" s="980"/>
      <c r="GY11" s="980"/>
      <c r="GZ11" s="980"/>
      <c r="HA11" s="980"/>
      <c r="HB11" s="980"/>
      <c r="HC11" s="980"/>
      <c r="HD11" s="980"/>
      <c r="HE11" s="980"/>
      <c r="HF11" s="980"/>
      <c r="HG11" s="980"/>
      <c r="HH11" s="980"/>
      <c r="HI11" s="980"/>
      <c r="HJ11" s="980"/>
      <c r="HK11" s="980"/>
      <c r="HL11" s="980"/>
      <c r="HM11" s="980"/>
      <c r="HN11" s="980"/>
      <c r="HO11" s="980"/>
      <c r="HP11" s="980"/>
      <c r="HQ11" s="980"/>
      <c r="HR11" s="980"/>
      <c r="HS11" s="980"/>
      <c r="HT11" s="980"/>
      <c r="HU11" s="980"/>
      <c r="HV11" s="980"/>
      <c r="HW11" s="980"/>
      <c r="HX11" s="980"/>
      <c r="HY11" s="980"/>
      <c r="HZ11" s="980"/>
      <c r="IA11" s="980"/>
      <c r="IB11" s="980"/>
      <c r="IC11" s="980"/>
      <c r="ID11" s="980"/>
      <c r="IE11" s="980"/>
      <c r="IF11" s="980"/>
      <c r="IG11" s="980"/>
      <c r="IH11" s="980"/>
      <c r="II11" s="980"/>
      <c r="IJ11" s="980"/>
      <c r="IK11" s="980"/>
      <c r="IL11" s="980"/>
      <c r="IM11" s="980"/>
      <c r="IN11" s="980"/>
      <c r="IO11" s="980"/>
      <c r="IP11" s="980"/>
      <c r="IQ11" s="980"/>
      <c r="IR11" s="980"/>
      <c r="IS11" s="980"/>
      <c r="IT11" s="980"/>
      <c r="IU11" s="980"/>
      <c r="IV11" s="980"/>
      <c r="IW11" s="980"/>
      <c r="IX11" s="980"/>
      <c r="IY11" s="980"/>
      <c r="IZ11" s="980"/>
      <c r="JA11" s="980"/>
      <c r="JB11" s="980"/>
      <c r="JC11" s="980"/>
      <c r="JD11" s="980"/>
      <c r="JE11" s="980"/>
      <c r="JF11" s="980"/>
      <c r="JG11" s="980"/>
      <c r="JH11" s="980"/>
      <c r="JI11" s="980"/>
      <c r="JJ11" s="980"/>
      <c r="JK11" s="980"/>
      <c r="JL11" s="980"/>
      <c r="JM11" s="980"/>
      <c r="JN11" s="980"/>
      <c r="JO11" s="980"/>
      <c r="JP11" s="980"/>
      <c r="JQ11" s="980"/>
      <c r="JR11" s="980"/>
      <c r="JS11" s="980"/>
      <c r="JT11" s="980"/>
      <c r="JU11" s="980"/>
      <c r="JV11" s="980"/>
      <c r="JW11" s="980"/>
      <c r="JX11" s="980"/>
      <c r="JY11" s="980"/>
      <c r="JZ11" s="980"/>
      <c r="KA11" s="980"/>
      <c r="KB11" s="980"/>
      <c r="KC11" s="980"/>
      <c r="KD11" s="980"/>
      <c r="KE11" s="980"/>
      <c r="KF11" s="980"/>
      <c r="KG11" s="980"/>
      <c r="KH11" s="980"/>
      <c r="KI11" s="980"/>
      <c r="KJ11" s="980"/>
      <c r="KK11" s="980"/>
      <c r="KL11" s="980"/>
      <c r="KM11" s="980"/>
      <c r="KN11" s="980"/>
      <c r="KO11" s="980"/>
      <c r="KP11" s="980"/>
      <c r="KQ11" s="980"/>
      <c r="KR11" s="980"/>
      <c r="KS11" s="980"/>
      <c r="KT11" s="980"/>
      <c r="KU11" s="980"/>
      <c r="KV11" s="980"/>
      <c r="KW11" s="980"/>
      <c r="KX11" s="980"/>
      <c r="KY11" s="980"/>
      <c r="KZ11" s="980"/>
      <c r="LA11" s="980"/>
      <c r="LB11" s="980"/>
      <c r="LC11" s="980"/>
      <c r="LD11" s="980"/>
      <c r="LE11" s="980"/>
      <c r="LF11" s="980"/>
      <c r="LG11" s="980"/>
      <c r="LH11" s="980"/>
      <c r="LI11" s="980"/>
      <c r="LJ11" s="980"/>
      <c r="LK11" s="980"/>
      <c r="LL11" s="980"/>
      <c r="LM11" s="980"/>
      <c r="LN11" s="980"/>
      <c r="LO11" s="980"/>
      <c r="LP11" s="980"/>
      <c r="LQ11" s="980"/>
      <c r="LR11" s="980"/>
      <c r="LS11" s="980"/>
      <c r="LT11" s="980"/>
      <c r="LU11" s="980"/>
      <c r="LV11" s="980"/>
      <c r="LW11" s="980"/>
      <c r="LX11" s="980"/>
      <c r="LY11" s="980"/>
      <c r="LZ11" s="980"/>
      <c r="MA11" s="980"/>
      <c r="MB11" s="980"/>
      <c r="MC11" s="980"/>
      <c r="MD11" s="980"/>
      <c r="ME11" s="980"/>
      <c r="MF11" s="980"/>
      <c r="MG11" s="980"/>
      <c r="MH11" s="980"/>
      <c r="MI11" s="980"/>
      <c r="MJ11" s="980"/>
      <c r="MK11" s="980"/>
      <c r="ML11" s="980"/>
      <c r="MM11" s="980"/>
      <c r="MN11" s="980"/>
      <c r="MO11" s="980"/>
      <c r="MP11" s="980"/>
      <c r="MQ11" s="980"/>
      <c r="MR11" s="980"/>
      <c r="MS11" s="980"/>
      <c r="MT11" s="980"/>
      <c r="MU11" s="980"/>
      <c r="MV11" s="980"/>
      <c r="MW11" s="980"/>
      <c r="MX11" s="980"/>
      <c r="MY11" s="980"/>
      <c r="MZ11" s="980"/>
      <c r="NA11" s="980"/>
      <c r="NB11" s="980"/>
      <c r="NC11" s="980"/>
      <c r="ND11" s="980"/>
      <c r="NE11" s="980"/>
      <c r="NF11" s="980"/>
      <c r="NG11" s="980"/>
      <c r="NH11" s="980"/>
      <c r="NI11" s="980"/>
      <c r="NJ11" s="980"/>
      <c r="NK11" s="980"/>
      <c r="NL11" s="980"/>
      <c r="NM11" s="980"/>
      <c r="NN11" s="980"/>
      <c r="NO11" s="980"/>
      <c r="NP11" s="980"/>
      <c r="NQ11" s="980"/>
      <c r="NR11" s="980"/>
      <c r="NS11" s="980"/>
      <c r="NT11" s="980"/>
      <c r="NU11" s="980"/>
      <c r="NV11" s="980"/>
      <c r="NW11" s="980"/>
      <c r="NX11" s="980"/>
      <c r="NY11" s="980"/>
      <c r="NZ11" s="980"/>
      <c r="OA11" s="980"/>
      <c r="OB11" s="980"/>
      <c r="OC11" s="980"/>
      <c r="OD11" s="980"/>
      <c r="OE11" s="980"/>
      <c r="OF11" s="980"/>
      <c r="OG11" s="980"/>
      <c r="OH11" s="980"/>
      <c r="OI11" s="980"/>
      <c r="OJ11" s="980"/>
      <c r="OK11" s="980"/>
      <c r="OL11" s="980"/>
      <c r="OM11" s="980"/>
      <c r="ON11" s="980"/>
      <c r="OO11" s="980"/>
      <c r="OP11" s="980"/>
      <c r="OQ11" s="980"/>
      <c r="OR11" s="980"/>
      <c r="OS11" s="980"/>
      <c r="OT11" s="980"/>
      <c r="OU11" s="980"/>
      <c r="OV11" s="980"/>
      <c r="OW11" s="980"/>
      <c r="OX11" s="980"/>
      <c r="OY11" s="980"/>
      <c r="OZ11" s="980"/>
      <c r="PA11" s="980"/>
      <c r="PB11" s="980"/>
      <c r="PC11" s="980"/>
      <c r="PD11" s="980"/>
      <c r="PE11" s="980"/>
      <c r="PF11" s="980"/>
      <c r="PG11" s="980"/>
      <c r="PH11" s="980"/>
      <c r="PI11" s="980"/>
      <c r="PJ11" s="980"/>
      <c r="PK11" s="980"/>
      <c r="PL11" s="980"/>
      <c r="PM11" s="980"/>
      <c r="PN11" s="980"/>
      <c r="PO11" s="980"/>
      <c r="PP11" s="980"/>
      <c r="PQ11" s="980"/>
      <c r="PR11" s="980"/>
      <c r="PS11" s="980"/>
      <c r="PT11" s="980"/>
      <c r="PU11" s="980"/>
      <c r="PV11" s="980"/>
      <c r="PW11" s="980"/>
      <c r="PX11" s="980"/>
      <c r="PY11" s="980"/>
      <c r="PZ11" s="980"/>
      <c r="QA11" s="980"/>
      <c r="QB11" s="980"/>
      <c r="QC11" s="980"/>
      <c r="QD11" s="980"/>
      <c r="QE11" s="980"/>
      <c r="QF11" s="980"/>
      <c r="QG11" s="980"/>
      <c r="QH11" s="980"/>
      <c r="QI11" s="980"/>
      <c r="QJ11" s="980"/>
      <c r="QK11" s="980"/>
      <c r="QL11" s="980"/>
      <c r="QM11" s="980"/>
      <c r="QN11" s="980"/>
      <c r="QO11" s="980"/>
      <c r="QP11" s="980"/>
      <c r="QQ11" s="980"/>
      <c r="QR11" s="980"/>
      <c r="QS11" s="980"/>
      <c r="QT11" s="980"/>
      <c r="QU11" s="980"/>
      <c r="QV11" s="980"/>
      <c r="QW11" s="980"/>
      <c r="QX11" s="980"/>
      <c r="QY11" s="980"/>
      <c r="QZ11" s="980"/>
      <c r="RA11" s="980"/>
      <c r="RB11" s="980"/>
      <c r="RC11" s="980"/>
      <c r="RD11" s="980"/>
      <c r="RE11" s="980"/>
      <c r="RF11" s="980"/>
      <c r="RG11" s="980"/>
      <c r="RH11" s="980"/>
      <c r="RI11" s="980"/>
      <c r="RJ11" s="980"/>
      <c r="RK11" s="980"/>
      <c r="RL11" s="980"/>
      <c r="RM11" s="980"/>
      <c r="RN11" s="980"/>
      <c r="RO11" s="980"/>
      <c r="RP11" s="980"/>
      <c r="RQ11" s="980"/>
      <c r="RR11" s="980"/>
      <c r="RS11" s="980"/>
      <c r="RT11" s="980"/>
      <c r="RU11" s="980"/>
      <c r="RV11" s="980"/>
      <c r="RW11" s="980"/>
      <c r="RX11" s="980"/>
      <c r="RY11" s="980"/>
      <c r="RZ11" s="980"/>
      <c r="SA11" s="980"/>
      <c r="SB11" s="980"/>
      <c r="SC11" s="980"/>
      <c r="SD11" s="980"/>
      <c r="SE11" s="980"/>
      <c r="SF11" s="980"/>
      <c r="SG11" s="980"/>
      <c r="SH11" s="980"/>
      <c r="SI11" s="980"/>
      <c r="SJ11" s="980"/>
      <c r="SK11" s="980"/>
      <c r="SL11" s="980"/>
      <c r="SM11" s="980"/>
      <c r="SN11" s="980"/>
      <c r="SO11" s="980"/>
      <c r="SP11" s="980"/>
      <c r="SQ11" s="980"/>
      <c r="SR11" s="980"/>
      <c r="SS11" s="980"/>
      <c r="ST11" s="980"/>
      <c r="SU11" s="980"/>
      <c r="SV11" s="980"/>
      <c r="SW11" s="980"/>
      <c r="SX11" s="980"/>
      <c r="SY11" s="980"/>
      <c r="SZ11" s="980"/>
      <c r="TA11" s="980"/>
      <c r="TB11" s="980"/>
      <c r="TC11" s="980"/>
      <c r="TD11" s="980"/>
      <c r="TE11" s="980"/>
      <c r="TF11" s="980"/>
      <c r="TG11" s="980"/>
      <c r="TH11" s="980"/>
      <c r="TI11" s="980"/>
      <c r="TJ11" s="980"/>
      <c r="TK11" s="980"/>
      <c r="TL11" s="980"/>
      <c r="TM11" s="980"/>
      <c r="TN11" s="980"/>
      <c r="TO11" s="980"/>
      <c r="TP11" s="980"/>
      <c r="TQ11" s="980"/>
      <c r="TR11" s="980"/>
      <c r="TS11" s="980"/>
      <c r="TT11" s="980"/>
      <c r="TU11" s="980"/>
      <c r="TV11" s="980"/>
      <c r="TW11" s="980"/>
      <c r="TX11" s="980"/>
      <c r="TY11" s="980"/>
      <c r="TZ11" s="980"/>
      <c r="UA11" s="980"/>
      <c r="UB11" s="980"/>
      <c r="UC11" s="980"/>
      <c r="UD11" s="980"/>
      <c r="UE11" s="980"/>
      <c r="UF11" s="980"/>
      <c r="UG11" s="980"/>
      <c r="UH11" s="980"/>
      <c r="UI11" s="980"/>
      <c r="UJ11" s="980"/>
      <c r="UK11" s="980"/>
      <c r="UL11" s="980"/>
      <c r="UM11" s="980"/>
      <c r="UN11" s="980"/>
      <c r="UO11" s="980"/>
      <c r="UP11" s="980"/>
      <c r="UQ11" s="980"/>
      <c r="UR11" s="980"/>
      <c r="US11" s="980"/>
      <c r="UT11" s="980"/>
      <c r="UU11" s="980"/>
      <c r="UV11" s="980"/>
      <c r="UW11" s="980"/>
      <c r="UX11" s="980"/>
      <c r="UY11" s="980"/>
      <c r="UZ11" s="980"/>
      <c r="VA11" s="980"/>
      <c r="VB11" s="980"/>
      <c r="VC11" s="980"/>
      <c r="VD11" s="980"/>
      <c r="VE11" s="980"/>
      <c r="VF11" s="980"/>
      <c r="VG11" s="980"/>
      <c r="VH11" s="980"/>
      <c r="VI11" s="980"/>
      <c r="VJ11" s="980"/>
      <c r="VK11" s="980"/>
      <c r="VL11" s="980"/>
      <c r="VM11" s="980"/>
      <c r="VN11" s="980"/>
      <c r="VO11" s="980"/>
      <c r="VP11" s="980"/>
      <c r="VQ11" s="980"/>
      <c r="VR11" s="980"/>
      <c r="VS11" s="980"/>
      <c r="VT11" s="980"/>
      <c r="VU11" s="980"/>
      <c r="VV11" s="980"/>
      <c r="VW11" s="980"/>
      <c r="VX11" s="980"/>
      <c r="VY11" s="980"/>
      <c r="VZ11" s="980"/>
      <c r="WA11" s="980"/>
      <c r="WB11" s="980"/>
      <c r="WC11" s="980"/>
      <c r="WD11" s="980"/>
      <c r="WE11" s="980"/>
      <c r="WF11" s="980"/>
      <c r="WG11" s="980"/>
      <c r="WH11" s="980"/>
      <c r="WI11" s="980"/>
      <c r="WJ11" s="980"/>
      <c r="WK11" s="980"/>
      <c r="WL11" s="980"/>
      <c r="WM11" s="980"/>
      <c r="WN11" s="980"/>
      <c r="WO11" s="980"/>
      <c r="WP11" s="980"/>
      <c r="WQ11" s="980"/>
      <c r="WR11" s="980"/>
      <c r="WS11" s="980"/>
      <c r="WT11" s="980"/>
      <c r="WU11" s="980"/>
      <c r="WV11" s="980"/>
      <c r="WW11" s="980"/>
      <c r="WX11" s="980"/>
      <c r="WY11" s="980"/>
      <c r="WZ11" s="980"/>
      <c r="XA11" s="980"/>
      <c r="XB11" s="980"/>
      <c r="XC11" s="980"/>
      <c r="XD11" s="980"/>
      <c r="XE11" s="980"/>
      <c r="XF11" s="980"/>
      <c r="XG11" s="980"/>
      <c r="XH11" s="980"/>
      <c r="XI11" s="980"/>
      <c r="XJ11" s="980"/>
      <c r="XK11" s="980"/>
      <c r="XL11" s="980"/>
      <c r="XM11" s="980"/>
      <c r="XN11" s="980"/>
      <c r="XO11" s="980"/>
      <c r="XP11" s="980"/>
      <c r="XQ11" s="980"/>
      <c r="XR11" s="980"/>
      <c r="XS11" s="980"/>
      <c r="XT11" s="980"/>
      <c r="XU11" s="980"/>
      <c r="XV11" s="980"/>
      <c r="XW11" s="980"/>
      <c r="XX11" s="980"/>
      <c r="XY11" s="980"/>
      <c r="XZ11" s="980"/>
      <c r="YA11" s="980"/>
      <c r="YB11" s="980"/>
      <c r="YC11" s="980"/>
      <c r="YD11" s="980"/>
      <c r="YE11" s="980"/>
      <c r="YF11" s="980"/>
      <c r="YG11" s="980"/>
      <c r="YH11" s="980"/>
      <c r="YI11" s="980"/>
      <c r="YJ11" s="980"/>
      <c r="YK11" s="980"/>
      <c r="YL11" s="980"/>
      <c r="YM11" s="980"/>
      <c r="YN11" s="980"/>
      <c r="YO11" s="980"/>
      <c r="YP11" s="980"/>
      <c r="YQ11" s="980"/>
      <c r="YR11" s="980"/>
      <c r="YS11" s="980"/>
      <c r="YT11" s="980"/>
      <c r="YU11" s="980"/>
      <c r="YV11" s="980"/>
      <c r="YW11" s="980"/>
      <c r="YX11" s="980"/>
      <c r="YY11" s="980"/>
      <c r="YZ11" s="980"/>
      <c r="ZA11" s="980"/>
      <c r="ZB11" s="980"/>
      <c r="ZC11" s="980"/>
      <c r="ZD11" s="980"/>
      <c r="ZE11" s="980"/>
      <c r="ZF11" s="980"/>
      <c r="ZG11" s="980"/>
      <c r="ZH11" s="980"/>
      <c r="ZI11" s="980"/>
      <c r="ZJ11" s="980"/>
      <c r="ZK11" s="980"/>
      <c r="ZL11" s="980"/>
      <c r="ZM11" s="980"/>
      <c r="ZN11" s="980"/>
      <c r="ZO11" s="980"/>
      <c r="ZP11" s="980"/>
      <c r="ZQ11" s="980"/>
      <c r="ZR11" s="980"/>
      <c r="ZS11" s="980"/>
      <c r="ZT11" s="980"/>
      <c r="ZU11" s="980"/>
      <c r="ZV11" s="980"/>
      <c r="ZW11" s="980"/>
      <c r="ZX11" s="980"/>
      <c r="ZY11" s="980"/>
      <c r="ZZ11" s="980"/>
      <c r="AAA11" s="980"/>
      <c r="AAB11" s="980"/>
      <c r="AAC11" s="980"/>
      <c r="AAD11" s="980"/>
      <c r="AAE11" s="980"/>
      <c r="AAF11" s="980"/>
      <c r="AAG11" s="980"/>
      <c r="AAH11" s="980"/>
      <c r="AAI11" s="980"/>
      <c r="AAJ11" s="980"/>
      <c r="AAK11" s="980"/>
      <c r="AAL11" s="980"/>
      <c r="AAM11" s="980"/>
      <c r="AAN11" s="980"/>
      <c r="AAO11" s="980"/>
      <c r="AAP11" s="980"/>
      <c r="AAQ11" s="980"/>
      <c r="AAR11" s="980"/>
      <c r="AAS11" s="980"/>
      <c r="AAT11" s="980"/>
      <c r="AAU11" s="980"/>
      <c r="AAV11" s="980"/>
      <c r="AAW11" s="980"/>
      <c r="AAX11" s="980"/>
      <c r="AAY11" s="980"/>
      <c r="AAZ11" s="980"/>
      <c r="ABA11" s="980"/>
      <c r="ABB11" s="980"/>
      <c r="ABC11" s="980"/>
      <c r="ABD11" s="980"/>
      <c r="ABE11" s="980"/>
      <c r="ABF11" s="980"/>
      <c r="ABG11" s="980"/>
      <c r="ABH11" s="980"/>
      <c r="ABI11" s="980"/>
      <c r="ABJ11" s="980"/>
      <c r="ABK11" s="980"/>
      <c r="ABL11" s="980"/>
      <c r="ABM11" s="980"/>
      <c r="ABN11" s="980"/>
      <c r="ABO11" s="980"/>
      <c r="ABP11" s="980"/>
      <c r="ABQ11" s="980"/>
      <c r="ABR11" s="980"/>
      <c r="ABS11" s="980"/>
      <c r="ABT11" s="980"/>
      <c r="ABU11" s="980"/>
      <c r="ABV11" s="980"/>
      <c r="ABW11" s="980"/>
      <c r="ABX11" s="980"/>
      <c r="ABY11" s="980"/>
      <c r="ABZ11" s="980"/>
      <c r="ACA11" s="980"/>
      <c r="ACB11" s="980"/>
      <c r="ACC11" s="980"/>
      <c r="ACD11" s="980"/>
      <c r="ACE11" s="980"/>
      <c r="ACF11" s="980"/>
      <c r="ACG11" s="980"/>
      <c r="ACH11" s="980"/>
      <c r="ACI11" s="980"/>
      <c r="ACJ11" s="980"/>
      <c r="ACK11" s="980"/>
      <c r="ACL11" s="980"/>
      <c r="ACM11" s="980"/>
      <c r="ACN11" s="980"/>
      <c r="ACO11" s="980"/>
      <c r="ACP11" s="980"/>
      <c r="ACQ11" s="980"/>
      <c r="ACR11" s="980"/>
      <c r="ACS11" s="980"/>
      <c r="ACT11" s="980"/>
      <c r="ACU11" s="980"/>
      <c r="ACV11" s="980"/>
      <c r="ACW11" s="980"/>
      <c r="ACX11" s="980"/>
      <c r="ACY11" s="980"/>
      <c r="ACZ11" s="980"/>
      <c r="ADA11" s="980"/>
      <c r="ADB11" s="980"/>
      <c r="ADC11" s="980"/>
      <c r="ADD11" s="980"/>
      <c r="ADE11" s="980"/>
      <c r="ADF11" s="980"/>
      <c r="ADG11" s="980"/>
      <c r="ADH11" s="980"/>
      <c r="ADI11" s="980"/>
      <c r="ADJ11" s="980"/>
      <c r="ADK11" s="980"/>
      <c r="ADL11" s="980"/>
      <c r="ADM11" s="980"/>
      <c r="ADN11" s="980"/>
      <c r="ADO11" s="980"/>
      <c r="ADP11" s="980"/>
      <c r="ADQ11" s="980"/>
      <c r="ADR11" s="980"/>
      <c r="ADS11" s="980"/>
      <c r="ADT11" s="980"/>
      <c r="ADU11" s="980"/>
      <c r="ADV11" s="980"/>
      <c r="ADW11" s="980"/>
      <c r="ADX11" s="980"/>
      <c r="ADY11" s="980"/>
      <c r="ADZ11" s="980"/>
      <c r="AEA11" s="980"/>
      <c r="AEB11" s="980"/>
      <c r="AEC11" s="980"/>
      <c r="AED11" s="980"/>
      <c r="AEE11" s="980"/>
      <c r="AEF11" s="980"/>
      <c r="AEG11" s="980"/>
      <c r="AEH11" s="980"/>
      <c r="AEI11" s="980"/>
      <c r="AEJ11" s="980"/>
      <c r="AEK11" s="980"/>
      <c r="AEL11" s="980"/>
      <c r="AEM11" s="980"/>
      <c r="AEN11" s="980"/>
      <c r="AEO11" s="980"/>
      <c r="AEP11" s="980"/>
      <c r="AEQ11" s="980"/>
      <c r="AER11" s="980"/>
      <c r="AES11" s="980"/>
      <c r="AET11" s="980"/>
      <c r="AEU11" s="980"/>
      <c r="AEV11" s="980"/>
      <c r="AEW11" s="980"/>
      <c r="AEX11" s="980"/>
      <c r="AEY11" s="980"/>
      <c r="AEZ11" s="980"/>
      <c r="AFA11" s="980"/>
      <c r="AFB11" s="980"/>
      <c r="AFC11" s="980"/>
      <c r="AFD11" s="980"/>
      <c r="AFE11" s="980"/>
      <c r="AFF11" s="980"/>
      <c r="AFG11" s="980"/>
      <c r="AFH11" s="980"/>
      <c r="AFI11" s="980"/>
      <c r="AFJ11" s="980"/>
      <c r="AFK11" s="980"/>
      <c r="AFL11" s="980"/>
      <c r="AFM11" s="980"/>
      <c r="AFN11" s="980"/>
      <c r="AFO11" s="980"/>
      <c r="AFP11" s="980"/>
      <c r="AFQ11" s="980"/>
      <c r="AFR11" s="980"/>
      <c r="AFS11" s="980"/>
      <c r="AFT11" s="980"/>
      <c r="AFU11" s="980"/>
      <c r="AFV11" s="980"/>
      <c r="AFW11" s="980"/>
      <c r="AFX11" s="980"/>
      <c r="AFY11" s="980"/>
      <c r="AFZ11" s="980"/>
      <c r="AGA11" s="980"/>
      <c r="AGB11" s="980"/>
      <c r="AGC11" s="980"/>
      <c r="AGD11" s="980"/>
      <c r="AGE11" s="980"/>
      <c r="AGF11" s="980"/>
      <c r="AGG11" s="980"/>
      <c r="AGH11" s="980"/>
      <c r="AGI11" s="980"/>
      <c r="AGJ11" s="980"/>
      <c r="AGK11" s="980"/>
      <c r="AGL11" s="980"/>
      <c r="AGM11" s="980"/>
      <c r="AGN11" s="980"/>
      <c r="AGO11" s="980"/>
      <c r="AGP11" s="980"/>
      <c r="AGQ11" s="980"/>
      <c r="AGR11" s="980"/>
      <c r="AGS11" s="980"/>
      <c r="AGT11" s="980"/>
      <c r="AGU11" s="980"/>
      <c r="AGV11" s="980"/>
      <c r="AGW11" s="980"/>
      <c r="AGX11" s="980"/>
      <c r="AGY11" s="980"/>
      <c r="AGZ11" s="980"/>
      <c r="AHA11" s="980"/>
      <c r="AHB11" s="980"/>
      <c r="AHC11" s="980"/>
      <c r="AHD11" s="980"/>
      <c r="AHE11" s="980"/>
      <c r="AHF11" s="980"/>
      <c r="AHG11" s="980"/>
      <c r="AHH11" s="980"/>
      <c r="AHI11" s="980"/>
      <c r="AHJ11" s="980"/>
      <c r="AHK11" s="980"/>
      <c r="AHL11" s="980"/>
      <c r="AHM11" s="980"/>
      <c r="AHN11" s="980"/>
      <c r="AHO11" s="980"/>
      <c r="AHP11" s="980"/>
      <c r="AHQ11" s="980"/>
      <c r="AHR11" s="980"/>
      <c r="AHS11" s="980"/>
      <c r="AHT11" s="980"/>
      <c r="AHU11" s="980"/>
      <c r="AHV11" s="980"/>
      <c r="AHW11" s="980"/>
      <c r="AHX11" s="980"/>
      <c r="AHY11" s="980"/>
      <c r="AHZ11" s="980"/>
      <c r="AIA11" s="980"/>
      <c r="AIB11" s="980"/>
      <c r="AIC11" s="980"/>
      <c r="AID11" s="980"/>
      <c r="AIE11" s="980"/>
      <c r="AIF11" s="980"/>
      <c r="AIG11" s="980"/>
      <c r="AIH11" s="980"/>
      <c r="AII11" s="980"/>
      <c r="AIJ11" s="980"/>
      <c r="AIK11" s="980"/>
      <c r="AIL11" s="980"/>
      <c r="AIM11" s="980"/>
      <c r="AIN11" s="980"/>
      <c r="AIO11" s="980"/>
      <c r="AIP11" s="980"/>
      <c r="AIQ11" s="980"/>
      <c r="AIR11" s="980"/>
      <c r="AIS11" s="980"/>
      <c r="AIT11" s="980"/>
      <c r="AIU11" s="980"/>
      <c r="AIV11" s="980"/>
      <c r="AIW11" s="980"/>
      <c r="AIX11" s="980"/>
      <c r="AIY11" s="980"/>
      <c r="AIZ11" s="980"/>
      <c r="AJA11" s="980"/>
      <c r="AJB11" s="980"/>
      <c r="AJC11" s="980"/>
      <c r="AJD11" s="980"/>
      <c r="AJE11" s="980"/>
      <c r="AJF11" s="980"/>
      <c r="AJG11" s="980"/>
      <c r="AJH11" s="980"/>
      <c r="AJI11" s="980"/>
      <c r="AJJ11" s="980"/>
      <c r="AJK11" s="980"/>
      <c r="AJL11" s="980"/>
      <c r="AJM11" s="980"/>
      <c r="AJN11" s="980"/>
      <c r="AJO11" s="980"/>
      <c r="AJP11" s="980"/>
      <c r="AJQ11" s="980"/>
      <c r="AJR11" s="980"/>
      <c r="AJS11" s="980"/>
      <c r="AJT11" s="980"/>
      <c r="AJU11" s="980"/>
      <c r="AJV11" s="980"/>
      <c r="AJW11" s="980"/>
      <c r="AJX11" s="980"/>
      <c r="AJY11" s="980"/>
      <c r="AJZ11" s="980"/>
      <c r="AKA11" s="980"/>
      <c r="AKB11" s="980"/>
      <c r="AKC11" s="980"/>
      <c r="AKD11" s="980"/>
      <c r="AKE11" s="980"/>
      <c r="AKF11" s="980"/>
      <c r="AKG11" s="980"/>
      <c r="AKH11" s="980"/>
      <c r="AKI11" s="980"/>
      <c r="AKJ11" s="980"/>
      <c r="AKK11" s="980"/>
      <c r="AKL11" s="980"/>
      <c r="AKM11" s="980"/>
      <c r="AKN11" s="980"/>
      <c r="AKO11" s="980"/>
      <c r="AKP11" s="980"/>
      <c r="AKQ11" s="980"/>
      <c r="AKR11" s="980"/>
      <c r="AKS11" s="980"/>
      <c r="AKT11" s="980"/>
      <c r="AKU11" s="980"/>
      <c r="AKV11" s="980"/>
      <c r="AKW11" s="980"/>
      <c r="AKX11" s="980"/>
      <c r="AKY11" s="980"/>
      <c r="AKZ11" s="980"/>
      <c r="ALA11" s="980"/>
      <c r="ALB11" s="980"/>
      <c r="ALC11" s="980"/>
      <c r="ALD11" s="980"/>
      <c r="ALE11" s="980"/>
      <c r="ALF11" s="980"/>
      <c r="ALG11" s="980"/>
      <c r="ALH11" s="980"/>
      <c r="ALI11" s="980"/>
      <c r="ALJ11" s="980"/>
      <c r="ALK11" s="980"/>
      <c r="ALL11" s="980"/>
      <c r="ALM11" s="980"/>
      <c r="ALN11" s="980"/>
      <c r="ALO11" s="980"/>
      <c r="ALP11" s="980"/>
      <c r="ALQ11" s="980"/>
      <c r="ALR11" s="980"/>
      <c r="ALS11" s="980"/>
      <c r="ALT11" s="980"/>
      <c r="ALU11" s="980"/>
      <c r="ALV11" s="980"/>
      <c r="ALW11" s="980"/>
      <c r="ALX11" s="980"/>
      <c r="ALY11" s="980"/>
      <c r="ALZ11" s="980"/>
      <c r="AMA11" s="980"/>
      <c r="AMB11" s="980"/>
      <c r="AMC11" s="980"/>
      <c r="AMD11" s="980"/>
      <c r="AME11" s="980"/>
      <c r="AMF11" s="980"/>
      <c r="AMG11" s="980"/>
      <c r="AMH11" s="980"/>
    </row>
    <row r="14" spans="1:1022">
      <c r="B14" s="98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D9376-B5AA-43E0-8CA9-B48EF8D16AFA}">
  <sheetPr>
    <tabColor rgb="FFFFC000"/>
    <pageSetUpPr fitToPage="1"/>
  </sheetPr>
  <dimension ref="A1:U51"/>
  <sheetViews>
    <sheetView zoomScale="85" zoomScaleNormal="85" workbookViewId="0">
      <selection activeCell="K17" sqref="K17"/>
    </sheetView>
  </sheetViews>
  <sheetFormatPr baseColWidth="10" defaultRowHeight="14.4"/>
  <cols>
    <col min="1" max="1" width="47.6640625" style="104" customWidth="1"/>
    <col min="2" max="3" width="12.44140625" style="104" customWidth="1"/>
    <col min="4" max="4" width="13.33203125" style="104" customWidth="1"/>
    <col min="5" max="5" width="14.109375" style="104" customWidth="1"/>
    <col min="6" max="6" width="12.44140625" style="104" customWidth="1"/>
    <col min="7" max="7" width="13.33203125" style="104" customWidth="1"/>
    <col min="8" max="8" width="11.33203125" style="104" customWidth="1" collapsed="1"/>
    <col min="9" max="9" width="14.33203125" style="104" customWidth="1" collapsed="1"/>
    <col min="10" max="10" width="14.44140625" style="104" customWidth="1"/>
    <col min="11" max="14" width="13" style="104" customWidth="1"/>
    <col min="15" max="16384" width="11.5546875" style="104"/>
  </cols>
  <sheetData>
    <row r="1" spans="1:21" ht="60" customHeight="1" thickBot="1">
      <c r="A1" s="102"/>
      <c r="B1" s="1029" t="s">
        <v>755</v>
      </c>
      <c r="C1" s="1030"/>
      <c r="D1" s="1030"/>
      <c r="E1" s="1030"/>
      <c r="F1" s="1030"/>
      <c r="G1" s="1030"/>
      <c r="H1" s="1030"/>
      <c r="I1" s="1030"/>
      <c r="J1" s="1030"/>
      <c r="K1" s="1030"/>
      <c r="L1" s="1030"/>
      <c r="M1" s="1030"/>
      <c r="N1" s="103"/>
      <c r="O1" s="1031" t="s">
        <v>755</v>
      </c>
      <c r="P1" s="1031"/>
      <c r="Q1" s="1031"/>
      <c r="R1" s="1031"/>
      <c r="S1" s="1031"/>
      <c r="T1" s="1031"/>
      <c r="U1" s="1031"/>
    </row>
    <row r="2" spans="1:21" ht="43.2">
      <c r="A2" s="105" t="s">
        <v>756</v>
      </c>
      <c r="B2" s="106" t="s">
        <v>114</v>
      </c>
      <c r="C2" s="107" t="s">
        <v>115</v>
      </c>
      <c r="D2" s="107" t="s">
        <v>757</v>
      </c>
      <c r="E2" s="107" t="s">
        <v>758</v>
      </c>
      <c r="F2" s="107" t="s">
        <v>759</v>
      </c>
      <c r="G2" s="107" t="s">
        <v>760</v>
      </c>
      <c r="H2" s="107" t="s">
        <v>119</v>
      </c>
      <c r="I2" s="107" t="s">
        <v>761</v>
      </c>
      <c r="J2" s="107" t="s">
        <v>762</v>
      </c>
      <c r="K2" s="107" t="s">
        <v>122</v>
      </c>
      <c r="L2" s="107" t="s">
        <v>123</v>
      </c>
      <c r="M2" s="107" t="s">
        <v>124</v>
      </c>
      <c r="N2" s="107" t="s">
        <v>125</v>
      </c>
      <c r="O2" s="473" t="s">
        <v>126</v>
      </c>
      <c r="P2" s="473" t="s">
        <v>128</v>
      </c>
      <c r="Q2" s="473" t="s">
        <v>129</v>
      </c>
      <c r="R2" s="474" t="s">
        <v>130</v>
      </c>
      <c r="S2" s="475" t="s">
        <v>131</v>
      </c>
      <c r="T2" s="476" t="s">
        <v>131</v>
      </c>
      <c r="U2" s="475" t="s">
        <v>132</v>
      </c>
    </row>
    <row r="3" spans="1:21" ht="25.8" thickBot="1">
      <c r="A3" s="108"/>
      <c r="B3" s="109"/>
      <c r="C3" s="110"/>
      <c r="D3" s="110"/>
      <c r="E3" s="110"/>
      <c r="F3" s="111"/>
      <c r="G3" s="111"/>
      <c r="H3" s="111"/>
      <c r="I3" s="111"/>
      <c r="J3" s="112"/>
      <c r="K3" s="113"/>
      <c r="L3" s="114"/>
      <c r="M3" s="114" t="s">
        <v>763</v>
      </c>
      <c r="N3" s="114" t="s">
        <v>764</v>
      </c>
      <c r="O3" s="477"/>
      <c r="P3" s="477"/>
      <c r="Q3" s="477"/>
      <c r="R3" s="477"/>
      <c r="S3" s="478" t="s">
        <v>854</v>
      </c>
      <c r="T3" s="479" t="s">
        <v>855</v>
      </c>
      <c r="U3" s="478" t="s">
        <v>856</v>
      </c>
    </row>
    <row r="4" spans="1:21">
      <c r="A4" s="115"/>
      <c r="B4" s="116"/>
      <c r="C4" s="117"/>
      <c r="D4" s="117"/>
      <c r="E4" s="117"/>
      <c r="F4" s="117"/>
      <c r="G4" s="117"/>
      <c r="H4" s="117"/>
      <c r="I4" s="117"/>
      <c r="J4" s="117"/>
      <c r="K4" s="117"/>
      <c r="L4" s="117"/>
      <c r="M4" s="117"/>
      <c r="N4" s="117"/>
      <c r="O4" s="480"/>
      <c r="P4" s="481"/>
      <c r="Q4" s="481"/>
      <c r="R4" s="481"/>
      <c r="S4" s="482"/>
      <c r="T4" s="482"/>
      <c r="U4" s="482"/>
    </row>
    <row r="5" spans="1:21">
      <c r="A5" s="118" t="s">
        <v>765</v>
      </c>
      <c r="B5" s="119">
        <v>1405.4269999999999</v>
      </c>
      <c r="C5" s="120">
        <v>1618.162</v>
      </c>
      <c r="D5" s="120">
        <v>1419.8019999999999</v>
      </c>
      <c r="E5" s="120">
        <v>1479.865</v>
      </c>
      <c r="F5" s="120">
        <v>1463.7909999999999</v>
      </c>
      <c r="G5" s="120">
        <v>1556.0260000000001</v>
      </c>
      <c r="H5" s="120">
        <v>1607.1859999999999</v>
      </c>
      <c r="I5" s="120">
        <v>1436.596</v>
      </c>
      <c r="J5" s="120">
        <v>1503.0119999999999</v>
      </c>
      <c r="K5" s="120">
        <v>1506</v>
      </c>
      <c r="L5" s="121">
        <v>1550.4590000000001</v>
      </c>
      <c r="M5" s="122">
        <v>1401</v>
      </c>
      <c r="N5" s="122">
        <v>1615.5</v>
      </c>
      <c r="O5" s="483">
        <v>1107.0409999999999</v>
      </c>
      <c r="P5" s="483">
        <v>1112.9280000000001</v>
      </c>
      <c r="Q5" s="484">
        <v>980.12699999999995</v>
      </c>
      <c r="R5" s="484">
        <v>1230.1510000000001</v>
      </c>
      <c r="S5" s="485">
        <v>1345.7339999999999</v>
      </c>
      <c r="T5" s="485">
        <v>1330.2550000000003</v>
      </c>
      <c r="U5" s="485">
        <v>1326.8580000000002</v>
      </c>
    </row>
    <row r="6" spans="1:21">
      <c r="A6" s="118" t="s">
        <v>766</v>
      </c>
      <c r="B6" s="123">
        <v>29.491101280963012</v>
      </c>
      <c r="C6" s="124">
        <v>28.986411743694383</v>
      </c>
      <c r="D6" s="124">
        <v>33.215152535353525</v>
      </c>
      <c r="E6" s="124">
        <v>37.743334696070249</v>
      </c>
      <c r="F6" s="124">
        <v>32.867301411198738</v>
      </c>
      <c r="G6" s="124">
        <v>34.504635526655726</v>
      </c>
      <c r="H6" s="124">
        <v>33.992238608350249</v>
      </c>
      <c r="I6" s="124">
        <v>30.392678247746755</v>
      </c>
      <c r="J6" s="124">
        <v>36.75349232075326</v>
      </c>
      <c r="K6" s="124">
        <v>35.421009296148739</v>
      </c>
      <c r="L6" s="125">
        <v>29.904692739375889</v>
      </c>
      <c r="M6" s="126">
        <v>38.211991434689509</v>
      </c>
      <c r="N6" s="126">
        <v>30.640668523676879</v>
      </c>
      <c r="O6" s="486">
        <v>31.826272920334478</v>
      </c>
      <c r="P6" s="487">
        <v>29.561322924753441</v>
      </c>
      <c r="Q6" s="488">
        <v>33.735602631087609</v>
      </c>
      <c r="R6" s="488">
        <v>36.71529755290203</v>
      </c>
      <c r="S6" s="489">
        <v>31.781123164013096</v>
      </c>
      <c r="T6" s="489">
        <v>29.155438618911404</v>
      </c>
      <c r="U6" s="489">
        <v>29.40218018808342</v>
      </c>
    </row>
    <row r="7" spans="1:21">
      <c r="A7" s="118" t="s">
        <v>767</v>
      </c>
      <c r="B7" s="119">
        <v>4144.759</v>
      </c>
      <c r="C7" s="120">
        <v>4690.4709999999995</v>
      </c>
      <c r="D7" s="120">
        <v>4715.8940000000002</v>
      </c>
      <c r="E7" s="120">
        <v>5585.5039999999999</v>
      </c>
      <c r="F7" s="120">
        <v>4811.0860000000002</v>
      </c>
      <c r="G7" s="120">
        <v>5369.0110000000004</v>
      </c>
      <c r="H7" s="120">
        <v>5463.1850000000004</v>
      </c>
      <c r="I7" s="120">
        <v>4366.2</v>
      </c>
      <c r="J7" s="120">
        <v>5524.0940000000001</v>
      </c>
      <c r="K7" s="812">
        <v>5334.4040000000005</v>
      </c>
      <c r="L7" s="121">
        <v>4636.6000000000004</v>
      </c>
      <c r="M7" s="122">
        <v>5353.5</v>
      </c>
      <c r="N7" s="122">
        <v>4950</v>
      </c>
      <c r="O7" s="814">
        <v>3523.2988999999998</v>
      </c>
      <c r="P7" s="483">
        <v>3289.9624000000003</v>
      </c>
      <c r="Q7" s="484">
        <v>3306.5175000000004</v>
      </c>
      <c r="R7" s="484">
        <v>4516.5359999999991</v>
      </c>
      <c r="S7" s="816">
        <v>4276.8937999999998</v>
      </c>
      <c r="T7" s="485">
        <v>3878.4168</v>
      </c>
      <c r="U7" s="490">
        <v>3901.2518</v>
      </c>
    </row>
    <row r="8" spans="1:21">
      <c r="A8" s="118"/>
      <c r="B8" s="119"/>
      <c r="C8" s="120"/>
      <c r="D8" s="120"/>
      <c r="E8" s="120"/>
      <c r="F8" s="120"/>
      <c r="G8" s="120"/>
      <c r="H8" s="120"/>
      <c r="I8" s="120"/>
      <c r="J8" s="120"/>
      <c r="K8" s="120"/>
      <c r="L8" s="120"/>
      <c r="M8" s="127"/>
      <c r="N8" s="127"/>
      <c r="O8" s="491"/>
      <c r="P8" s="491"/>
      <c r="Q8" s="492"/>
      <c r="R8" s="492"/>
      <c r="S8" s="485"/>
      <c r="T8" s="485"/>
      <c r="U8" s="485"/>
    </row>
    <row r="9" spans="1:21">
      <c r="A9" s="128" t="s">
        <v>768</v>
      </c>
      <c r="B9" s="129">
        <v>141.49200000000019</v>
      </c>
      <c r="C9" s="130">
        <v>197.44399999999951</v>
      </c>
      <c r="D9" s="130">
        <v>228.07900000000063</v>
      </c>
      <c r="E9" s="130">
        <v>123.56999999999971</v>
      </c>
      <c r="F9" s="130">
        <v>97.554000000000087</v>
      </c>
      <c r="G9" s="130">
        <v>81.186000000000604</v>
      </c>
      <c r="H9" s="130">
        <v>106.14400000000023</v>
      </c>
      <c r="I9" s="130">
        <v>52.359999999999673</v>
      </c>
      <c r="J9" s="130">
        <v>109.90700000000015</v>
      </c>
      <c r="K9" s="813">
        <v>128.44500000000062</v>
      </c>
      <c r="L9" s="130">
        <v>-6.3999999999996362</v>
      </c>
      <c r="M9" s="130">
        <v>254.5</v>
      </c>
      <c r="N9" s="130">
        <v>164</v>
      </c>
      <c r="O9" s="815">
        <v>54.222700000000259</v>
      </c>
      <c r="P9" s="493">
        <v>23.962400000000343</v>
      </c>
      <c r="Q9" s="494">
        <v>85.381700000000365</v>
      </c>
      <c r="R9" s="494">
        <v>246.29279999999926</v>
      </c>
      <c r="S9" s="817">
        <v>84</v>
      </c>
      <c r="T9" s="495">
        <v>44</v>
      </c>
      <c r="U9" s="495">
        <v>132</v>
      </c>
    </row>
    <row r="10" spans="1:21">
      <c r="A10" s="131" t="s">
        <v>769</v>
      </c>
      <c r="B10" s="132">
        <v>3.4137569880420111E-2</v>
      </c>
      <c r="C10" s="133">
        <v>4.2094706480436513E-2</v>
      </c>
      <c r="D10" s="133">
        <v>4.8363894523498749E-2</v>
      </c>
      <c r="E10" s="133">
        <v>2.2123339272516807E-2</v>
      </c>
      <c r="F10" s="133">
        <v>2.0276918766365865E-2</v>
      </c>
      <c r="G10" s="133">
        <v>1.5121220649389729E-2</v>
      </c>
      <c r="H10" s="133">
        <v>1.9428959480596066E-2</v>
      </c>
      <c r="I10" s="133">
        <v>1.1992121295405542E-2</v>
      </c>
      <c r="J10" s="133">
        <v>1.9895932256040565E-2</v>
      </c>
      <c r="K10" s="133">
        <v>2.4078603720303262E-2</v>
      </c>
      <c r="L10" s="133">
        <v>-1.3803217875166362E-3</v>
      </c>
      <c r="M10" s="133">
        <v>4.7538993182030448E-2</v>
      </c>
      <c r="N10" s="133">
        <v>3.313131313131313E-2</v>
      </c>
      <c r="O10" s="496">
        <v>1.4164991792209229E-2</v>
      </c>
      <c r="P10" s="496">
        <v>7.28348749517634E-3</v>
      </c>
      <c r="Q10" s="496">
        <v>2.582224349334318E-2</v>
      </c>
      <c r="R10" s="496">
        <v>5.4531348803596232E-2</v>
      </c>
      <c r="S10" s="497">
        <v>1.9650312570304918E-2</v>
      </c>
      <c r="T10" s="496">
        <v>1.1392483654670637E-2</v>
      </c>
      <c r="U10" s="497">
        <v>3.3847289734028466E-2</v>
      </c>
    </row>
    <row r="11" spans="1:21">
      <c r="A11" s="134" t="s">
        <v>770</v>
      </c>
      <c r="B11" s="135"/>
      <c r="C11" s="136"/>
      <c r="D11" s="137"/>
      <c r="E11" s="137"/>
      <c r="F11" s="138"/>
      <c r="G11" s="138"/>
      <c r="H11" s="139"/>
      <c r="I11" s="139"/>
      <c r="J11" s="140"/>
      <c r="K11" s="140"/>
      <c r="L11" s="140"/>
      <c r="M11" s="141"/>
      <c r="N11" s="142">
        <v>4377</v>
      </c>
      <c r="O11" s="498"/>
      <c r="P11" s="498"/>
      <c r="Q11" s="499"/>
      <c r="R11" s="499"/>
      <c r="S11" s="500"/>
      <c r="T11" s="500"/>
      <c r="U11" s="500">
        <v>3290.7718999999997</v>
      </c>
    </row>
    <row r="12" spans="1:21">
      <c r="A12" s="143" t="s">
        <v>771</v>
      </c>
      <c r="B12" s="135"/>
      <c r="C12" s="136"/>
      <c r="D12" s="137"/>
      <c r="E12" s="137"/>
      <c r="F12" s="138"/>
      <c r="G12" s="138"/>
      <c r="H12" s="139"/>
      <c r="I12" s="139"/>
      <c r="J12" s="144"/>
      <c r="K12" s="144"/>
      <c r="L12" s="144"/>
      <c r="M12" s="144">
        <v>0</v>
      </c>
      <c r="N12" s="144">
        <v>0.88424242424242427</v>
      </c>
      <c r="O12" s="501"/>
      <c r="P12" s="501"/>
      <c r="Q12" s="502"/>
      <c r="R12" s="502"/>
      <c r="S12" s="503"/>
      <c r="T12" s="503"/>
      <c r="U12" s="503">
        <v>0.8435169193641896</v>
      </c>
    </row>
    <row r="13" spans="1:21">
      <c r="A13" s="145" t="s">
        <v>772</v>
      </c>
      <c r="B13" s="146"/>
      <c r="C13" s="147"/>
      <c r="D13" s="148"/>
      <c r="E13" s="148"/>
      <c r="F13" s="149"/>
      <c r="G13" s="149"/>
      <c r="H13" s="150"/>
      <c r="I13" s="150"/>
      <c r="J13" s="151"/>
      <c r="K13" s="151"/>
      <c r="L13" s="151"/>
      <c r="M13" s="151">
        <v>0</v>
      </c>
      <c r="N13" s="151">
        <v>0.91454241537818637</v>
      </c>
      <c r="O13" s="504"/>
      <c r="P13" s="504"/>
      <c r="Q13" s="505"/>
      <c r="R13" s="505"/>
      <c r="S13" s="506"/>
      <c r="T13" s="506"/>
      <c r="U13" s="506">
        <v>0.87306790158667402</v>
      </c>
    </row>
    <row r="14" spans="1:21">
      <c r="A14" s="145"/>
      <c r="B14" s="152"/>
      <c r="C14" s="153"/>
      <c r="D14" s="154"/>
      <c r="E14" s="154"/>
      <c r="F14" s="155"/>
      <c r="G14" s="155"/>
      <c r="H14" s="150"/>
      <c r="I14" s="150"/>
      <c r="J14" s="150"/>
      <c r="K14" s="150"/>
      <c r="L14" s="150"/>
      <c r="M14" s="150"/>
      <c r="N14" s="150"/>
      <c r="O14" s="507"/>
      <c r="P14" s="507"/>
      <c r="Q14" s="508"/>
      <c r="R14" s="508"/>
      <c r="S14" s="509"/>
      <c r="T14" s="509"/>
      <c r="U14" s="509"/>
    </row>
    <row r="15" spans="1:21" ht="17.399999999999999">
      <c r="A15" s="156" t="s">
        <v>773</v>
      </c>
      <c r="B15" s="157"/>
      <c r="C15" s="158"/>
      <c r="D15" s="159"/>
      <c r="E15" s="159"/>
      <c r="F15" s="159"/>
      <c r="G15" s="159"/>
      <c r="H15" s="159"/>
      <c r="I15" s="159"/>
      <c r="J15" s="159"/>
      <c r="K15" s="159"/>
      <c r="L15" s="159"/>
      <c r="M15" s="159"/>
      <c r="N15" s="159"/>
      <c r="O15" s="510"/>
      <c r="P15" s="510"/>
      <c r="Q15" s="511"/>
      <c r="R15" s="511"/>
      <c r="S15" s="512"/>
      <c r="T15" s="512"/>
      <c r="U15" s="512"/>
    </row>
    <row r="16" spans="1:21">
      <c r="A16" s="160" t="s">
        <v>774</v>
      </c>
      <c r="B16" s="161">
        <v>374.55500000000001</v>
      </c>
      <c r="C16" s="162">
        <v>258.36199999999997</v>
      </c>
      <c r="D16" s="162">
        <v>189.661</v>
      </c>
      <c r="E16" s="162">
        <v>208.90100000000001</v>
      </c>
      <c r="F16" s="162">
        <v>329.77</v>
      </c>
      <c r="G16" s="162">
        <v>259.91700000000003</v>
      </c>
      <c r="H16" s="162">
        <v>109.633</v>
      </c>
      <c r="I16" s="162">
        <v>122.661</v>
      </c>
      <c r="J16" s="162">
        <v>63.383000000000003</v>
      </c>
      <c r="K16" s="162">
        <v>63.36</v>
      </c>
      <c r="L16" s="163">
        <v>136.83100000000002</v>
      </c>
      <c r="M16" s="164">
        <v>139</v>
      </c>
      <c r="N16" s="164">
        <v>221</v>
      </c>
      <c r="O16" s="513">
        <v>202.292495</v>
      </c>
      <c r="P16" s="513">
        <v>147.10169999999999</v>
      </c>
      <c r="Q16" s="514">
        <v>59.947366000000002</v>
      </c>
      <c r="R16" s="514">
        <v>90.059640000000002</v>
      </c>
      <c r="S16" s="515">
        <v>175.24045000000001</v>
      </c>
      <c r="T16" s="515">
        <v>226</v>
      </c>
      <c r="U16" s="515">
        <v>225.55159999999998</v>
      </c>
    </row>
    <row r="17" spans="1:21">
      <c r="A17" s="165" t="s">
        <v>775</v>
      </c>
      <c r="B17" s="166">
        <v>4003.2669999999998</v>
      </c>
      <c r="C17" s="163">
        <v>4493.027</v>
      </c>
      <c r="D17" s="163">
        <v>4487.8149999999996</v>
      </c>
      <c r="E17" s="163">
        <v>5461.9340000000002</v>
      </c>
      <c r="F17" s="163">
        <v>4713.5320000000002</v>
      </c>
      <c r="G17" s="163">
        <v>5287.8249999999998</v>
      </c>
      <c r="H17" s="163">
        <v>5357.0410000000002</v>
      </c>
      <c r="I17" s="163">
        <v>4313.84</v>
      </c>
      <c r="J17" s="163">
        <v>5414.1869999999999</v>
      </c>
      <c r="K17" s="818">
        <v>5205.9589999999998</v>
      </c>
      <c r="L17" s="167">
        <v>4643</v>
      </c>
      <c r="M17" s="167">
        <v>5099</v>
      </c>
      <c r="N17" s="167">
        <v>4786</v>
      </c>
      <c r="O17" s="819">
        <v>3469.0761999999995</v>
      </c>
      <c r="P17" s="516">
        <v>3266</v>
      </c>
      <c r="Q17" s="517">
        <v>3221.1358</v>
      </c>
      <c r="R17" s="517">
        <v>4270.2431999999999</v>
      </c>
      <c r="S17" s="816">
        <v>4192.8515000000007</v>
      </c>
      <c r="T17" s="485">
        <v>3834.232</v>
      </c>
      <c r="U17" s="490">
        <v>3769.2049999999999</v>
      </c>
    </row>
    <row r="18" spans="1:21">
      <c r="A18" s="145" t="s">
        <v>776</v>
      </c>
      <c r="B18" s="168">
        <v>0.96586243011957984</v>
      </c>
      <c r="C18" s="151">
        <v>0.95790529351956344</v>
      </c>
      <c r="D18" s="151">
        <v>0.95163610547650124</v>
      </c>
      <c r="E18" s="151">
        <v>0.97787666072748325</v>
      </c>
      <c r="F18" s="151">
        <v>0.97972308123363416</v>
      </c>
      <c r="G18" s="151">
        <v>0.9848787793506103</v>
      </c>
      <c r="H18" s="151">
        <v>0.98057104051940391</v>
      </c>
      <c r="I18" s="151">
        <v>0.9880078787045945</v>
      </c>
      <c r="J18" s="151">
        <v>0.98010406774395942</v>
      </c>
      <c r="K18" s="151">
        <v>0.97592139627969676</v>
      </c>
      <c r="L18" s="151">
        <v>1.0013803217875166</v>
      </c>
      <c r="M18" s="169">
        <v>0.95246100681796952</v>
      </c>
      <c r="N18" s="169">
        <v>0.96686868686868688</v>
      </c>
      <c r="O18" s="496">
        <v>0.9858350082077908</v>
      </c>
      <c r="P18" s="496">
        <v>0.99271651250482362</v>
      </c>
      <c r="Q18" s="518">
        <v>0.97417775650665683</v>
      </c>
      <c r="R18" s="518">
        <v>0.94546865119640378</v>
      </c>
      <c r="S18" s="497">
        <v>0.98034968742969508</v>
      </c>
      <c r="T18" s="497">
        <v>0.9886075163453294</v>
      </c>
      <c r="U18" s="497">
        <v>0.96615271026597149</v>
      </c>
    </row>
    <row r="19" spans="1:21">
      <c r="A19" s="170" t="s">
        <v>777</v>
      </c>
      <c r="B19" s="171">
        <v>96</v>
      </c>
      <c r="C19" s="172">
        <v>103</v>
      </c>
      <c r="D19" s="172">
        <v>182</v>
      </c>
      <c r="E19" s="172">
        <v>221</v>
      </c>
      <c r="F19" s="172">
        <v>172</v>
      </c>
      <c r="G19" s="172"/>
      <c r="H19" s="172">
        <v>228</v>
      </c>
      <c r="I19" s="172">
        <v>129</v>
      </c>
      <c r="J19" s="172">
        <v>205</v>
      </c>
      <c r="K19" s="172">
        <v>86</v>
      </c>
      <c r="L19" s="172">
        <v>9</v>
      </c>
      <c r="M19" s="173"/>
      <c r="N19" s="173"/>
      <c r="O19" s="519"/>
      <c r="P19" s="519"/>
      <c r="Q19" s="520">
        <v>100</v>
      </c>
      <c r="R19" s="520"/>
      <c r="S19" s="521"/>
      <c r="T19" s="521"/>
      <c r="U19" s="521"/>
    </row>
    <row r="20" spans="1:21">
      <c r="A20" s="174" t="s">
        <v>778</v>
      </c>
      <c r="B20" s="166">
        <v>106.74199999999999</v>
      </c>
      <c r="C20" s="163">
        <v>286.601</v>
      </c>
      <c r="D20" s="163">
        <v>920.57300000000009</v>
      </c>
      <c r="E20" s="163">
        <v>551.63699999999994</v>
      </c>
      <c r="F20" s="163">
        <v>942.42800000000011</v>
      </c>
      <c r="G20" s="163">
        <v>691.54899999999998</v>
      </c>
      <c r="H20" s="163">
        <v>684.74800000000005</v>
      </c>
      <c r="I20" s="163">
        <v>1174.3150000000001</v>
      </c>
      <c r="J20" s="163">
        <v>723.96199999999999</v>
      </c>
      <c r="K20" s="163">
        <v>1190.49</v>
      </c>
      <c r="L20" s="163">
        <v>1283</v>
      </c>
      <c r="M20" s="163">
        <v>872</v>
      </c>
      <c r="N20" s="163">
        <v>1050</v>
      </c>
      <c r="O20" s="522">
        <v>1586.4692</v>
      </c>
      <c r="P20" s="523">
        <v>1680</v>
      </c>
      <c r="Q20" s="522">
        <v>1553.3802000000003</v>
      </c>
      <c r="R20" s="522">
        <v>1428.3137999999999</v>
      </c>
      <c r="S20" s="515">
        <v>1285.797</v>
      </c>
      <c r="T20" s="515">
        <v>1450</v>
      </c>
      <c r="U20" s="515">
        <v>1470</v>
      </c>
    </row>
    <row r="21" spans="1:21" ht="15.6">
      <c r="A21" s="175" t="s">
        <v>779</v>
      </c>
      <c r="B21" s="176">
        <v>86.444999999999993</v>
      </c>
      <c r="C21" s="177">
        <v>137.096</v>
      </c>
      <c r="D21" s="177">
        <v>316.30900000000003</v>
      </c>
      <c r="E21" s="177">
        <v>192.62200000000001</v>
      </c>
      <c r="F21" s="177">
        <v>420.68</v>
      </c>
      <c r="G21" s="177">
        <v>296.76799999999997</v>
      </c>
      <c r="H21" s="177">
        <v>82.59</v>
      </c>
      <c r="I21" s="177">
        <v>261.44400000000002</v>
      </c>
      <c r="J21" s="177">
        <v>252.01599999999999</v>
      </c>
      <c r="K21" s="177">
        <v>302.74599999999998</v>
      </c>
      <c r="L21" s="177">
        <v>297</v>
      </c>
      <c r="M21" s="178">
        <v>172</v>
      </c>
      <c r="N21" s="178">
        <v>150</v>
      </c>
      <c r="O21" s="524">
        <v>99.27500000000002</v>
      </c>
      <c r="P21" s="525">
        <v>91</v>
      </c>
      <c r="Q21" s="524">
        <v>347.56850000000009</v>
      </c>
      <c r="R21" s="524">
        <v>195.69820000000001</v>
      </c>
      <c r="S21" s="526">
        <v>292.09100000000001</v>
      </c>
      <c r="T21" s="527">
        <v>230</v>
      </c>
      <c r="U21" s="527">
        <v>120</v>
      </c>
    </row>
    <row r="22" spans="1:21">
      <c r="A22" s="175" t="s">
        <v>780</v>
      </c>
      <c r="B22" s="176">
        <v>20.297000000000001</v>
      </c>
      <c r="C22" s="177">
        <v>149.505</v>
      </c>
      <c r="D22" s="177">
        <v>604.26400000000001</v>
      </c>
      <c r="E22" s="177">
        <v>359.01499999999999</v>
      </c>
      <c r="F22" s="177">
        <v>521.74800000000005</v>
      </c>
      <c r="G22" s="177">
        <v>394.78100000000001</v>
      </c>
      <c r="H22" s="177">
        <v>602.15800000000002</v>
      </c>
      <c r="I22" s="177">
        <v>912.87099999999998</v>
      </c>
      <c r="J22" s="177">
        <v>471.94600000000003</v>
      </c>
      <c r="K22" s="177">
        <v>887.74400000000003</v>
      </c>
      <c r="L22" s="179">
        <v>986</v>
      </c>
      <c r="M22" s="180">
        <v>700</v>
      </c>
      <c r="N22" s="180">
        <v>900</v>
      </c>
      <c r="O22" s="528">
        <v>1487.1941999999999</v>
      </c>
      <c r="P22" s="529">
        <v>1589</v>
      </c>
      <c r="Q22" s="528">
        <v>1205.8117000000002</v>
      </c>
      <c r="R22" s="528">
        <v>1232.6155999999999</v>
      </c>
      <c r="S22" s="530">
        <v>993.70600000000002</v>
      </c>
      <c r="T22" s="531">
        <v>1220</v>
      </c>
      <c r="U22" s="531">
        <v>1350</v>
      </c>
    </row>
    <row r="23" spans="1:21" ht="18.600000000000001">
      <c r="A23" s="181" t="s">
        <v>781</v>
      </c>
      <c r="B23" s="182">
        <v>4580.5640000000003</v>
      </c>
      <c r="C23" s="183">
        <v>5140.99</v>
      </c>
      <c r="D23" s="183">
        <v>5780.049</v>
      </c>
      <c r="E23" s="183">
        <v>6443.4719999999998</v>
      </c>
      <c r="F23" s="183">
        <v>6157.73</v>
      </c>
      <c r="G23" s="183">
        <v>6239.2910000000002</v>
      </c>
      <c r="H23" s="183">
        <v>6379.4220000000005</v>
      </c>
      <c r="I23" s="183">
        <v>5739.8160000000007</v>
      </c>
      <c r="J23" s="183">
        <v>6406.5319999999992</v>
      </c>
      <c r="K23" s="183">
        <v>6545.8089999999993</v>
      </c>
      <c r="L23" s="183">
        <v>6071.8310000000001</v>
      </c>
      <c r="M23" s="183">
        <v>6110</v>
      </c>
      <c r="N23" s="183">
        <v>6057</v>
      </c>
      <c r="O23" s="532">
        <v>5257.8378949999997</v>
      </c>
      <c r="P23" s="532">
        <v>5093.1017000000002</v>
      </c>
      <c r="Q23" s="533">
        <v>4934.4633660000009</v>
      </c>
      <c r="R23" s="533">
        <v>5788.6166400000002</v>
      </c>
      <c r="S23" s="534">
        <v>5653.8889500000014</v>
      </c>
      <c r="T23" s="534">
        <v>5509.7835999999998</v>
      </c>
      <c r="U23" s="534">
        <v>5464.7565999999997</v>
      </c>
    </row>
    <row r="24" spans="1:21">
      <c r="A24" s="184"/>
      <c r="B24" s="185"/>
      <c r="C24" s="186"/>
      <c r="D24" s="187"/>
      <c r="E24" s="188"/>
      <c r="F24" s="189"/>
      <c r="G24" s="189"/>
      <c r="H24" s="189"/>
      <c r="I24" s="189"/>
      <c r="J24" s="189"/>
      <c r="K24" s="189"/>
      <c r="L24" s="189"/>
      <c r="M24" s="189"/>
      <c r="N24" s="189"/>
      <c r="O24" s="535"/>
      <c r="P24" s="535"/>
      <c r="Q24" s="536"/>
      <c r="R24" s="536"/>
      <c r="S24" s="537"/>
      <c r="T24" s="537"/>
      <c r="U24" s="537"/>
    </row>
    <row r="25" spans="1:21" ht="17.399999999999999">
      <c r="A25" s="190" t="s">
        <v>782</v>
      </c>
      <c r="B25" s="191"/>
      <c r="C25" s="192"/>
      <c r="D25" s="193"/>
      <c r="E25" s="194"/>
      <c r="F25" s="194"/>
      <c r="G25" s="194"/>
      <c r="H25" s="194"/>
      <c r="I25" s="194"/>
      <c r="J25" s="194"/>
      <c r="K25" s="194"/>
      <c r="L25" s="194"/>
      <c r="M25" s="194"/>
      <c r="N25" s="194"/>
      <c r="O25" s="538"/>
      <c r="P25" s="538"/>
      <c r="Q25" s="539"/>
      <c r="R25" s="539"/>
      <c r="S25" s="540"/>
      <c r="T25" s="540"/>
      <c r="U25" s="540"/>
    </row>
    <row r="26" spans="1:21" ht="17.399999999999999">
      <c r="A26" s="195"/>
      <c r="B26" s="185"/>
      <c r="C26" s="186"/>
      <c r="D26" s="187"/>
      <c r="E26" s="186"/>
      <c r="F26" s="196"/>
      <c r="G26" s="196"/>
      <c r="H26" s="196"/>
      <c r="I26" s="196"/>
      <c r="J26" s="196"/>
      <c r="K26" s="196"/>
      <c r="L26" s="196"/>
      <c r="M26" s="196"/>
      <c r="N26" s="196"/>
      <c r="O26" s="541"/>
      <c r="P26" s="541"/>
      <c r="Q26" s="542"/>
      <c r="R26" s="542"/>
      <c r="S26" s="543"/>
      <c r="T26" s="543"/>
      <c r="U26" s="543"/>
    </row>
    <row r="27" spans="1:21">
      <c r="A27" s="174" t="s">
        <v>783</v>
      </c>
      <c r="B27" s="119">
        <v>2489.04567</v>
      </c>
      <c r="C27" s="120">
        <v>2942.3112699999997</v>
      </c>
      <c r="D27" s="120">
        <v>3910.1311499999997</v>
      </c>
      <c r="E27" s="120">
        <v>4464.4723400000003</v>
      </c>
      <c r="F27" s="120">
        <v>4689.1463200000007</v>
      </c>
      <c r="G27" s="120">
        <v>4353.6502499999997</v>
      </c>
      <c r="H27" s="120">
        <v>4792.6804099999999</v>
      </c>
      <c r="I27" s="120">
        <v>4436.7074000000002</v>
      </c>
      <c r="J27" s="120">
        <v>4775.6158700000005</v>
      </c>
      <c r="K27" s="120">
        <v>4898.4475899999998</v>
      </c>
      <c r="L27" s="120">
        <v>4554.43</v>
      </c>
      <c r="M27" s="120">
        <v>4406.1899999999996</v>
      </c>
      <c r="N27" s="120">
        <v>4202</v>
      </c>
      <c r="O27" s="544">
        <v>3954.091195</v>
      </c>
      <c r="P27" s="544">
        <v>4006.2677999999996</v>
      </c>
      <c r="Q27" s="545">
        <v>3938.454326</v>
      </c>
      <c r="R27" s="545">
        <v>4310.1310899999999</v>
      </c>
      <c r="S27" s="546">
        <v>4273.1933500000014</v>
      </c>
      <c r="T27" s="546">
        <v>4262.4630200000001</v>
      </c>
      <c r="U27" s="546">
        <v>4358.8127500000001</v>
      </c>
    </row>
    <row r="28" spans="1:21">
      <c r="A28" s="197" t="s">
        <v>784</v>
      </c>
      <c r="B28" s="198">
        <v>2336.6709999999998</v>
      </c>
      <c r="C28" s="199">
        <v>2784.3359999999998</v>
      </c>
      <c r="D28" s="199">
        <v>3721.0169999999998</v>
      </c>
      <c r="E28" s="199">
        <v>4220.8879999999999</v>
      </c>
      <c r="F28" s="199">
        <v>4502.6260000000002</v>
      </c>
      <c r="G28" s="199">
        <v>4239.6819999999998</v>
      </c>
      <c r="H28" s="199">
        <v>4687</v>
      </c>
      <c r="I28" s="199">
        <v>4325</v>
      </c>
      <c r="J28" s="199">
        <v>4640</v>
      </c>
      <c r="K28" s="820">
        <v>4780</v>
      </c>
      <c r="L28" s="199">
        <v>4450</v>
      </c>
      <c r="M28" s="200">
        <v>4300</v>
      </c>
      <c r="N28" s="200">
        <v>4100</v>
      </c>
      <c r="O28" s="821">
        <v>3893.6621219999997</v>
      </c>
      <c r="P28" s="547">
        <v>3948</v>
      </c>
      <c r="Q28" s="548">
        <v>3883.0493940000001</v>
      </c>
      <c r="R28" s="548">
        <v>4248.6465879999996</v>
      </c>
      <c r="S28" s="822">
        <v>4207.1141350000016</v>
      </c>
      <c r="T28" s="549">
        <v>4200</v>
      </c>
      <c r="U28" s="549">
        <v>4300</v>
      </c>
    </row>
    <row r="29" spans="1:21">
      <c r="A29" s="197" t="s">
        <v>785</v>
      </c>
      <c r="B29" s="198">
        <v>106.342</v>
      </c>
      <c r="C29" s="199">
        <v>109.045</v>
      </c>
      <c r="D29" s="199">
        <v>120.236</v>
      </c>
      <c r="E29" s="199">
        <v>161.965</v>
      </c>
      <c r="F29" s="199">
        <v>114.38500000000001</v>
      </c>
      <c r="G29" s="199">
        <v>51.09</v>
      </c>
      <c r="H29" s="199">
        <v>42.11</v>
      </c>
      <c r="I29" s="199">
        <v>58.569000000000003</v>
      </c>
      <c r="J29" s="199">
        <v>71.474000000000004</v>
      </c>
      <c r="K29" s="820">
        <v>56.387999999999998</v>
      </c>
      <c r="L29" s="199">
        <v>48</v>
      </c>
      <c r="M29" s="200">
        <v>45.2</v>
      </c>
      <c r="N29" s="200">
        <v>45</v>
      </c>
      <c r="O29" s="556">
        <v>20.630311000000003</v>
      </c>
      <c r="P29" s="550">
        <v>21.800999999999998</v>
      </c>
      <c r="Q29" s="551">
        <v>18.072873999999999</v>
      </c>
      <c r="R29" s="551">
        <v>13.66137</v>
      </c>
      <c r="S29" s="696">
        <v>19.029999999999998</v>
      </c>
      <c r="T29" s="526">
        <v>19</v>
      </c>
      <c r="U29" s="526">
        <v>16</v>
      </c>
    </row>
    <row r="30" spans="1:21">
      <c r="A30" s="197" t="s">
        <v>786</v>
      </c>
      <c r="B30" s="198">
        <v>6</v>
      </c>
      <c r="C30" s="199">
        <v>4</v>
      </c>
      <c r="D30" s="199">
        <v>24</v>
      </c>
      <c r="E30" s="199">
        <v>27</v>
      </c>
      <c r="F30" s="199">
        <v>25</v>
      </c>
      <c r="G30" s="199">
        <v>10</v>
      </c>
      <c r="H30" s="199">
        <v>10</v>
      </c>
      <c r="I30" s="199">
        <v>10</v>
      </c>
      <c r="J30" s="199">
        <v>10</v>
      </c>
      <c r="K30" s="820">
        <v>10</v>
      </c>
      <c r="L30" s="199">
        <v>10</v>
      </c>
      <c r="M30" s="200">
        <v>10</v>
      </c>
      <c r="N30" s="200">
        <v>10</v>
      </c>
      <c r="O30" s="611">
        <v>5.1079999999999997</v>
      </c>
      <c r="P30" s="525">
        <v>3.8068</v>
      </c>
      <c r="Q30" s="524">
        <v>5.1207000000000003</v>
      </c>
      <c r="R30" s="524">
        <v>5.1207000000000003</v>
      </c>
      <c r="S30" s="696">
        <v>5.1207000000000003</v>
      </c>
      <c r="T30" s="526">
        <v>5.1207000000000003</v>
      </c>
      <c r="U30" s="526">
        <v>5.1207000000000003</v>
      </c>
    </row>
    <row r="31" spans="1:21">
      <c r="A31" s="197" t="s">
        <v>787</v>
      </c>
      <c r="B31" s="198">
        <v>40.032669999999996</v>
      </c>
      <c r="C31" s="199">
        <v>44.93027</v>
      </c>
      <c r="D31" s="199">
        <v>44.878149999999998</v>
      </c>
      <c r="E31" s="199">
        <v>54.619340000000001</v>
      </c>
      <c r="F31" s="199">
        <v>47.13532</v>
      </c>
      <c r="G31" s="199">
        <v>52.878250000000001</v>
      </c>
      <c r="H31" s="199">
        <v>53.570410000000003</v>
      </c>
      <c r="I31" s="199">
        <v>43.138400000000004</v>
      </c>
      <c r="J31" s="199">
        <v>54.141869999999997</v>
      </c>
      <c r="K31" s="199">
        <v>52.05959</v>
      </c>
      <c r="L31" s="199">
        <v>46.43</v>
      </c>
      <c r="M31" s="200">
        <v>50.99</v>
      </c>
      <c r="N31" s="200">
        <v>47</v>
      </c>
      <c r="O31" s="552">
        <v>34.690761999999999</v>
      </c>
      <c r="P31" s="552">
        <v>32.660000000000004</v>
      </c>
      <c r="Q31" s="553">
        <v>32.211358000000004</v>
      </c>
      <c r="R31" s="553">
        <v>42.702432000000002</v>
      </c>
      <c r="S31" s="554">
        <v>41.928515000000004</v>
      </c>
      <c r="T31" s="554">
        <v>38.342320000000001</v>
      </c>
      <c r="U31" s="554">
        <v>37.692050000000002</v>
      </c>
    </row>
    <row r="32" spans="1:21">
      <c r="A32" s="197" t="s">
        <v>788</v>
      </c>
      <c r="B32" s="198"/>
      <c r="C32" s="199"/>
      <c r="D32" s="199"/>
      <c r="E32" s="199"/>
      <c r="F32" s="199"/>
      <c r="G32" s="199">
        <v>67</v>
      </c>
      <c r="H32" s="199"/>
      <c r="I32" s="199"/>
      <c r="J32" s="199"/>
      <c r="K32" s="199"/>
      <c r="L32" s="199"/>
      <c r="M32" s="200">
        <v>18</v>
      </c>
      <c r="N32" s="200"/>
      <c r="O32" s="550"/>
      <c r="P32" s="550"/>
      <c r="Q32" s="551"/>
      <c r="R32" s="551"/>
      <c r="S32" s="555"/>
      <c r="T32" s="555"/>
      <c r="U32" s="555"/>
    </row>
    <row r="33" spans="1:21">
      <c r="A33" s="197"/>
      <c r="B33" s="198"/>
      <c r="C33" s="199"/>
      <c r="D33" s="199"/>
      <c r="E33" s="199"/>
      <c r="F33" s="199"/>
      <c r="G33" s="199"/>
      <c r="H33" s="199"/>
      <c r="I33" s="199"/>
      <c r="J33" s="199"/>
      <c r="K33" s="199"/>
      <c r="L33" s="199"/>
      <c r="M33" s="200"/>
      <c r="N33" s="200"/>
      <c r="O33" s="556"/>
      <c r="P33" s="556"/>
      <c r="Q33" s="557"/>
      <c r="R33" s="557"/>
      <c r="S33" s="555"/>
      <c r="T33" s="555"/>
      <c r="U33" s="555"/>
    </row>
    <row r="34" spans="1:21">
      <c r="A34" s="174" t="s">
        <v>789</v>
      </c>
      <c r="B34" s="119">
        <v>1833.386</v>
      </c>
      <c r="C34" s="120">
        <v>2009.009</v>
      </c>
      <c r="D34" s="120">
        <v>1661.0150000000001</v>
      </c>
      <c r="E34" s="120">
        <v>1648.998</v>
      </c>
      <c r="F34" s="120">
        <v>1209.049</v>
      </c>
      <c r="G34" s="120">
        <v>1709.0130000000001</v>
      </c>
      <c r="H34" s="120">
        <v>1464.127</v>
      </c>
      <c r="I34" s="120">
        <v>1239.616</v>
      </c>
      <c r="J34" s="120">
        <v>1567.6289999999999</v>
      </c>
      <c r="K34" s="120">
        <v>1510.9870000000001</v>
      </c>
      <c r="L34" s="120">
        <v>1376</v>
      </c>
      <c r="M34" s="120">
        <v>1466.3</v>
      </c>
      <c r="N34" s="120">
        <v>1603</v>
      </c>
      <c r="O34" s="523">
        <v>1156.6449999999998</v>
      </c>
      <c r="P34" s="523">
        <v>1027</v>
      </c>
      <c r="Q34" s="522">
        <v>905.94940000000031</v>
      </c>
      <c r="R34" s="522">
        <v>1303.2451000000003</v>
      </c>
      <c r="S34" s="558">
        <v>1155.144</v>
      </c>
      <c r="T34" s="558">
        <v>1110</v>
      </c>
      <c r="U34" s="558">
        <v>980</v>
      </c>
    </row>
    <row r="35" spans="1:21">
      <c r="A35" s="201" t="s">
        <v>790</v>
      </c>
      <c r="B35" s="198">
        <v>1800.8989999999999</v>
      </c>
      <c r="C35" s="199">
        <v>1956.8430000000001</v>
      </c>
      <c r="D35" s="199">
        <v>1650.317</v>
      </c>
      <c r="E35" s="199">
        <v>1637.98</v>
      </c>
      <c r="F35" s="199">
        <v>1203.386</v>
      </c>
      <c r="G35" s="199">
        <v>1696.3620000000001</v>
      </c>
      <c r="H35" s="199">
        <v>1458.9659999999999</v>
      </c>
      <c r="I35" s="199">
        <v>1144.027</v>
      </c>
      <c r="J35" s="199">
        <v>1531.05</v>
      </c>
      <c r="K35" s="199">
        <v>1489.9770000000001</v>
      </c>
      <c r="L35" s="199">
        <v>1375</v>
      </c>
      <c r="M35" s="200">
        <v>1464</v>
      </c>
      <c r="N35" s="200">
        <v>1600</v>
      </c>
      <c r="O35" s="525">
        <v>1051.8662999999997</v>
      </c>
      <c r="P35" s="525">
        <v>980</v>
      </c>
      <c r="Q35" s="524">
        <v>821.11220000000037</v>
      </c>
      <c r="R35" s="524">
        <v>1233.8702000000003</v>
      </c>
      <c r="S35" s="526">
        <v>1092.3430000000001</v>
      </c>
      <c r="T35" s="527">
        <v>1100</v>
      </c>
      <c r="U35" s="527">
        <v>930</v>
      </c>
    </row>
    <row r="36" spans="1:21">
      <c r="A36" s="201" t="s">
        <v>780</v>
      </c>
      <c r="B36" s="198">
        <v>32.487000000000002</v>
      </c>
      <c r="C36" s="199">
        <v>52.165999999999997</v>
      </c>
      <c r="D36" s="199">
        <v>10.698</v>
      </c>
      <c r="E36" s="199">
        <v>11.018000000000001</v>
      </c>
      <c r="F36" s="199">
        <v>5.6630000000000003</v>
      </c>
      <c r="G36" s="199">
        <v>12.651</v>
      </c>
      <c r="H36" s="199">
        <v>5.1609999999999996</v>
      </c>
      <c r="I36" s="199">
        <v>95.588999999999999</v>
      </c>
      <c r="J36" s="199">
        <v>36.579000000000001</v>
      </c>
      <c r="K36" s="199">
        <v>21.01</v>
      </c>
      <c r="L36" s="199">
        <v>1</v>
      </c>
      <c r="M36" s="200">
        <v>2.2999999999999998</v>
      </c>
      <c r="N36" s="200">
        <v>3</v>
      </c>
      <c r="O36" s="525">
        <v>104.7787</v>
      </c>
      <c r="P36" s="525">
        <v>47</v>
      </c>
      <c r="Q36" s="524">
        <v>84.837199999999982</v>
      </c>
      <c r="R36" s="524">
        <v>69.374899999999997</v>
      </c>
      <c r="S36" s="526">
        <v>62.801000000000002</v>
      </c>
      <c r="T36" s="531">
        <v>10</v>
      </c>
      <c r="U36" s="531">
        <v>50</v>
      </c>
    </row>
    <row r="37" spans="1:21" ht="18.600000000000001">
      <c r="A37" s="181" t="s">
        <v>791</v>
      </c>
      <c r="B37" s="182">
        <v>4322.4316699999999</v>
      </c>
      <c r="C37" s="183">
        <v>4951.3202700000002</v>
      </c>
      <c r="D37" s="183">
        <v>5571.1461499999996</v>
      </c>
      <c r="E37" s="183">
        <v>6113.4703399999999</v>
      </c>
      <c r="F37" s="183">
        <v>5898.1953200000007</v>
      </c>
      <c r="G37" s="183">
        <v>6062.6632499999996</v>
      </c>
      <c r="H37" s="183">
        <v>6256.8074099999994</v>
      </c>
      <c r="I37" s="183">
        <v>5676.3234000000002</v>
      </c>
      <c r="J37" s="183">
        <v>6343.2448700000004</v>
      </c>
      <c r="K37" s="183">
        <v>6409.4345899999998</v>
      </c>
      <c r="L37" s="183">
        <v>5930.43</v>
      </c>
      <c r="M37" s="183">
        <v>5872.49</v>
      </c>
      <c r="N37" s="183">
        <v>5805</v>
      </c>
      <c r="O37" s="532">
        <v>5110.7361949999995</v>
      </c>
      <c r="P37" s="532">
        <v>5033.2677999999996</v>
      </c>
      <c r="Q37" s="533">
        <v>4844.4037260000005</v>
      </c>
      <c r="R37" s="533">
        <v>5613.37619</v>
      </c>
      <c r="S37" s="534">
        <v>5428.3373500000016</v>
      </c>
      <c r="T37" s="534">
        <v>5372.4630200000001</v>
      </c>
      <c r="U37" s="534">
        <v>5338.8127500000001</v>
      </c>
    </row>
    <row r="38" spans="1:21">
      <c r="A38" s="202"/>
      <c r="B38" s="203"/>
      <c r="C38" s="204"/>
      <c r="D38" s="204"/>
      <c r="E38" s="204"/>
      <c r="F38" s="204"/>
      <c r="G38" s="204"/>
      <c r="H38" s="204"/>
      <c r="I38" s="204"/>
      <c r="J38" s="204"/>
      <c r="K38" s="204"/>
      <c r="L38" s="204"/>
      <c r="M38" s="204"/>
      <c r="N38" s="204"/>
      <c r="O38" s="559"/>
      <c r="P38" s="559"/>
      <c r="Q38" s="560"/>
      <c r="R38" s="560"/>
      <c r="S38" s="561"/>
      <c r="T38" s="561"/>
      <c r="U38" s="561"/>
    </row>
    <row r="39" spans="1:21" ht="20.399999999999999">
      <c r="A39" s="205" t="s">
        <v>792</v>
      </c>
      <c r="B39" s="206">
        <v>258.36199999999997</v>
      </c>
      <c r="C39" s="206">
        <v>189.661</v>
      </c>
      <c r="D39" s="206">
        <v>208.90100000000001</v>
      </c>
      <c r="E39" s="206">
        <v>329.77</v>
      </c>
      <c r="F39" s="206">
        <v>259.91700000000003</v>
      </c>
      <c r="G39" s="206">
        <v>109.633</v>
      </c>
      <c r="H39" s="206">
        <v>122.661</v>
      </c>
      <c r="I39" s="206">
        <v>63.383000000000003</v>
      </c>
      <c r="J39" s="206">
        <v>63.36</v>
      </c>
      <c r="K39" s="206">
        <v>136.83100000000002</v>
      </c>
      <c r="L39" s="206">
        <v>138.80000000000001</v>
      </c>
      <c r="M39" s="207">
        <v>221</v>
      </c>
      <c r="N39" s="207">
        <v>252</v>
      </c>
      <c r="O39" s="562">
        <v>147.10169999999999</v>
      </c>
      <c r="P39" s="562">
        <v>59.947366000000002</v>
      </c>
      <c r="Q39" s="563">
        <v>90.059640000000002</v>
      </c>
      <c r="R39" s="563">
        <v>175.24045000000001</v>
      </c>
      <c r="S39" s="564">
        <v>225.55159999999998</v>
      </c>
      <c r="T39" s="565">
        <v>137</v>
      </c>
      <c r="U39" s="565">
        <v>126</v>
      </c>
    </row>
    <row r="40" spans="1:21">
      <c r="A40" s="197" t="s">
        <v>793</v>
      </c>
      <c r="B40" s="208">
        <v>253.24199999999999</v>
      </c>
      <c r="C40" s="209">
        <v>186.887</v>
      </c>
      <c r="D40" s="209">
        <v>205.00200000000001</v>
      </c>
      <c r="E40" s="209">
        <v>250.13499999999999</v>
      </c>
      <c r="F40" s="209">
        <v>191.821</v>
      </c>
      <c r="G40" s="209">
        <v>108.184</v>
      </c>
      <c r="H40" s="209">
        <v>120.3</v>
      </c>
      <c r="I40" s="209">
        <v>60.886000000000003</v>
      </c>
      <c r="J40" s="823">
        <v>61.488999999999997</v>
      </c>
      <c r="K40" s="823">
        <v>115.098</v>
      </c>
      <c r="L40" s="209">
        <v>136</v>
      </c>
      <c r="M40" s="210">
        <v>64</v>
      </c>
      <c r="N40" s="825">
        <v>191</v>
      </c>
      <c r="O40" s="824">
        <v>145.63729999999998</v>
      </c>
      <c r="P40" s="566">
        <v>59</v>
      </c>
      <c r="Q40" s="567">
        <v>89.024500000000003</v>
      </c>
      <c r="R40" s="827">
        <v>172.8109</v>
      </c>
      <c r="S40" s="826">
        <v>224.56129999999999</v>
      </c>
      <c r="T40" s="568"/>
      <c r="U40" s="568"/>
    </row>
    <row r="41" spans="1:21">
      <c r="A41" s="197" t="s">
        <v>794</v>
      </c>
      <c r="B41" s="208">
        <v>5.12</v>
      </c>
      <c r="C41" s="209">
        <v>2.774</v>
      </c>
      <c r="D41" s="209">
        <v>3.899</v>
      </c>
      <c r="E41" s="209">
        <v>4.6349999999999998</v>
      </c>
      <c r="F41" s="209">
        <v>3.0960000000000001</v>
      </c>
      <c r="G41" s="209">
        <v>1.4490000000000001</v>
      </c>
      <c r="H41" s="209">
        <v>2.3610000000000002</v>
      </c>
      <c r="I41" s="209">
        <v>2.4969999999999999</v>
      </c>
      <c r="J41" s="209">
        <v>1.871</v>
      </c>
      <c r="K41" s="209">
        <v>6.7329999999999997</v>
      </c>
      <c r="L41" s="209">
        <v>2.8</v>
      </c>
      <c r="M41" s="210"/>
      <c r="N41" s="210"/>
      <c r="O41" s="567">
        <v>1.4644000000000001</v>
      </c>
      <c r="P41" s="569">
        <v>0.94736599999999993</v>
      </c>
      <c r="Q41" s="567">
        <v>1.0351400000000002</v>
      </c>
      <c r="R41" s="567">
        <v>2.4295500000000003</v>
      </c>
      <c r="S41" s="570">
        <v>0.99029999999999996</v>
      </c>
      <c r="T41" s="570"/>
      <c r="U41" s="570"/>
    </row>
    <row r="42" spans="1:21" ht="15" thickBot="1">
      <c r="A42" s="211" t="s">
        <v>795</v>
      </c>
      <c r="B42" s="212"/>
      <c r="C42" s="213"/>
      <c r="D42" s="213"/>
      <c r="E42" s="213">
        <v>75</v>
      </c>
      <c r="F42" s="213">
        <v>65</v>
      </c>
      <c r="G42" s="213"/>
      <c r="H42" s="213"/>
      <c r="I42" s="213"/>
      <c r="J42" s="213"/>
      <c r="K42" s="213">
        <v>15</v>
      </c>
      <c r="L42" s="213"/>
      <c r="M42" s="214"/>
      <c r="N42" s="214"/>
      <c r="O42" s="571"/>
      <c r="P42" s="571"/>
      <c r="Q42" s="572"/>
      <c r="R42" s="572"/>
      <c r="S42" s="573"/>
      <c r="T42" s="574"/>
      <c r="U42" s="573"/>
    </row>
    <row r="43" spans="1:21">
      <c r="A43" s="215" t="s">
        <v>796</v>
      </c>
      <c r="B43" s="216"/>
      <c r="C43" s="216"/>
      <c r="D43" s="216"/>
      <c r="E43" s="216"/>
      <c r="F43" s="216"/>
      <c r="G43" s="216"/>
      <c r="H43" s="216"/>
      <c r="I43" s="217"/>
      <c r="J43" s="217"/>
      <c r="K43" s="218"/>
      <c r="L43" s="217"/>
      <c r="M43" s="217"/>
      <c r="N43" s="217"/>
    </row>
    <row r="44" spans="1:21" ht="16.2">
      <c r="A44" s="219" t="s">
        <v>797</v>
      </c>
    </row>
    <row r="45" spans="1:21" ht="16.2">
      <c r="A45" s="220" t="s">
        <v>798</v>
      </c>
      <c r="L45" s="221"/>
    </row>
    <row r="46" spans="1:21">
      <c r="H46" s="221"/>
      <c r="I46" s="221"/>
      <c r="J46" s="221"/>
      <c r="K46" s="221"/>
      <c r="L46" s="221"/>
      <c r="M46" s="221"/>
      <c r="N46" s="221"/>
    </row>
    <row r="47" spans="1:21">
      <c r="J47" s="222"/>
    </row>
    <row r="48" spans="1:21" s="226" customFormat="1" ht="13.8" hidden="1">
      <c r="A48" s="223" t="s">
        <v>799</v>
      </c>
      <c r="B48" s="224">
        <v>-0.2296699999996008</v>
      </c>
      <c r="C48" s="225">
        <v>8.7300000000709588E-3</v>
      </c>
      <c r="D48" s="225">
        <v>1.8500000001608896E-3</v>
      </c>
      <c r="E48" s="225">
        <v>0.23165999999946507</v>
      </c>
      <c r="F48" s="225">
        <v>-0.3823200000011866</v>
      </c>
      <c r="G48" s="224">
        <v>66.994750000000337</v>
      </c>
      <c r="H48" s="225">
        <v>-4.6409999999411866E-2</v>
      </c>
      <c r="I48" s="225">
        <v>0.10960000000049064</v>
      </c>
      <c r="J48" s="225">
        <v>-7.2870000001202584E-2</v>
      </c>
      <c r="K48" s="224"/>
      <c r="L48" s="224"/>
      <c r="M48" s="224"/>
      <c r="N48" s="224"/>
    </row>
    <row r="49" spans="7:14">
      <c r="I49" s="221"/>
      <c r="J49" s="221"/>
      <c r="K49" s="221"/>
      <c r="L49" s="221"/>
      <c r="M49" s="221"/>
      <c r="N49" s="221"/>
    </row>
    <row r="51" spans="7:14">
      <c r="G51" s="221"/>
    </row>
  </sheetData>
  <mergeCells count="2">
    <mergeCell ref="B1:M1"/>
    <mergeCell ref="O1:U1"/>
  </mergeCells>
  <conditionalFormatting sqref="L5:R5">
    <cfRule type="expression" dxfId="8" priority="2" stopIfTrue="1">
      <formula>ISERROR(L5)</formula>
    </cfRule>
  </conditionalFormatting>
  <conditionalFormatting sqref="L7:R7">
    <cfRule type="expression" dxfId="7" priority="1" stopIfTrue="1">
      <formula>ISERROR(L7)</formula>
    </cfRule>
  </conditionalFormatting>
  <pageMargins left="0.7" right="0.7" top="0.75" bottom="0.75" header="0.3" footer="0.3"/>
  <pageSetup paperSize="9" scale="6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0B173-C106-4270-A96B-26C8A018806E}">
  <sheetPr>
    <tabColor rgb="FF92D050"/>
  </sheetPr>
  <dimension ref="A1:S28"/>
  <sheetViews>
    <sheetView workbookViewId="0">
      <pane xSplit="2" ySplit="1" topLeftCell="C2" activePane="bottomRight" state="frozen"/>
      <selection activeCell="B15" sqref="B15"/>
      <selection pane="topRight" activeCell="B15" sqref="B15"/>
      <selection pane="bottomLeft" activeCell="B15" sqref="B15"/>
      <selection pane="bottomRight" activeCell="P2" sqref="P2:Q28"/>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30.21875" style="2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Secteurs!$B$2</f>
        <v>Récolte</v>
      </c>
      <c r="B2" t="str">
        <f>Produits!$B$2</f>
        <v>Graines récoltées</v>
      </c>
      <c r="C2" s="100">
        <f>'BIlans Tournesol - FAM'!K7</f>
        <v>1186.913</v>
      </c>
      <c r="E2" t="str">
        <f>Etiquettes!$C$3</f>
        <v>kt</v>
      </c>
      <c r="F2" s="21" t="str">
        <f>Etiquettes!$I$6</f>
        <v>Tournesol</v>
      </c>
      <c r="G2" s="21" t="str">
        <f>Etiquettes!$H$5</f>
        <v>2015-16</v>
      </c>
      <c r="H2" t="str">
        <f>Etiquettes!$C$4</f>
        <v>France entière</v>
      </c>
      <c r="I2" s="101" t="s">
        <v>722</v>
      </c>
      <c r="J2" s="101"/>
      <c r="K2" t="s">
        <v>741</v>
      </c>
      <c r="L2" s="101" t="s">
        <v>1481</v>
      </c>
      <c r="M2" s="21" t="str">
        <f>Etiquettes!$H$11</f>
        <v>Volume</v>
      </c>
      <c r="N2" s="21" t="str">
        <f>_xlfn.CONCAT(I2,IF(ISBLANK(C2),"",_xlfn.CONCAT(" = ",MROUND(C2,1)," ",E2))," (",K2,")")</f>
        <v>Récolte = 1187 kt (Bilans par campagne - FranceAgriMer)</v>
      </c>
      <c r="O2" t="str">
        <f>Etiquettes!$H$15</f>
        <v>Fiable</v>
      </c>
      <c r="P2" s="976" t="s">
        <v>1468</v>
      </c>
      <c r="Q2" s="976" t="str">
        <f>Etiquettes!$H$17</f>
        <v>Donnée collectée (valeur du flux ou coefficient)</v>
      </c>
    </row>
    <row r="3" spans="1:19">
      <c r="A3" t="str">
        <f>Secteurs!$B$3</f>
        <v>Ferme</v>
      </c>
      <c r="B3" t="str">
        <f>Produits!$B$4</f>
        <v>Graines autoconsommées</v>
      </c>
      <c r="C3" s="858">
        <f>'BIlans Tournesol - FAM'!K9</f>
        <v>63.324000000000069</v>
      </c>
      <c r="E3" t="str">
        <f>Etiquettes!$C$3</f>
        <v>kt</v>
      </c>
      <c r="F3" s="21" t="str">
        <f>Etiquettes!$I$6</f>
        <v>Tournesol</v>
      </c>
      <c r="G3" s="21" t="str">
        <f>Etiquettes!$H$5</f>
        <v>2015-16</v>
      </c>
      <c r="H3" t="str">
        <f>Etiquettes!$C$4</f>
        <v>France entière</v>
      </c>
      <c r="I3" s="21" t="s">
        <v>742</v>
      </c>
      <c r="J3" s="101"/>
      <c r="K3" t="s">
        <v>741</v>
      </c>
      <c r="L3" s="101" t="s">
        <v>1481</v>
      </c>
      <c r="M3" s="21" t="str">
        <f>Etiquettes!$H$11</f>
        <v>Volume</v>
      </c>
      <c r="N3" s="21" t="str">
        <f t="shared" ref="N3:N28" si="0">_xlfn.CONCAT(I3,IF(ISBLANK(C3),"",_xlfn.CONCAT(" = ",MROUND(C3,1)," ",E3))," (",K3,")")</f>
        <v>Autoconsommation à la ferme = 63 kt (Bilans par campagne - FranceAgriMer)</v>
      </c>
      <c r="O3" t="str">
        <f>Etiquettes!$K$15</f>
        <v>Approximative</v>
      </c>
      <c r="P3" s="976" t="s">
        <v>1468</v>
      </c>
      <c r="Q3" s="976" t="str">
        <f>Etiquettes!$H$17</f>
        <v>Donnée collectée (valeur du flux ou coefficient)</v>
      </c>
    </row>
    <row r="4" spans="1:19">
      <c r="A4" t="str">
        <f>Produits!$B$2</f>
        <v>Graines récoltées</v>
      </c>
      <c r="B4" t="str">
        <f>Secteurs!$B$4</f>
        <v>OS</v>
      </c>
      <c r="C4" s="100">
        <f>'BIlans Tournesol - FAM'!K17</f>
        <v>1123.5889999999999</v>
      </c>
      <c r="E4" t="str">
        <f>Etiquettes!$C$3</f>
        <v>kt</v>
      </c>
      <c r="F4" s="21" t="str">
        <f>Etiquettes!$I$6</f>
        <v>Tournesol</v>
      </c>
      <c r="G4" s="21" t="str">
        <f>Etiquettes!$H$5</f>
        <v>2015-16</v>
      </c>
      <c r="H4" t="str">
        <f>Etiquettes!$C$4</f>
        <v>France entière</v>
      </c>
      <c r="I4" s="21" t="s">
        <v>743</v>
      </c>
      <c r="J4" s="101"/>
      <c r="K4" t="s">
        <v>741</v>
      </c>
      <c r="L4" s="101" t="s">
        <v>1481</v>
      </c>
      <c r="M4" s="21" t="str">
        <f>Etiquettes!$H$11</f>
        <v>Volume</v>
      </c>
      <c r="N4" s="21" t="str">
        <f t="shared" si="0"/>
        <v>Collecte = 1124 kt (Bilans par campagne - FranceAgriMer)</v>
      </c>
      <c r="O4" t="str">
        <f>Etiquettes!$I$15</f>
        <v>Robuste</v>
      </c>
      <c r="P4" s="976" t="s">
        <v>1468</v>
      </c>
      <c r="Q4" s="976" t="str">
        <f>Etiquettes!$H$17</f>
        <v>Donnée collectée (valeur du flux ou coefficient)</v>
      </c>
    </row>
    <row r="5" spans="1:19">
      <c r="A5" t="str">
        <f>Produits!$B$7</f>
        <v>Stock initial collecteurs</v>
      </c>
      <c r="B5" t="str">
        <f>Secteurs!$B$4</f>
        <v>OS</v>
      </c>
      <c r="C5" s="100">
        <f>'BIlans Tournesol - FAM'!J41</f>
        <v>78.971000000000004</v>
      </c>
      <c r="E5" t="str">
        <f>Etiquettes!$C$3</f>
        <v>kt</v>
      </c>
      <c r="F5" s="21" t="str">
        <f>Etiquettes!$I$6</f>
        <v>Tournesol</v>
      </c>
      <c r="G5" s="21" t="str">
        <f>Etiquettes!$H$5</f>
        <v>2015-16</v>
      </c>
      <c r="H5" t="str">
        <f>Etiquettes!$C$4</f>
        <v>France entière</v>
      </c>
      <c r="I5" s="21" t="s">
        <v>712</v>
      </c>
      <c r="J5" s="101"/>
      <c r="K5" t="s">
        <v>741</v>
      </c>
      <c r="L5" s="101" t="s">
        <v>1481</v>
      </c>
      <c r="M5" s="21" t="str">
        <f>Etiquettes!$H$11</f>
        <v>Volume</v>
      </c>
      <c r="N5" s="21" t="str">
        <f t="shared" si="0"/>
        <v>Stock initial collecteurs = 79 kt (Bilans par campagne - FranceAgriMer)</v>
      </c>
      <c r="O5" t="str">
        <f>Etiquettes!$I$15</f>
        <v>Robuste</v>
      </c>
      <c r="P5" s="976" t="s">
        <v>1468</v>
      </c>
      <c r="Q5" s="976" t="str">
        <f>Etiquettes!$H$17</f>
        <v>Donnée collectée (valeur du flux ou coefficient)</v>
      </c>
    </row>
    <row r="6" spans="1:19">
      <c r="A6" t="str">
        <f>Secteurs!$B$4</f>
        <v>OS</v>
      </c>
      <c r="B6" t="str">
        <f>Produits!$B$10</f>
        <v>Stock final collecteurs</v>
      </c>
      <c r="C6" s="100">
        <f>'BIlans Tournesol - FAM'!K41</f>
        <v>82.19</v>
      </c>
      <c r="E6" t="str">
        <f>Etiquettes!$C$3</f>
        <v>kt</v>
      </c>
      <c r="F6" s="21" t="str">
        <f>Etiquettes!$I$6</f>
        <v>Tournesol</v>
      </c>
      <c r="G6" s="21" t="str">
        <f>Etiquettes!$H$5</f>
        <v>2015-16</v>
      </c>
      <c r="H6" t="str">
        <f>Etiquettes!$C$4</f>
        <v>France entière</v>
      </c>
      <c r="I6" s="21" t="s">
        <v>715</v>
      </c>
      <c r="J6" s="101"/>
      <c r="K6" t="s">
        <v>741</v>
      </c>
      <c r="L6" s="101" t="s">
        <v>1481</v>
      </c>
      <c r="M6" s="21" t="str">
        <f>Etiquettes!$H$11</f>
        <v>Volume</v>
      </c>
      <c r="N6" s="21" t="str">
        <f t="shared" si="0"/>
        <v>Stock final collecteurs = 82 kt (Bilans par campagne - FranceAgriMer)</v>
      </c>
      <c r="O6" t="str">
        <f>Etiquettes!$I$15</f>
        <v>Robuste</v>
      </c>
      <c r="P6" s="976" t="s">
        <v>1468</v>
      </c>
      <c r="Q6" s="976" t="str">
        <f>Etiquettes!$H$17</f>
        <v>Donnée collectée (valeur du flux ou coefficient)</v>
      </c>
    </row>
    <row r="7" spans="1:19">
      <c r="A7" t="str">
        <f>Produits!$B$11</f>
        <v>Graines collectées</v>
      </c>
      <c r="B7" t="str">
        <f>Secteurs!$B$5</f>
        <v>Trituration</v>
      </c>
      <c r="C7" s="100">
        <f>'BIlans Tournesol - FAM'!K28</f>
        <v>1080</v>
      </c>
      <c r="E7" t="str">
        <f>Etiquettes!$C$3</f>
        <v>kt</v>
      </c>
      <c r="F7" s="21" t="str">
        <f>Etiquettes!$I$6</f>
        <v>Tournesol</v>
      </c>
      <c r="G7" s="21" t="str">
        <f>Etiquettes!$H$5</f>
        <v>2015-16</v>
      </c>
      <c r="H7" t="str">
        <f>Etiquettes!$C$4</f>
        <v>France entière</v>
      </c>
      <c r="I7" s="21" t="s">
        <v>1009</v>
      </c>
      <c r="K7" t="s">
        <v>741</v>
      </c>
      <c r="L7" s="101" t="s">
        <v>1481</v>
      </c>
      <c r="M7" s="21" t="str">
        <f>Etiquettes!$H$11</f>
        <v>Volume</v>
      </c>
      <c r="N7" s="21" t="str">
        <f t="shared" si="0"/>
        <v>Consommation de graines par la Trituration = 1080 kt (Bilans par campagne - FranceAgriMer)</v>
      </c>
      <c r="O7" t="str">
        <f>Etiquettes!$I$15</f>
        <v>Robuste</v>
      </c>
      <c r="P7" s="976" t="s">
        <v>1468</v>
      </c>
      <c r="Q7" s="976" t="str">
        <f>Etiquettes!$H$17</f>
        <v>Donnée collectée (valeur du flux ou coefficient)</v>
      </c>
    </row>
    <row r="8" spans="1:19">
      <c r="A8" t="str">
        <f>Produits!$B$11</f>
        <v>Graines collectées</v>
      </c>
      <c r="B8" t="str">
        <f>Secteurs!$B$24</f>
        <v>FAB</v>
      </c>
      <c r="C8" s="100">
        <f>'BIlans Tournesol - FAM'!K29</f>
        <v>6.726</v>
      </c>
      <c r="E8" t="str">
        <f>Etiquettes!$C$3</f>
        <v>kt</v>
      </c>
      <c r="F8" s="21" t="str">
        <f>Etiquettes!$I$6</f>
        <v>Tournesol</v>
      </c>
      <c r="G8" s="21" t="str">
        <f>Etiquettes!$H$5</f>
        <v>2015-16</v>
      </c>
      <c r="H8" t="str">
        <f>Etiquettes!$C$4</f>
        <v>France entière</v>
      </c>
      <c r="I8" s="21" t="s">
        <v>1011</v>
      </c>
      <c r="K8" t="s">
        <v>741</v>
      </c>
      <c r="L8" s="101" t="s">
        <v>1481</v>
      </c>
      <c r="M8" s="21" t="str">
        <f>Etiquettes!$H$11</f>
        <v>Volume</v>
      </c>
      <c r="N8" s="21" t="str">
        <f t="shared" si="0"/>
        <v>Consommation de graines par les FAB = 7 kt (Bilans par campagne - FranceAgriMer)</v>
      </c>
      <c r="O8" t="str">
        <f>Etiquettes!$J$15</f>
        <v>Probable</v>
      </c>
      <c r="P8" s="976" t="s">
        <v>1468</v>
      </c>
      <c r="Q8" s="976" t="str">
        <f>Etiquettes!$H$17</f>
        <v>Donnée collectée (valeur du flux ou coefficient)</v>
      </c>
    </row>
    <row r="9" spans="1:19">
      <c r="A9" t="str">
        <f>Produits!$B$11</f>
        <v>Graines collectées</v>
      </c>
      <c r="B9" t="str">
        <f>Secteurs!$B$14</f>
        <v>Alimentation humaine</v>
      </c>
      <c r="C9" s="100">
        <f>'BIlans Tournesol - FAM'!K30</f>
        <v>10</v>
      </c>
      <c r="E9" t="str">
        <f>Etiquettes!$C$3</f>
        <v>kt</v>
      </c>
      <c r="F9" s="21" t="str">
        <f>Etiquettes!$I$6</f>
        <v>Tournesol</v>
      </c>
      <c r="G9" s="21" t="str">
        <f>Etiquettes!$H$5</f>
        <v>2015-16</v>
      </c>
      <c r="H9" t="str">
        <f>Etiquettes!$C$4</f>
        <v>France entière</v>
      </c>
      <c r="I9" s="21" t="s">
        <v>1008</v>
      </c>
      <c r="J9" s="101" t="s">
        <v>862</v>
      </c>
      <c r="K9" t="s">
        <v>741</v>
      </c>
      <c r="L9" s="101" t="s">
        <v>1481</v>
      </c>
      <c r="M9" s="21" t="str">
        <f>Etiquettes!$H$11</f>
        <v>Volume</v>
      </c>
      <c r="N9" s="21" t="str">
        <f t="shared" si="0"/>
        <v>Consommation de graines en alimentation humaine = 10 kt (Bilans par campagne - FranceAgriMer)</v>
      </c>
      <c r="O9" t="str">
        <f>Etiquettes!$J$15</f>
        <v>Probable</v>
      </c>
      <c r="P9" s="976" t="s">
        <v>1468</v>
      </c>
      <c r="Q9" s="976" t="str">
        <f>Etiquettes!$H$17</f>
        <v>Donnée collectée (valeur du flux ou coefficient)</v>
      </c>
    </row>
    <row r="10" spans="1:19">
      <c r="A10" t="str">
        <f>Produits!$B$11</f>
        <v>Graines collectées</v>
      </c>
      <c r="B10" t="str">
        <f>Secteurs!$B$44</f>
        <v>Semences certifiées</v>
      </c>
      <c r="C10" s="100">
        <f>'BIlans Tournesol - FAM'!K31</f>
        <v>10</v>
      </c>
      <c r="E10" t="str">
        <f>Etiquettes!$C$3</f>
        <v>kt</v>
      </c>
      <c r="F10" s="21" t="str">
        <f>Etiquettes!$I$6</f>
        <v>Tournesol</v>
      </c>
      <c r="G10" s="21" t="str">
        <f>Etiquettes!$H$5</f>
        <v>2015-16</v>
      </c>
      <c r="H10" t="str">
        <f>Etiquettes!$C$4</f>
        <v>France entière</v>
      </c>
      <c r="I10" s="21" t="s">
        <v>744</v>
      </c>
      <c r="K10" t="s">
        <v>741</v>
      </c>
      <c r="L10" s="101" t="s">
        <v>1481</v>
      </c>
      <c r="M10" s="21" t="str">
        <f>Etiquettes!$H$11</f>
        <v>Volume</v>
      </c>
      <c r="N10" s="21" t="str">
        <f t="shared" si="0"/>
        <v>Production de semences certifiées = 10 kt (Bilans par campagne - FranceAgriMer)</v>
      </c>
      <c r="O10" t="str">
        <f>Etiquettes!$J$15</f>
        <v>Probable</v>
      </c>
      <c r="P10" s="976" t="s">
        <v>1468</v>
      </c>
      <c r="Q10" s="976" t="str">
        <f>Etiquettes!$H$17</f>
        <v>Donnée collectée (valeur du flux ou coefficient)</v>
      </c>
    </row>
    <row r="11" spans="1:19">
      <c r="A11" t="str">
        <f>Secteurs!$B$2</f>
        <v>Récolte</v>
      </c>
      <c r="B11" t="str">
        <f>Produits!$B$2</f>
        <v>Graines récoltées</v>
      </c>
      <c r="C11" s="100">
        <f>'BIlans Tournesol - FAM'!O7</f>
        <v>1298.1369</v>
      </c>
      <c r="E11" t="str">
        <f>Etiquettes!$C$3</f>
        <v>kt</v>
      </c>
      <c r="F11" s="21" t="str">
        <f>Etiquettes!$I$6</f>
        <v>Tournesol</v>
      </c>
      <c r="G11" s="21" t="str">
        <f>Etiquettes!$I$5</f>
        <v>2019-20</v>
      </c>
      <c r="H11" t="str">
        <f>Etiquettes!$C$4</f>
        <v>France entière</v>
      </c>
      <c r="I11" s="101" t="s">
        <v>722</v>
      </c>
      <c r="J11" s="101"/>
      <c r="K11" t="s">
        <v>741</v>
      </c>
      <c r="L11" s="101" t="s">
        <v>1481</v>
      </c>
      <c r="M11" s="21" t="str">
        <f>Etiquettes!$H$11</f>
        <v>Volume</v>
      </c>
      <c r="N11" s="21" t="str">
        <f t="shared" si="0"/>
        <v>Récolte = 1298 kt (Bilans par campagne - FranceAgriMer)</v>
      </c>
      <c r="O11" t="str">
        <f>Etiquettes!$H$15</f>
        <v>Fiable</v>
      </c>
      <c r="P11" s="976" t="s">
        <v>1468</v>
      </c>
      <c r="Q11" s="976" t="str">
        <f>Etiquettes!$H$17</f>
        <v>Donnée collectée (valeur du flux ou coefficient)</v>
      </c>
    </row>
    <row r="12" spans="1:19">
      <c r="A12" t="str">
        <f>Secteurs!$B$3</f>
        <v>Ferme</v>
      </c>
      <c r="B12" t="str">
        <f>Produits!$B$4</f>
        <v>Graines autoconsommées</v>
      </c>
      <c r="C12" s="858">
        <f>'BIlans Tournesol - FAM'!O9</f>
        <v>123.39630000000011</v>
      </c>
      <c r="E12" t="str">
        <f>Etiquettes!$C$3</f>
        <v>kt</v>
      </c>
      <c r="F12" s="21" t="str">
        <f>Etiquettes!$I$6</f>
        <v>Tournesol</v>
      </c>
      <c r="G12" s="21" t="str">
        <f>Etiquettes!$I$5</f>
        <v>2019-20</v>
      </c>
      <c r="H12" t="str">
        <f>Etiquettes!$C$4</f>
        <v>France entière</v>
      </c>
      <c r="I12" s="21" t="s">
        <v>742</v>
      </c>
      <c r="J12" s="101"/>
      <c r="K12" t="s">
        <v>741</v>
      </c>
      <c r="L12" s="101" t="s">
        <v>1481</v>
      </c>
      <c r="M12" s="21" t="str">
        <f>Etiquettes!$H$11</f>
        <v>Volume</v>
      </c>
      <c r="N12" s="21" t="str">
        <f t="shared" si="0"/>
        <v>Autoconsommation à la ferme = 123 kt (Bilans par campagne - FranceAgriMer)</v>
      </c>
      <c r="O12" t="str">
        <f>Etiquettes!$K$15</f>
        <v>Approximative</v>
      </c>
      <c r="P12" s="976" t="s">
        <v>1468</v>
      </c>
      <c r="Q12" s="976" t="str">
        <f>Etiquettes!$H$17</f>
        <v>Donnée collectée (valeur du flux ou coefficient)</v>
      </c>
    </row>
    <row r="13" spans="1:19">
      <c r="A13" t="str">
        <f>Produits!$B$2</f>
        <v>Graines récoltées</v>
      </c>
      <c r="B13" t="str">
        <f>Secteurs!$B$4</f>
        <v>OS</v>
      </c>
      <c r="C13" s="100">
        <f>'BIlans Tournesol - FAM'!O17</f>
        <v>1174.7405999999999</v>
      </c>
      <c r="E13" t="str">
        <f>Etiquettes!$C$3</f>
        <v>kt</v>
      </c>
      <c r="F13" s="21" t="str">
        <f>Etiquettes!$I$6</f>
        <v>Tournesol</v>
      </c>
      <c r="G13" s="21" t="str">
        <f>Etiquettes!$I$5</f>
        <v>2019-20</v>
      </c>
      <c r="H13" t="str">
        <f>Etiquettes!$C$4</f>
        <v>France entière</v>
      </c>
      <c r="I13" s="21" t="s">
        <v>743</v>
      </c>
      <c r="J13" s="101"/>
      <c r="K13" t="s">
        <v>741</v>
      </c>
      <c r="L13" s="101" t="s">
        <v>1481</v>
      </c>
      <c r="M13" s="21" t="str">
        <f>Etiquettes!$H$11</f>
        <v>Volume</v>
      </c>
      <c r="N13" s="21" t="str">
        <f t="shared" si="0"/>
        <v>Collecte = 1175 kt (Bilans par campagne - FranceAgriMer)</v>
      </c>
      <c r="O13" t="str">
        <f>Etiquettes!$I$15</f>
        <v>Robuste</v>
      </c>
      <c r="P13" s="976" t="s">
        <v>1468</v>
      </c>
      <c r="Q13" s="976" t="str">
        <f>Etiquettes!$H$17</f>
        <v>Donnée collectée (valeur du flux ou coefficient)</v>
      </c>
    </row>
    <row r="14" spans="1:19">
      <c r="A14" t="str">
        <f>Produits!$B$7</f>
        <v>Stock initial collecteurs</v>
      </c>
      <c r="B14" t="str">
        <f>Secteurs!$B$4</f>
        <v>OS</v>
      </c>
      <c r="C14" s="100">
        <f>'BIlans Tournesol - FAM'!N41</f>
        <v>80</v>
      </c>
      <c r="E14" t="str">
        <f>Etiquettes!$C$3</f>
        <v>kt</v>
      </c>
      <c r="F14" s="21" t="str">
        <f>Etiquettes!$I$6</f>
        <v>Tournesol</v>
      </c>
      <c r="G14" s="21" t="str">
        <f>Etiquettes!$I$5</f>
        <v>2019-20</v>
      </c>
      <c r="H14" t="str">
        <f>Etiquettes!$C$4</f>
        <v>France entière</v>
      </c>
      <c r="I14" s="21" t="s">
        <v>712</v>
      </c>
      <c r="J14" s="101"/>
      <c r="K14" t="s">
        <v>741</v>
      </c>
      <c r="L14" s="101" t="s">
        <v>1481</v>
      </c>
      <c r="M14" s="21" t="str">
        <f>Etiquettes!$H$11</f>
        <v>Volume</v>
      </c>
      <c r="N14" s="21" t="str">
        <f t="shared" si="0"/>
        <v>Stock initial collecteurs = 80 kt (Bilans par campagne - FranceAgriMer)</v>
      </c>
      <c r="O14" t="str">
        <f>Etiquettes!$I$15</f>
        <v>Robuste</v>
      </c>
      <c r="P14" s="976" t="s">
        <v>1468</v>
      </c>
      <c r="Q14" s="976" t="str">
        <f>Etiquettes!$H$17</f>
        <v>Donnée collectée (valeur du flux ou coefficient)</v>
      </c>
    </row>
    <row r="15" spans="1:19">
      <c r="A15" t="str">
        <f>Secteurs!$B$4</f>
        <v>OS</v>
      </c>
      <c r="B15" t="str">
        <f>Produits!$B$10</f>
        <v>Stock final collecteurs</v>
      </c>
      <c r="C15" s="100">
        <f>'BIlans Tournesol - FAM'!O41</f>
        <v>117.79939999999999</v>
      </c>
      <c r="E15" t="str">
        <f>Etiquettes!$C$3</f>
        <v>kt</v>
      </c>
      <c r="F15" s="21" t="str">
        <f>Etiquettes!$I$6</f>
        <v>Tournesol</v>
      </c>
      <c r="G15" s="21" t="str">
        <f>Etiquettes!$I$5</f>
        <v>2019-20</v>
      </c>
      <c r="H15" t="str">
        <f>Etiquettes!$C$4</f>
        <v>France entière</v>
      </c>
      <c r="I15" s="21" t="s">
        <v>715</v>
      </c>
      <c r="J15" s="101"/>
      <c r="K15" t="s">
        <v>741</v>
      </c>
      <c r="L15" s="101" t="s">
        <v>1481</v>
      </c>
      <c r="M15" s="21" t="str">
        <f>Etiquettes!$H$11</f>
        <v>Volume</v>
      </c>
      <c r="N15" s="21" t="str">
        <f t="shared" si="0"/>
        <v>Stock final collecteurs = 118 kt (Bilans par campagne - FranceAgriMer)</v>
      </c>
      <c r="O15" t="str">
        <f>Etiquettes!$I$15</f>
        <v>Robuste</v>
      </c>
      <c r="P15" s="976" t="s">
        <v>1468</v>
      </c>
      <c r="Q15" s="976" t="str">
        <f>Etiquettes!$H$17</f>
        <v>Donnée collectée (valeur du flux ou coefficient)</v>
      </c>
    </row>
    <row r="16" spans="1:19">
      <c r="A16" t="str">
        <f>Produits!$B$11</f>
        <v>Graines collectées</v>
      </c>
      <c r="B16" t="str">
        <f>Secteurs!$B$5</f>
        <v>Trituration</v>
      </c>
      <c r="C16" s="100">
        <f>'BIlans Tournesol - FAM'!O28</f>
        <v>913.76749499999983</v>
      </c>
      <c r="E16" t="str">
        <f>Etiquettes!$C$3</f>
        <v>kt</v>
      </c>
      <c r="F16" s="21" t="str">
        <f>Etiquettes!$I$6</f>
        <v>Tournesol</v>
      </c>
      <c r="G16" s="21" t="str">
        <f>Etiquettes!$I$5</f>
        <v>2019-20</v>
      </c>
      <c r="H16" t="str">
        <f>Etiquettes!$C$4</f>
        <v>France entière</v>
      </c>
      <c r="I16" s="21" t="s">
        <v>1009</v>
      </c>
      <c r="K16" t="s">
        <v>741</v>
      </c>
      <c r="L16" s="101" t="s">
        <v>1481</v>
      </c>
      <c r="M16" s="21" t="str">
        <f>Etiquettes!$H$11</f>
        <v>Volume</v>
      </c>
      <c r="N16" s="21" t="str">
        <f t="shared" si="0"/>
        <v>Consommation de graines par la Trituration = 914 kt (Bilans par campagne - FranceAgriMer)</v>
      </c>
      <c r="O16" t="str">
        <f>Etiquettes!$I$15</f>
        <v>Robuste</v>
      </c>
      <c r="P16" s="976" t="s">
        <v>1468</v>
      </c>
      <c r="Q16" s="976" t="str">
        <f>Etiquettes!$H$17</f>
        <v>Donnée collectée (valeur du flux ou coefficient)</v>
      </c>
    </row>
    <row r="17" spans="1:17">
      <c r="A17" t="str">
        <f>Produits!$B$11</f>
        <v>Graines collectées</v>
      </c>
      <c r="B17" t="str">
        <f>Secteurs!$B$24</f>
        <v>FAB</v>
      </c>
      <c r="C17" s="100">
        <f>'BIlans Tournesol - FAM'!O29</f>
        <v>12.168014999999999</v>
      </c>
      <c r="E17" t="str">
        <f>Etiquettes!$C$3</f>
        <v>kt</v>
      </c>
      <c r="F17" s="21" t="str">
        <f>Etiquettes!$I$6</f>
        <v>Tournesol</v>
      </c>
      <c r="G17" s="21" t="str">
        <f>Etiquettes!$I$5</f>
        <v>2019-20</v>
      </c>
      <c r="H17" t="str">
        <f>Etiquettes!$C$4</f>
        <v>France entière</v>
      </c>
      <c r="I17" s="21" t="s">
        <v>1011</v>
      </c>
      <c r="K17" t="s">
        <v>741</v>
      </c>
      <c r="L17" s="101" t="s">
        <v>1481</v>
      </c>
      <c r="M17" s="21" t="str">
        <f>Etiquettes!$H$11</f>
        <v>Volume</v>
      </c>
      <c r="N17" s="21" t="str">
        <f t="shared" si="0"/>
        <v>Consommation de graines par les FAB = 12 kt (Bilans par campagne - FranceAgriMer)</v>
      </c>
      <c r="O17" t="str">
        <f>Etiquettes!$J$15</f>
        <v>Probable</v>
      </c>
      <c r="P17" s="976" t="s">
        <v>1468</v>
      </c>
      <c r="Q17" s="976" t="str">
        <f>Etiquettes!$H$17</f>
        <v>Donnée collectée (valeur du flux ou coefficient)</v>
      </c>
    </row>
    <row r="18" spans="1:17">
      <c r="A18" t="str">
        <f>Produits!$B$11</f>
        <v>Graines collectées</v>
      </c>
      <c r="B18" t="str">
        <f>Secteurs!$B$14</f>
        <v>Alimentation humaine</v>
      </c>
      <c r="C18" s="100">
        <f>'BIlans Tournesol - FAM'!O30</f>
        <v>10</v>
      </c>
      <c r="E18" t="str">
        <f>Etiquettes!$C$3</f>
        <v>kt</v>
      </c>
      <c r="F18" s="21" t="str">
        <f>Etiquettes!$I$6</f>
        <v>Tournesol</v>
      </c>
      <c r="G18" s="21" t="str">
        <f>Etiquettes!$I$5</f>
        <v>2019-20</v>
      </c>
      <c r="H18" t="str">
        <f>Etiquettes!$C$4</f>
        <v>France entière</v>
      </c>
      <c r="I18" s="21" t="s">
        <v>1008</v>
      </c>
      <c r="J18" s="101" t="s">
        <v>862</v>
      </c>
      <c r="K18" t="s">
        <v>741</v>
      </c>
      <c r="L18" s="101" t="s">
        <v>1481</v>
      </c>
      <c r="M18" s="21" t="str">
        <f>Etiquettes!$H$11</f>
        <v>Volume</v>
      </c>
      <c r="N18" s="21" t="str">
        <f t="shared" si="0"/>
        <v>Consommation de graines en alimentation humaine = 10 kt (Bilans par campagne - FranceAgriMer)</v>
      </c>
      <c r="O18" t="str">
        <f>Etiquettes!$J$15</f>
        <v>Probable</v>
      </c>
      <c r="P18" s="976" t="s">
        <v>1468</v>
      </c>
      <c r="Q18" s="976" t="str">
        <f>Etiquettes!$H$17</f>
        <v>Donnée collectée (valeur du flux ou coefficient)</v>
      </c>
    </row>
    <row r="19" spans="1:17">
      <c r="A19" t="str">
        <f>Produits!$B$11</f>
        <v>Graines collectées</v>
      </c>
      <c r="B19" t="str">
        <f>Secteurs!$B$44</f>
        <v>Semences certifiées</v>
      </c>
      <c r="C19" s="100">
        <f>'BIlans Tournesol - FAM'!O31</f>
        <v>5.6775000000000002</v>
      </c>
      <c r="E19" t="str">
        <f>Etiquettes!$C$3</f>
        <v>kt</v>
      </c>
      <c r="F19" s="21" t="str">
        <f>Etiquettes!$I$6</f>
        <v>Tournesol</v>
      </c>
      <c r="G19" s="21" t="str">
        <f>Etiquettes!$I$5</f>
        <v>2019-20</v>
      </c>
      <c r="H19" t="str">
        <f>Etiquettes!$C$4</f>
        <v>France entière</v>
      </c>
      <c r="I19" s="21" t="s">
        <v>744</v>
      </c>
      <c r="K19" t="s">
        <v>741</v>
      </c>
      <c r="L19" s="101" t="s">
        <v>1481</v>
      </c>
      <c r="M19" s="21" t="str">
        <f>Etiquettes!$H$11</f>
        <v>Volume</v>
      </c>
      <c r="N19" s="21" t="str">
        <f t="shared" si="0"/>
        <v>Production de semences certifiées = 6 kt (Bilans par campagne - FranceAgriMer)</v>
      </c>
      <c r="O19" t="str">
        <f>Etiquettes!$J$15</f>
        <v>Probable</v>
      </c>
      <c r="P19" s="976" t="s">
        <v>1468</v>
      </c>
      <c r="Q19" s="976" t="str">
        <f>Etiquettes!$H$17</f>
        <v>Donnée collectée (valeur du flux ou coefficient)</v>
      </c>
    </row>
    <row r="20" spans="1:17">
      <c r="A20" t="str">
        <f>Secteurs!$B$2</f>
        <v>Récolte</v>
      </c>
      <c r="B20" t="str">
        <f>Produits!$B$2</f>
        <v>Graines récoltées</v>
      </c>
      <c r="C20" s="100">
        <f>'BIlans Tournesol - FAM'!S7</f>
        <v>2061.4286999999999</v>
      </c>
      <c r="E20" t="str">
        <f>Etiquettes!$C$3</f>
        <v>kt</v>
      </c>
      <c r="F20" s="21" t="str">
        <f>Etiquettes!$I$6</f>
        <v>Tournesol</v>
      </c>
      <c r="G20" s="21" t="str">
        <f>Etiquettes!$J$5</f>
        <v>2023-24</v>
      </c>
      <c r="H20" t="str">
        <f>Etiquettes!$C$4</f>
        <v>France entière</v>
      </c>
      <c r="I20" s="101" t="s">
        <v>722</v>
      </c>
      <c r="J20" s="101"/>
      <c r="K20" t="s">
        <v>741</v>
      </c>
      <c r="L20" s="101" t="s">
        <v>1481</v>
      </c>
      <c r="M20" s="21" t="str">
        <f>Etiquettes!$H$11</f>
        <v>Volume</v>
      </c>
      <c r="N20" s="21" t="str">
        <f t="shared" si="0"/>
        <v>Récolte = 2061 kt (Bilans par campagne - FranceAgriMer)</v>
      </c>
      <c r="O20" t="str">
        <f>Etiquettes!$H$15</f>
        <v>Fiable</v>
      </c>
      <c r="P20" s="976" t="s">
        <v>1468</v>
      </c>
      <c r="Q20" s="976" t="str">
        <f>Etiquettes!$H$17</f>
        <v>Donnée collectée (valeur du flux ou coefficient)</v>
      </c>
    </row>
    <row r="21" spans="1:17">
      <c r="A21" t="str">
        <f>Secteurs!$B$3</f>
        <v>Ferme</v>
      </c>
      <c r="B21" t="str">
        <f>Produits!$B$4</f>
        <v>Graines autoconsommées</v>
      </c>
      <c r="C21" s="858">
        <f>'BIlans Tournesol - FAM'!S9</f>
        <v>169.20360000000005</v>
      </c>
      <c r="E21" t="str">
        <f>Etiquettes!$C$3</f>
        <v>kt</v>
      </c>
      <c r="F21" s="21" t="str">
        <f>Etiquettes!$I$6</f>
        <v>Tournesol</v>
      </c>
      <c r="G21" s="21" t="str">
        <f>Etiquettes!$J$5</f>
        <v>2023-24</v>
      </c>
      <c r="H21" t="str">
        <f>Etiquettes!$C$4</f>
        <v>France entière</v>
      </c>
      <c r="I21" s="21" t="s">
        <v>742</v>
      </c>
      <c r="J21" s="101"/>
      <c r="K21" t="s">
        <v>741</v>
      </c>
      <c r="L21" s="101" t="s">
        <v>1481</v>
      </c>
      <c r="M21" s="21" t="str">
        <f>Etiquettes!$H$11</f>
        <v>Volume</v>
      </c>
      <c r="N21" s="21" t="str">
        <f t="shared" si="0"/>
        <v>Autoconsommation à la ferme = 169 kt (Bilans par campagne - FranceAgriMer)</v>
      </c>
      <c r="O21" t="str">
        <f>Etiquettes!$K$15</f>
        <v>Approximative</v>
      </c>
      <c r="P21" s="976" t="s">
        <v>1468</v>
      </c>
      <c r="Q21" s="976" t="str">
        <f>Etiquettes!$H$17</f>
        <v>Donnée collectée (valeur du flux ou coefficient)</v>
      </c>
    </row>
    <row r="22" spans="1:17">
      <c r="A22" t="str">
        <f>Produits!$B$2</f>
        <v>Graines récoltées</v>
      </c>
      <c r="B22" t="str">
        <f>Secteurs!$B$4</f>
        <v>OS</v>
      </c>
      <c r="C22" s="100">
        <f>'BIlans Tournesol - FAM'!S17</f>
        <v>1892.2250999999999</v>
      </c>
      <c r="E22" t="str">
        <f>Etiquettes!$C$3</f>
        <v>kt</v>
      </c>
      <c r="F22" s="21" t="str">
        <f>Etiquettes!$I$6</f>
        <v>Tournesol</v>
      </c>
      <c r="G22" s="21" t="str">
        <f>Etiquettes!$J$5</f>
        <v>2023-24</v>
      </c>
      <c r="H22" t="str">
        <f>Etiquettes!$C$4</f>
        <v>France entière</v>
      </c>
      <c r="I22" s="21" t="s">
        <v>743</v>
      </c>
      <c r="J22" s="101"/>
      <c r="K22" t="s">
        <v>741</v>
      </c>
      <c r="L22" s="101" t="s">
        <v>1481</v>
      </c>
      <c r="M22" s="21" t="str">
        <f>Etiquettes!$H$11</f>
        <v>Volume</v>
      </c>
      <c r="N22" s="21" t="str">
        <f t="shared" si="0"/>
        <v>Collecte = 1892 kt (Bilans par campagne - FranceAgriMer)</v>
      </c>
      <c r="O22" t="str">
        <f>Etiquettes!$I$15</f>
        <v>Robuste</v>
      </c>
      <c r="P22" s="976" t="s">
        <v>1468</v>
      </c>
      <c r="Q22" s="976" t="str">
        <f>Etiquettes!$H$17</f>
        <v>Donnée collectée (valeur du flux ou coefficient)</v>
      </c>
    </row>
    <row r="23" spans="1:17">
      <c r="A23" t="str">
        <f>Produits!$B$7</f>
        <v>Stock initial collecteurs</v>
      </c>
      <c r="B23" t="str">
        <f>Secteurs!$B$4</f>
        <v>OS</v>
      </c>
      <c r="C23" s="100">
        <f>'BIlans Tournesol - FAM'!R41</f>
        <v>243.2783</v>
      </c>
      <c r="E23" t="str">
        <f>Etiquettes!$C$3</f>
        <v>kt</v>
      </c>
      <c r="F23" s="21" t="str">
        <f>Etiquettes!$I$6</f>
        <v>Tournesol</v>
      </c>
      <c r="G23" s="21" t="str">
        <f>Etiquettes!$J$5</f>
        <v>2023-24</v>
      </c>
      <c r="H23" t="str">
        <f>Etiquettes!$C$4</f>
        <v>France entière</v>
      </c>
      <c r="I23" s="21" t="s">
        <v>712</v>
      </c>
      <c r="J23" s="101"/>
      <c r="K23" t="s">
        <v>741</v>
      </c>
      <c r="L23" s="101" t="s">
        <v>1481</v>
      </c>
      <c r="M23" s="21" t="str">
        <f>Etiquettes!$H$11</f>
        <v>Volume</v>
      </c>
      <c r="N23" s="21" t="str">
        <f t="shared" si="0"/>
        <v>Stock initial collecteurs = 243 kt (Bilans par campagne - FranceAgriMer)</v>
      </c>
      <c r="O23" t="str">
        <f>Etiquettes!$I$15</f>
        <v>Robuste</v>
      </c>
      <c r="P23" s="976" t="s">
        <v>1468</v>
      </c>
      <c r="Q23" s="976" t="str">
        <f>Etiquettes!$H$17</f>
        <v>Donnée collectée (valeur du flux ou coefficient)</v>
      </c>
    </row>
    <row r="24" spans="1:17">
      <c r="A24" t="str">
        <f>Secteurs!$B$4</f>
        <v>OS</v>
      </c>
      <c r="B24" t="str">
        <f>Produits!$B$10</f>
        <v>Stock final collecteurs</v>
      </c>
      <c r="C24" s="100">
        <f>'BIlans Tournesol - FAM'!S41</f>
        <v>214.34629999999999</v>
      </c>
      <c r="E24" t="str">
        <f>Etiquettes!$C$3</f>
        <v>kt</v>
      </c>
      <c r="F24" s="21" t="str">
        <f>Etiquettes!$I$6</f>
        <v>Tournesol</v>
      </c>
      <c r="G24" s="21" t="str">
        <f>Etiquettes!$J$5</f>
        <v>2023-24</v>
      </c>
      <c r="H24" t="str">
        <f>Etiquettes!$C$4</f>
        <v>France entière</v>
      </c>
      <c r="I24" s="21" t="s">
        <v>715</v>
      </c>
      <c r="J24" s="101"/>
      <c r="K24" t="s">
        <v>741</v>
      </c>
      <c r="L24" s="101" t="s">
        <v>1481</v>
      </c>
      <c r="M24" s="21" t="str">
        <f>Etiquettes!$H$11</f>
        <v>Volume</v>
      </c>
      <c r="N24" s="21" t="str">
        <f t="shared" si="0"/>
        <v>Stock final collecteurs = 214 kt (Bilans par campagne - FranceAgriMer)</v>
      </c>
      <c r="O24" t="str">
        <f>Etiquettes!$I$15</f>
        <v>Robuste</v>
      </c>
      <c r="P24" s="976" t="s">
        <v>1468</v>
      </c>
      <c r="Q24" s="976" t="str">
        <f>Etiquettes!$H$17</f>
        <v>Donnée collectée (valeur du flux ou coefficient)</v>
      </c>
    </row>
    <row r="25" spans="1:17">
      <c r="A25" t="str">
        <f>Produits!$B$11</f>
        <v>Graines collectées</v>
      </c>
      <c r="B25" t="str">
        <f>Secteurs!$B$5</f>
        <v>Trituration</v>
      </c>
      <c r="C25" s="100">
        <f>'BIlans Tournesol - FAM'!S28</f>
        <v>1491.3872179999998</v>
      </c>
      <c r="E25" t="str">
        <f>Etiquettes!$C$3</f>
        <v>kt</v>
      </c>
      <c r="F25" s="21" t="str">
        <f>Etiquettes!$I$6</f>
        <v>Tournesol</v>
      </c>
      <c r="G25" s="21" t="str">
        <f>Etiquettes!$J$5</f>
        <v>2023-24</v>
      </c>
      <c r="H25" t="str">
        <f>Etiquettes!$C$4</f>
        <v>France entière</v>
      </c>
      <c r="I25" s="21" t="s">
        <v>1009</v>
      </c>
      <c r="K25" t="s">
        <v>741</v>
      </c>
      <c r="L25" s="101" t="s">
        <v>1481</v>
      </c>
      <c r="M25" s="21" t="str">
        <f>Etiquettes!$H$11</f>
        <v>Volume</v>
      </c>
      <c r="N25" s="21" t="str">
        <f t="shared" si="0"/>
        <v>Consommation de graines par la Trituration = 1491 kt (Bilans par campagne - FranceAgriMer)</v>
      </c>
      <c r="O25" t="str">
        <f>Etiquettes!$I$15</f>
        <v>Robuste</v>
      </c>
      <c r="P25" s="976" t="s">
        <v>1468</v>
      </c>
      <c r="Q25" s="976" t="str">
        <f>Etiquettes!$H$17</f>
        <v>Donnée collectée (valeur du flux ou coefficient)</v>
      </c>
    </row>
    <row r="26" spans="1:17">
      <c r="A26" t="str">
        <f>Produits!$B$11</f>
        <v>Graines collectées</v>
      </c>
      <c r="B26" t="str">
        <f>Secteurs!$B$24</f>
        <v>FAB</v>
      </c>
      <c r="C26" s="100">
        <f>'BIlans Tournesol - FAM'!S29</f>
        <v>9.7654400000000017</v>
      </c>
      <c r="E26" t="str">
        <f>Etiquettes!$C$3</f>
        <v>kt</v>
      </c>
      <c r="F26" s="21" t="str">
        <f>Etiquettes!$I$6</f>
        <v>Tournesol</v>
      </c>
      <c r="G26" s="21" t="str">
        <f>Etiquettes!$J$5</f>
        <v>2023-24</v>
      </c>
      <c r="H26" t="str">
        <f>Etiquettes!$C$4</f>
        <v>France entière</v>
      </c>
      <c r="I26" s="21" t="s">
        <v>1011</v>
      </c>
      <c r="K26" t="s">
        <v>741</v>
      </c>
      <c r="L26" s="101" t="s">
        <v>1481</v>
      </c>
      <c r="M26" s="21" t="str">
        <f>Etiquettes!$H$11</f>
        <v>Volume</v>
      </c>
      <c r="N26" s="21" t="str">
        <f t="shared" si="0"/>
        <v>Consommation de graines par les FAB = 10 kt (Bilans par campagne - FranceAgriMer)</v>
      </c>
      <c r="O26" t="str">
        <f>Etiquettes!$J$15</f>
        <v>Probable</v>
      </c>
      <c r="P26" s="976" t="s">
        <v>1468</v>
      </c>
      <c r="Q26" s="976" t="str">
        <f>Etiquettes!$H$17</f>
        <v>Donnée collectée (valeur du flux ou coefficient)</v>
      </c>
    </row>
    <row r="27" spans="1:17">
      <c r="A27" t="str">
        <f>Produits!$B$11</f>
        <v>Graines collectées</v>
      </c>
      <c r="B27" t="str">
        <f>Secteurs!$B$14</f>
        <v>Alimentation humaine</v>
      </c>
      <c r="C27" s="100">
        <f>'BIlans Tournesol - FAM'!S30</f>
        <v>10</v>
      </c>
      <c r="E27" t="str">
        <f>Etiquettes!$C$3</f>
        <v>kt</v>
      </c>
      <c r="F27" s="21" t="str">
        <f>Etiquettes!$I$6</f>
        <v>Tournesol</v>
      </c>
      <c r="G27" s="21" t="str">
        <f>Etiquettes!$J$5</f>
        <v>2023-24</v>
      </c>
      <c r="H27" t="str">
        <f>Etiquettes!$C$4</f>
        <v>France entière</v>
      </c>
      <c r="I27" s="21" t="s">
        <v>1008</v>
      </c>
      <c r="J27" s="101" t="s">
        <v>862</v>
      </c>
      <c r="K27" t="s">
        <v>741</v>
      </c>
      <c r="L27" s="101" t="s">
        <v>1481</v>
      </c>
      <c r="M27" s="21" t="str">
        <f>Etiquettes!$H$11</f>
        <v>Volume</v>
      </c>
      <c r="N27" s="21" t="str">
        <f t="shared" si="0"/>
        <v>Consommation de graines en alimentation humaine = 10 kt (Bilans par campagne - FranceAgriMer)</v>
      </c>
      <c r="O27" t="str">
        <f>Etiquettes!$J$15</f>
        <v>Probable</v>
      </c>
      <c r="P27" s="976" t="s">
        <v>1468</v>
      </c>
      <c r="Q27" s="976" t="str">
        <f>Etiquettes!$H$17</f>
        <v>Donnée collectée (valeur du flux ou coefficient)</v>
      </c>
    </row>
    <row r="28" spans="1:17">
      <c r="A28" t="str">
        <f>Produits!$B$11</f>
        <v>Graines collectées</v>
      </c>
      <c r="B28" t="str">
        <f>Secteurs!$B$44</f>
        <v>Semences certifiées</v>
      </c>
      <c r="C28" s="100">
        <f>'BIlans Tournesol - FAM'!S31</f>
        <v>8</v>
      </c>
      <c r="E28" t="str">
        <f>Etiquettes!$C$3</f>
        <v>kt</v>
      </c>
      <c r="F28" s="21" t="str">
        <f>Etiquettes!$I$6</f>
        <v>Tournesol</v>
      </c>
      <c r="G28" s="21" t="str">
        <f>Etiquettes!$J$5</f>
        <v>2023-24</v>
      </c>
      <c r="H28" t="str">
        <f>Etiquettes!$C$4</f>
        <v>France entière</v>
      </c>
      <c r="I28" s="21" t="s">
        <v>744</v>
      </c>
      <c r="K28" t="s">
        <v>741</v>
      </c>
      <c r="L28" s="101" t="s">
        <v>1481</v>
      </c>
      <c r="M28" s="21" t="str">
        <f>Etiquettes!$H$11</f>
        <v>Volume</v>
      </c>
      <c r="N28" s="21" t="str">
        <f t="shared" si="0"/>
        <v>Production de semences certifiées = 8 kt (Bilans par campagne - FranceAgriMer)</v>
      </c>
      <c r="O28" t="str">
        <f>Etiquettes!$J$15</f>
        <v>Probable</v>
      </c>
      <c r="P28" s="976" t="s">
        <v>1468</v>
      </c>
      <c r="Q28" s="976" t="str">
        <f>Etiquettes!$H$17</f>
        <v>Donnée collectée (valeur du flux ou coefficient)</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C448B-906A-44ED-8097-1B8B74E19427}">
  <sheetPr>
    <tabColor rgb="FFFFC000"/>
    <pageSetUpPr fitToPage="1"/>
  </sheetPr>
  <dimension ref="A1:U49"/>
  <sheetViews>
    <sheetView zoomScale="85" zoomScaleNormal="85" workbookViewId="0">
      <selection activeCell="N3" sqref="N3"/>
    </sheetView>
  </sheetViews>
  <sheetFormatPr baseColWidth="10" defaultRowHeight="14.4"/>
  <cols>
    <col min="1" max="1" width="38.44140625" style="104" customWidth="1"/>
    <col min="2" max="3" width="12.44140625" style="104" bestFit="1" customWidth="1"/>
    <col min="4" max="5" width="13.33203125" style="104" bestFit="1" customWidth="1"/>
    <col min="6" max="7" width="11.109375" style="104" customWidth="1"/>
    <col min="8" max="8" width="12.44140625" style="104" bestFit="1" customWidth="1" collapsed="1"/>
    <col min="9" max="11" width="12.88671875" style="104" customWidth="1" collapsed="1"/>
    <col min="12" max="12" width="12.88671875" style="104" customWidth="1"/>
    <col min="13" max="14" width="14.44140625" style="104" customWidth="1"/>
    <col min="15" max="16384" width="11.5546875" style="104"/>
  </cols>
  <sheetData>
    <row r="1" spans="1:21" ht="60" customHeight="1" thickBot="1">
      <c r="B1" s="1029" t="s">
        <v>800</v>
      </c>
      <c r="C1" s="1030"/>
      <c r="D1" s="1030"/>
      <c r="E1" s="1030"/>
      <c r="F1" s="1030"/>
      <c r="G1" s="1030"/>
      <c r="H1" s="1030"/>
      <c r="I1" s="1030"/>
      <c r="J1" s="1030"/>
      <c r="K1" s="1030"/>
      <c r="L1" s="1030"/>
      <c r="M1" s="1030"/>
      <c r="N1" s="103"/>
      <c r="O1" s="1031" t="s">
        <v>800</v>
      </c>
      <c r="P1" s="1031"/>
      <c r="Q1" s="1031"/>
      <c r="R1" s="1031"/>
      <c r="S1" s="1031"/>
      <c r="T1" s="1031"/>
      <c r="U1" s="1031"/>
    </row>
    <row r="2" spans="1:21" ht="20.25" customHeight="1">
      <c r="A2" s="227" t="s">
        <v>756</v>
      </c>
      <c r="B2" s="106" t="s">
        <v>114</v>
      </c>
      <c r="C2" s="107" t="s">
        <v>115</v>
      </c>
      <c r="D2" s="107" t="s">
        <v>757</v>
      </c>
      <c r="E2" s="107" t="s">
        <v>801</v>
      </c>
      <c r="F2" s="107" t="s">
        <v>802</v>
      </c>
      <c r="G2" s="107" t="s">
        <v>760</v>
      </c>
      <c r="H2" s="107" t="s">
        <v>803</v>
      </c>
      <c r="I2" s="107" t="s">
        <v>804</v>
      </c>
      <c r="J2" s="107" t="s">
        <v>121</v>
      </c>
      <c r="K2" s="107" t="s">
        <v>805</v>
      </c>
      <c r="L2" s="107" t="s">
        <v>123</v>
      </c>
      <c r="M2" s="228" t="s">
        <v>124</v>
      </c>
      <c r="N2" s="107" t="s">
        <v>125</v>
      </c>
      <c r="O2" s="473" t="s">
        <v>126</v>
      </c>
      <c r="P2" s="474" t="s">
        <v>128</v>
      </c>
      <c r="Q2" s="575" t="s">
        <v>129</v>
      </c>
      <c r="R2" s="474" t="s">
        <v>130</v>
      </c>
      <c r="S2" s="475" t="s">
        <v>131</v>
      </c>
      <c r="T2" s="476" t="s">
        <v>131</v>
      </c>
      <c r="U2" s="475" t="s">
        <v>132</v>
      </c>
    </row>
    <row r="3" spans="1:21" ht="25.8" thickBot="1">
      <c r="A3" s="229"/>
      <c r="B3" s="230"/>
      <c r="C3" s="231"/>
      <c r="D3" s="231"/>
      <c r="E3" s="231"/>
      <c r="F3" s="231"/>
      <c r="G3" s="232"/>
      <c r="H3" s="233"/>
      <c r="I3" s="232"/>
      <c r="J3" s="232"/>
      <c r="K3" s="234"/>
      <c r="L3" s="234"/>
      <c r="M3" s="113" t="s">
        <v>806</v>
      </c>
      <c r="N3" s="234" t="s">
        <v>807</v>
      </c>
      <c r="O3" s="477"/>
      <c r="P3" s="477"/>
      <c r="Q3" s="576"/>
      <c r="R3" s="477"/>
      <c r="S3" s="478" t="s">
        <v>854</v>
      </c>
      <c r="T3" s="479" t="s">
        <v>855</v>
      </c>
      <c r="U3" s="478" t="s">
        <v>856</v>
      </c>
    </row>
    <row r="4" spans="1:21" ht="16.5" customHeight="1">
      <c r="A4" s="235"/>
      <c r="B4" s="236"/>
      <c r="C4" s="237"/>
      <c r="D4" s="237"/>
      <c r="E4" s="237"/>
      <c r="F4" s="237"/>
      <c r="G4" s="238"/>
      <c r="H4" s="239"/>
      <c r="I4" s="238"/>
      <c r="J4" s="238"/>
      <c r="K4" s="238"/>
      <c r="L4" s="238"/>
      <c r="M4" s="238"/>
      <c r="N4" s="238"/>
      <c r="O4" s="577"/>
      <c r="P4" s="578"/>
      <c r="Q4" s="578"/>
      <c r="R4" s="481"/>
      <c r="S4" s="482"/>
      <c r="T4" s="482"/>
      <c r="U4" s="579"/>
    </row>
    <row r="5" spans="1:21">
      <c r="A5" s="240" t="s">
        <v>765</v>
      </c>
      <c r="B5" s="119">
        <v>643.52800000000002</v>
      </c>
      <c r="C5" s="241">
        <v>518.79</v>
      </c>
      <c r="D5" s="241">
        <v>628.447</v>
      </c>
      <c r="E5" s="241">
        <v>723.24400000000003</v>
      </c>
      <c r="F5" s="241">
        <v>692.26499999999999</v>
      </c>
      <c r="G5" s="120">
        <v>740.72199999999998</v>
      </c>
      <c r="H5" s="120">
        <v>679.97400000000005</v>
      </c>
      <c r="I5" s="120">
        <v>770.85199999999998</v>
      </c>
      <c r="J5" s="241">
        <v>657.28800000000001</v>
      </c>
      <c r="K5" s="241">
        <v>619</v>
      </c>
      <c r="L5" s="167">
        <v>536.96199999999999</v>
      </c>
      <c r="M5" s="242">
        <v>586</v>
      </c>
      <c r="N5" s="242">
        <v>552.6</v>
      </c>
      <c r="O5" s="580">
        <v>603.91700000000003</v>
      </c>
      <c r="P5" s="580">
        <v>777.34400000000005</v>
      </c>
      <c r="Q5" s="581">
        <v>698.35899999999992</v>
      </c>
      <c r="R5" s="484">
        <v>870.56299999999999</v>
      </c>
      <c r="S5" s="485">
        <v>821.73700000000008</v>
      </c>
      <c r="T5" s="485">
        <v>757.13600000000008</v>
      </c>
      <c r="U5" s="582">
        <v>749.96500000000015</v>
      </c>
    </row>
    <row r="6" spans="1:21">
      <c r="A6" s="240" t="s">
        <v>766</v>
      </c>
      <c r="B6" s="123">
        <v>22.327839658880421</v>
      </c>
      <c r="C6" s="243">
        <v>25.24088744964244</v>
      </c>
      <c r="D6" s="243">
        <v>25.376348363505592</v>
      </c>
      <c r="E6" s="243">
        <v>23.730566724369645</v>
      </c>
      <c r="F6" s="243">
        <v>23.626674756054406</v>
      </c>
      <c r="G6" s="124">
        <v>25.390159871044737</v>
      </c>
      <c r="H6" s="124">
        <v>23.132531537970568</v>
      </c>
      <c r="I6" s="124">
        <v>20.466873018426366</v>
      </c>
      <c r="J6" s="243">
        <v>24.101915750782005</v>
      </c>
      <c r="K6" s="243">
        <v>19.174684975767367</v>
      </c>
      <c r="L6" s="244">
        <v>21.834152137395201</v>
      </c>
      <c r="M6" s="245">
        <v>27.286689419795223</v>
      </c>
      <c r="N6" s="245">
        <v>22.582989504162143</v>
      </c>
      <c r="O6" s="583">
        <v>21.495286603953851</v>
      </c>
      <c r="P6" s="583">
        <v>20.688246130413305</v>
      </c>
      <c r="Q6" s="584">
        <v>27.391148392159337</v>
      </c>
      <c r="R6" s="488">
        <v>20.65762156213853</v>
      </c>
      <c r="S6" s="489">
        <v>25.08623440346485</v>
      </c>
      <c r="T6" s="489">
        <v>22.33854155660277</v>
      </c>
      <c r="U6" s="585">
        <v>19.691380264412338</v>
      </c>
    </row>
    <row r="7" spans="1:21">
      <c r="A7" s="240" t="s">
        <v>767</v>
      </c>
      <c r="B7" s="119">
        <v>1436.8589999999999</v>
      </c>
      <c r="C7" s="241">
        <v>1309.472</v>
      </c>
      <c r="D7" s="241">
        <v>1594.769</v>
      </c>
      <c r="E7" s="241">
        <v>1716.299</v>
      </c>
      <c r="F7" s="241">
        <v>1635.5920000000001</v>
      </c>
      <c r="G7" s="120">
        <v>1880.7049999999999</v>
      </c>
      <c r="H7" s="120">
        <v>1572.952</v>
      </c>
      <c r="I7" s="120">
        <v>1577.693</v>
      </c>
      <c r="J7" s="241">
        <v>1584.19</v>
      </c>
      <c r="K7" s="828">
        <v>1186.913</v>
      </c>
      <c r="L7" s="167">
        <v>1172.4110000000001</v>
      </c>
      <c r="M7" s="242">
        <v>1599</v>
      </c>
      <c r="N7" s="242">
        <v>1247.9359999999999</v>
      </c>
      <c r="O7" s="830">
        <v>1298.1369</v>
      </c>
      <c r="P7" s="580">
        <v>1608.1884</v>
      </c>
      <c r="Q7" s="581">
        <v>1912.8855000000001</v>
      </c>
      <c r="R7" s="484">
        <v>1798.3761000000002</v>
      </c>
      <c r="S7" s="816">
        <v>2061.4286999999999</v>
      </c>
      <c r="T7" s="485">
        <v>1691.3313999999998</v>
      </c>
      <c r="U7" s="582">
        <v>1476.7846000000002</v>
      </c>
    </row>
    <row r="8" spans="1:21" ht="15" customHeight="1">
      <c r="A8" s="240"/>
      <c r="B8" s="246"/>
      <c r="C8" s="241"/>
      <c r="D8" s="241"/>
      <c r="E8" s="241"/>
      <c r="F8" s="241"/>
      <c r="G8" s="241"/>
      <c r="H8" s="241"/>
      <c r="I8" s="241"/>
      <c r="J8" s="241"/>
      <c r="K8" s="241"/>
      <c r="L8" s="241"/>
      <c r="M8" s="247"/>
      <c r="N8" s="247"/>
      <c r="O8" s="586"/>
      <c r="P8" s="586"/>
      <c r="Q8" s="587"/>
      <c r="R8" s="492"/>
      <c r="S8" s="485"/>
      <c r="T8" s="485"/>
      <c r="U8" s="485"/>
    </row>
    <row r="9" spans="1:21" ht="15" customHeight="1">
      <c r="A9" s="128" t="s">
        <v>768</v>
      </c>
      <c r="B9" s="129">
        <v>1435.9082797135975</v>
      </c>
      <c r="C9" s="130">
        <v>93</v>
      </c>
      <c r="D9" s="130">
        <v>172</v>
      </c>
      <c r="E9" s="130">
        <v>64.080999999999904</v>
      </c>
      <c r="F9" s="130">
        <v>109.96399999999994</v>
      </c>
      <c r="G9" s="130">
        <v>181.68</v>
      </c>
      <c r="H9" s="130">
        <v>102</v>
      </c>
      <c r="I9" s="130">
        <v>131</v>
      </c>
      <c r="J9" s="130">
        <v>113</v>
      </c>
      <c r="K9" s="813">
        <v>63.324000000000069</v>
      </c>
      <c r="L9" s="130">
        <v>106.41100000000006</v>
      </c>
      <c r="M9" s="130">
        <v>104.5</v>
      </c>
      <c r="N9" s="130">
        <v>71.336000000000013</v>
      </c>
      <c r="O9" s="815">
        <v>123.39630000000011</v>
      </c>
      <c r="P9" s="493">
        <v>146.1884</v>
      </c>
      <c r="Q9" s="494">
        <v>166.95409999999993</v>
      </c>
      <c r="R9" s="494">
        <v>190.08029999999985</v>
      </c>
      <c r="S9" s="817">
        <v>169.20360000000005</v>
      </c>
      <c r="T9" s="495">
        <v>54.323399999999765</v>
      </c>
      <c r="U9" s="495">
        <v>71.734600000000228</v>
      </c>
    </row>
    <row r="10" spans="1:21">
      <c r="A10" s="131" t="s">
        <v>769</v>
      </c>
      <c r="B10" s="132">
        <v>0.99933833432062402</v>
      </c>
      <c r="C10" s="133">
        <v>93</v>
      </c>
      <c r="D10" s="133">
        <v>172</v>
      </c>
      <c r="E10" s="133">
        <v>64</v>
      </c>
      <c r="F10" s="133">
        <v>6.7231925810348758E-2</v>
      </c>
      <c r="G10" s="133">
        <v>9.6602072095304692E-2</v>
      </c>
      <c r="H10" s="133">
        <v>6.4846225441081484E-2</v>
      </c>
      <c r="I10" s="133">
        <v>8.3032630556134815E-2</v>
      </c>
      <c r="J10" s="133">
        <v>7.1329827861557005E-2</v>
      </c>
      <c r="K10" s="133">
        <v>5.3351846344256125E-2</v>
      </c>
      <c r="L10" s="133">
        <v>9.0762539757815355E-2</v>
      </c>
      <c r="M10" s="133">
        <v>6.5353345841150726E-2</v>
      </c>
      <c r="N10" s="133">
        <v>5.7163187855787487E-2</v>
      </c>
      <c r="O10" s="496">
        <v>9.5056461302348086E-2</v>
      </c>
      <c r="P10" s="496">
        <v>9.0902533558879048E-2</v>
      </c>
      <c r="Q10" s="518">
        <v>8.7278668796433409E-2</v>
      </c>
      <c r="R10" s="518">
        <v>0.10569552164310893</v>
      </c>
      <c r="S10" s="497">
        <v>8.2080743321367389E-2</v>
      </c>
      <c r="T10" s="497">
        <v>3.2118720198773446E-2</v>
      </c>
      <c r="U10" s="497">
        <v>4.857485648211677E-2</v>
      </c>
    </row>
    <row r="11" spans="1:21">
      <c r="A11" s="134" t="s">
        <v>770</v>
      </c>
      <c r="B11" s="135"/>
      <c r="C11" s="136"/>
      <c r="D11" s="137"/>
      <c r="E11" s="137"/>
      <c r="F11" s="138"/>
      <c r="G11" s="138"/>
      <c r="H11" s="139"/>
      <c r="I11" s="139"/>
      <c r="J11" s="140"/>
      <c r="K11" s="140"/>
      <c r="L11" s="140"/>
      <c r="M11" s="248"/>
      <c r="N11" s="249">
        <v>1083</v>
      </c>
      <c r="O11" s="498"/>
      <c r="P11" s="498"/>
      <c r="Q11" s="499"/>
      <c r="R11" s="499"/>
      <c r="S11" s="500"/>
      <c r="T11" s="500"/>
      <c r="U11" s="500">
        <v>1210.1268</v>
      </c>
    </row>
    <row r="12" spans="1:21">
      <c r="A12" s="143" t="s">
        <v>808</v>
      </c>
      <c r="B12" s="135"/>
      <c r="C12" s="136"/>
      <c r="D12" s="137"/>
      <c r="E12" s="137"/>
      <c r="F12" s="138"/>
      <c r="G12" s="138"/>
      <c r="H12" s="139"/>
      <c r="I12" s="139"/>
      <c r="J12" s="144"/>
      <c r="K12" s="144"/>
      <c r="L12" s="144"/>
      <c r="M12" s="144">
        <v>0</v>
      </c>
      <c r="N12" s="144">
        <v>0.86783296579311764</v>
      </c>
      <c r="O12" s="501"/>
      <c r="P12" s="501"/>
      <c r="Q12" s="502"/>
      <c r="R12" s="502"/>
      <c r="S12" s="503"/>
      <c r="T12" s="503"/>
      <c r="U12" s="503">
        <v>0.81943351792807151</v>
      </c>
    </row>
    <row r="13" spans="1:21">
      <c r="A13" s="250" t="s">
        <v>772</v>
      </c>
      <c r="B13" s="251"/>
      <c r="C13" s="252"/>
      <c r="D13" s="253"/>
      <c r="E13" s="253"/>
      <c r="F13" s="253"/>
      <c r="G13" s="254"/>
      <c r="H13" s="253"/>
      <c r="I13" s="255"/>
      <c r="J13" s="256">
        <v>0</v>
      </c>
      <c r="K13" s="151"/>
      <c r="L13" s="151"/>
      <c r="M13" s="257">
        <v>0</v>
      </c>
      <c r="N13" s="257">
        <v>0.92044875063742992</v>
      </c>
      <c r="O13" s="504"/>
      <c r="P13" s="504"/>
      <c r="Q13" s="505"/>
      <c r="R13" s="505"/>
      <c r="S13" s="506"/>
      <c r="T13" s="506"/>
      <c r="U13" s="506">
        <v>0.86126956336073457</v>
      </c>
    </row>
    <row r="14" spans="1:21" ht="35.1" customHeight="1">
      <c r="A14" s="250"/>
      <c r="B14" s="251"/>
      <c r="C14" s="252"/>
      <c r="D14" s="253"/>
      <c r="E14" s="253"/>
      <c r="F14" s="253"/>
      <c r="G14" s="254"/>
      <c r="H14" s="253"/>
      <c r="I14" s="255"/>
      <c r="J14" s="255"/>
      <c r="K14" s="255"/>
      <c r="L14" s="255"/>
      <c r="M14" s="255"/>
      <c r="N14" s="255"/>
      <c r="O14" s="588"/>
      <c r="P14" s="588"/>
      <c r="Q14" s="589"/>
      <c r="R14" s="508"/>
      <c r="S14" s="509"/>
      <c r="T14" s="509"/>
      <c r="U14" s="590"/>
    </row>
    <row r="15" spans="1:21" ht="17.399999999999999">
      <c r="A15" s="156" t="s">
        <v>773</v>
      </c>
      <c r="B15" s="157"/>
      <c r="C15" s="158"/>
      <c r="D15" s="159"/>
      <c r="E15" s="159"/>
      <c r="F15" s="159"/>
      <c r="G15" s="159"/>
      <c r="H15" s="159"/>
      <c r="I15" s="159"/>
      <c r="J15" s="159"/>
      <c r="K15" s="159"/>
      <c r="L15" s="159"/>
      <c r="M15" s="159"/>
      <c r="N15" s="159"/>
      <c r="O15" s="510"/>
      <c r="P15" s="510"/>
      <c r="Q15" s="511"/>
      <c r="R15" s="511"/>
      <c r="S15" s="512"/>
      <c r="T15" s="512"/>
      <c r="U15" s="512"/>
    </row>
    <row r="16" spans="1:21">
      <c r="A16" s="258" t="s">
        <v>774</v>
      </c>
      <c r="B16" s="259">
        <v>113.09699999999999</v>
      </c>
      <c r="C16" s="260">
        <v>182.809</v>
      </c>
      <c r="D16" s="162">
        <v>101.14899999999999</v>
      </c>
      <c r="E16" s="261">
        <v>189.08600000000001</v>
      </c>
      <c r="F16" s="261">
        <v>189.33199999999999</v>
      </c>
      <c r="G16" s="162">
        <v>162.089</v>
      </c>
      <c r="H16" s="162">
        <v>90.031999999999996</v>
      </c>
      <c r="I16" s="162">
        <v>153.226</v>
      </c>
      <c r="J16" s="162">
        <v>129.09199999999998</v>
      </c>
      <c r="K16" s="162">
        <v>79.405000000000001</v>
      </c>
      <c r="L16" s="163">
        <v>152.489</v>
      </c>
      <c r="M16" s="164">
        <v>302.77269999999976</v>
      </c>
      <c r="N16" s="164">
        <v>159</v>
      </c>
      <c r="O16" s="513">
        <v>80.881422000000015</v>
      </c>
      <c r="P16" s="513">
        <v>118.37400000000001</v>
      </c>
      <c r="Q16" s="514">
        <v>101</v>
      </c>
      <c r="R16" s="514">
        <v>124.74469999999999</v>
      </c>
      <c r="S16" s="514">
        <v>244.49772999999999</v>
      </c>
      <c r="T16" s="515">
        <v>215</v>
      </c>
      <c r="U16" s="558">
        <v>214.50166999999999</v>
      </c>
    </row>
    <row r="17" spans="1:21">
      <c r="A17" s="262" t="s">
        <v>775</v>
      </c>
      <c r="B17" s="259">
        <v>1366.0509999999999</v>
      </c>
      <c r="C17" s="260">
        <v>1201.4259999999999</v>
      </c>
      <c r="D17" s="260">
        <v>1404.6279999999999</v>
      </c>
      <c r="E17" s="263">
        <v>1626.289</v>
      </c>
      <c r="F17" s="263">
        <v>1530.8050000000001</v>
      </c>
      <c r="G17" s="163">
        <v>1696.7260000000001</v>
      </c>
      <c r="H17" s="163">
        <v>1467.098</v>
      </c>
      <c r="I17" s="163">
        <v>1406.8109999999999</v>
      </c>
      <c r="J17" s="163">
        <v>1484.1220000000001</v>
      </c>
      <c r="K17" s="818">
        <v>1123.5889999999999</v>
      </c>
      <c r="L17" s="167">
        <v>1066</v>
      </c>
      <c r="M17" s="167">
        <v>1494.5</v>
      </c>
      <c r="N17" s="167">
        <v>1176.5999999999999</v>
      </c>
      <c r="O17" s="830">
        <v>1174.7405999999999</v>
      </c>
      <c r="P17" s="580">
        <v>1462</v>
      </c>
      <c r="Q17" s="581">
        <v>1745.9314000000002</v>
      </c>
      <c r="R17" s="517">
        <v>1608.2958000000003</v>
      </c>
      <c r="S17" s="816">
        <v>1892.2250999999999</v>
      </c>
      <c r="T17" s="485">
        <v>1637.008</v>
      </c>
      <c r="U17" s="490">
        <v>1405.05</v>
      </c>
    </row>
    <row r="18" spans="1:21">
      <c r="A18" s="250" t="s">
        <v>776</v>
      </c>
      <c r="B18" s="168">
        <v>0.95072028640249318</v>
      </c>
      <c r="C18" s="151">
        <v>0.91748888101463788</v>
      </c>
      <c r="D18" s="151">
        <v>0.88077207420008785</v>
      </c>
      <c r="E18" s="151">
        <v>0.94755575805847347</v>
      </c>
      <c r="F18" s="151">
        <v>0.93593328898649542</v>
      </c>
      <c r="G18" s="151">
        <v>0.90217551396949558</v>
      </c>
      <c r="H18" s="151">
        <v>0.93270360443293876</v>
      </c>
      <c r="I18" s="151">
        <v>0.89168868721608063</v>
      </c>
      <c r="J18" s="151">
        <v>0.93683333438539573</v>
      </c>
      <c r="K18" s="151">
        <v>0.94664815365574384</v>
      </c>
      <c r="L18" s="151">
        <v>0.90923746024218466</v>
      </c>
      <c r="M18" s="169">
        <v>0.93464665415884929</v>
      </c>
      <c r="N18" s="169">
        <v>0.94283681214421255</v>
      </c>
      <c r="O18" s="496">
        <v>0.90519035396035652</v>
      </c>
      <c r="P18" s="591">
        <v>0.90909746644112099</v>
      </c>
      <c r="Q18" s="592">
        <v>0.91272133120356658</v>
      </c>
      <c r="R18" s="592">
        <v>0.89430447835689109</v>
      </c>
      <c r="S18" s="497">
        <v>0.91791925667863261</v>
      </c>
      <c r="T18" s="497">
        <v>0.96788127980122651</v>
      </c>
      <c r="U18" s="497">
        <v>0.95142514351788321</v>
      </c>
    </row>
    <row r="19" spans="1:21">
      <c r="A19" s="264" t="s">
        <v>777</v>
      </c>
      <c r="B19" s="265">
        <v>2</v>
      </c>
      <c r="C19" s="266">
        <v>40</v>
      </c>
      <c r="D19" s="267">
        <v>65</v>
      </c>
      <c r="E19" s="267"/>
      <c r="F19" s="268">
        <v>57</v>
      </c>
      <c r="G19" s="172"/>
      <c r="H19" s="172"/>
      <c r="I19" s="269">
        <v>95</v>
      </c>
      <c r="J19" s="172">
        <v>15</v>
      </c>
      <c r="K19" s="172">
        <v>172</v>
      </c>
      <c r="L19" s="172"/>
      <c r="M19" s="173"/>
      <c r="N19" s="173"/>
      <c r="O19" s="519"/>
      <c r="P19" s="519"/>
      <c r="Q19" s="593"/>
      <c r="R19" s="520"/>
      <c r="S19" s="521"/>
      <c r="T19" s="521"/>
      <c r="U19" s="521"/>
    </row>
    <row r="20" spans="1:21">
      <c r="A20" s="174" t="s">
        <v>778</v>
      </c>
      <c r="B20" s="166">
        <v>210.66399999999999</v>
      </c>
      <c r="C20" s="163">
        <v>41.522000000000006</v>
      </c>
      <c r="D20" s="163">
        <v>228.25899999999999</v>
      </c>
      <c r="E20" s="163">
        <v>148.52199999999999</v>
      </c>
      <c r="F20" s="163">
        <v>270.21300000000002</v>
      </c>
      <c r="G20" s="163">
        <v>340.43299999999999</v>
      </c>
      <c r="H20" s="163">
        <v>239.64500000000001</v>
      </c>
      <c r="I20" s="163">
        <v>475.12400000000002</v>
      </c>
      <c r="J20" s="163">
        <v>266.29300000000001</v>
      </c>
      <c r="K20" s="163">
        <v>235</v>
      </c>
      <c r="L20" s="163">
        <v>513.4</v>
      </c>
      <c r="M20" s="163">
        <v>451</v>
      </c>
      <c r="N20" s="163">
        <v>440</v>
      </c>
      <c r="O20" s="544">
        <v>303.96189999999996</v>
      </c>
      <c r="P20" s="544">
        <v>181</v>
      </c>
      <c r="Q20" s="545">
        <v>181.5581</v>
      </c>
      <c r="R20" s="522">
        <v>342.02350000000001</v>
      </c>
      <c r="S20" s="515">
        <v>203.89500000000001</v>
      </c>
      <c r="T20" s="515">
        <v>205</v>
      </c>
      <c r="U20" s="594">
        <v>220</v>
      </c>
    </row>
    <row r="21" spans="1:21" ht="15.6">
      <c r="A21" s="270" t="s">
        <v>779</v>
      </c>
      <c r="B21" s="171">
        <v>158.233</v>
      </c>
      <c r="C21" s="172">
        <v>34.139000000000003</v>
      </c>
      <c r="D21" s="172">
        <v>86.201999999999998</v>
      </c>
      <c r="E21" s="172">
        <v>106.07299999999999</v>
      </c>
      <c r="F21" s="271">
        <v>206.072</v>
      </c>
      <c r="G21" s="172">
        <v>334.63499999999999</v>
      </c>
      <c r="H21" s="172">
        <v>221.35900000000001</v>
      </c>
      <c r="I21" s="172">
        <v>447.20400000000001</v>
      </c>
      <c r="J21" s="172">
        <v>255.196</v>
      </c>
      <c r="K21" s="172">
        <v>181</v>
      </c>
      <c r="L21" s="172">
        <v>363</v>
      </c>
      <c r="M21" s="173">
        <v>436</v>
      </c>
      <c r="N21" s="173">
        <v>400</v>
      </c>
      <c r="O21" s="550">
        <v>212.19339999999997</v>
      </c>
      <c r="P21" s="550">
        <v>153</v>
      </c>
      <c r="Q21" s="551">
        <v>172.39769999999999</v>
      </c>
      <c r="R21" s="524">
        <v>203.40289999999999</v>
      </c>
      <c r="S21" s="526">
        <v>178.976</v>
      </c>
      <c r="T21" s="527">
        <v>150</v>
      </c>
      <c r="U21" s="527">
        <v>180</v>
      </c>
    </row>
    <row r="22" spans="1:21">
      <c r="A22" s="270" t="s">
        <v>780</v>
      </c>
      <c r="B22" s="171">
        <v>52.430999999999997</v>
      </c>
      <c r="C22" s="172">
        <v>7.383</v>
      </c>
      <c r="D22" s="172">
        <v>142.05699999999999</v>
      </c>
      <c r="E22" s="172">
        <v>42.448999999999998</v>
      </c>
      <c r="F22" s="271">
        <v>64.141000000000005</v>
      </c>
      <c r="G22" s="172">
        <v>5.798</v>
      </c>
      <c r="H22" s="172">
        <v>18.286000000000001</v>
      </c>
      <c r="I22" s="172">
        <v>27.92</v>
      </c>
      <c r="J22" s="172">
        <v>11.097</v>
      </c>
      <c r="K22" s="172">
        <v>54</v>
      </c>
      <c r="L22" s="172">
        <v>150.4</v>
      </c>
      <c r="M22" s="173">
        <v>15</v>
      </c>
      <c r="N22" s="173">
        <v>40</v>
      </c>
      <c r="O22" s="595">
        <v>91.768500000000003</v>
      </c>
      <c r="P22" s="550">
        <v>28</v>
      </c>
      <c r="Q22" s="551">
        <v>9.1603999999999992</v>
      </c>
      <c r="R22" s="528">
        <v>138.6206</v>
      </c>
      <c r="S22" s="530">
        <v>24.919</v>
      </c>
      <c r="T22" s="531">
        <v>55</v>
      </c>
      <c r="U22" s="531">
        <v>40</v>
      </c>
    </row>
    <row r="23" spans="1:21" ht="18.600000000000001">
      <c r="A23" s="181" t="s">
        <v>781</v>
      </c>
      <c r="B23" s="182">
        <v>1693.8119999999999</v>
      </c>
      <c r="C23" s="183">
        <v>1465.7569999999998</v>
      </c>
      <c r="D23" s="183">
        <v>1799.0359999999998</v>
      </c>
      <c r="E23" s="183">
        <v>1963.8969999999999</v>
      </c>
      <c r="F23" s="183">
        <v>2047.3500000000001</v>
      </c>
      <c r="G23" s="183">
        <v>2199.248</v>
      </c>
      <c r="H23" s="183">
        <v>1796.7749999999999</v>
      </c>
      <c r="I23" s="183">
        <v>2130.1610000000001</v>
      </c>
      <c r="J23" s="183">
        <v>1894.5070000000001</v>
      </c>
      <c r="K23" s="183">
        <v>1609.9939999999999</v>
      </c>
      <c r="L23" s="183">
        <v>1731.8890000000001</v>
      </c>
      <c r="M23" s="183">
        <v>2248.2726999999995</v>
      </c>
      <c r="N23" s="183">
        <v>1775.6</v>
      </c>
      <c r="O23" s="596">
        <v>1559.5839219999998</v>
      </c>
      <c r="P23" s="596">
        <v>1761.374</v>
      </c>
      <c r="Q23" s="597">
        <v>2028.4895000000001</v>
      </c>
      <c r="R23" s="533">
        <v>2075.2258400000001</v>
      </c>
      <c r="S23" s="534">
        <v>2340.6178299999997</v>
      </c>
      <c r="T23" s="534">
        <v>2056.5096699999999</v>
      </c>
      <c r="U23" s="534">
        <v>1839.5516699999998</v>
      </c>
    </row>
    <row r="24" spans="1:21" ht="15" customHeight="1">
      <c r="A24" s="272"/>
      <c r="B24" s="273"/>
      <c r="C24" s="274"/>
      <c r="D24" s="275"/>
      <c r="E24" s="276"/>
      <c r="F24" s="277"/>
      <c r="G24" s="277"/>
      <c r="H24" s="277"/>
      <c r="I24" s="277"/>
      <c r="J24" s="277"/>
      <c r="K24" s="277"/>
      <c r="L24" s="277"/>
      <c r="M24" s="277"/>
      <c r="N24" s="277"/>
      <c r="O24" s="598"/>
      <c r="P24" s="598"/>
      <c r="Q24" s="599"/>
      <c r="R24" s="536"/>
      <c r="S24" s="537"/>
      <c r="T24" s="537"/>
      <c r="U24" s="537"/>
    </row>
    <row r="25" spans="1:21" ht="17.399999999999999">
      <c r="A25" s="190" t="s">
        <v>782</v>
      </c>
      <c r="B25" s="191"/>
      <c r="C25" s="192"/>
      <c r="D25" s="193"/>
      <c r="E25" s="194"/>
      <c r="F25" s="194"/>
      <c r="G25" s="194"/>
      <c r="H25" s="194"/>
      <c r="I25" s="194"/>
      <c r="J25" s="194"/>
      <c r="K25" s="194"/>
      <c r="L25" s="194"/>
      <c r="M25" s="194"/>
      <c r="N25" s="194"/>
      <c r="O25" s="538"/>
      <c r="P25" s="538"/>
      <c r="Q25" s="539"/>
      <c r="R25" s="539"/>
      <c r="S25" s="540"/>
      <c r="T25" s="540"/>
      <c r="U25" s="540"/>
    </row>
    <row r="26" spans="1:21" ht="17.399999999999999">
      <c r="A26" s="278"/>
      <c r="B26" s="273"/>
      <c r="C26" s="274"/>
      <c r="D26" s="275"/>
      <c r="E26" s="274"/>
      <c r="F26" s="279"/>
      <c r="G26" s="280"/>
      <c r="H26" s="279"/>
      <c r="I26" s="279"/>
      <c r="J26" s="241"/>
      <c r="K26" s="241"/>
      <c r="L26" s="241"/>
      <c r="M26" s="241"/>
      <c r="N26" s="241"/>
      <c r="O26" s="600"/>
      <c r="P26" s="600"/>
      <c r="Q26" s="601"/>
      <c r="R26" s="542"/>
      <c r="S26" s="543"/>
      <c r="T26" s="543"/>
      <c r="U26" s="543"/>
    </row>
    <row r="27" spans="1:21">
      <c r="A27" s="174" t="s">
        <v>783</v>
      </c>
      <c r="B27" s="119">
        <v>1067.40002</v>
      </c>
      <c r="C27" s="120">
        <v>1052.95352</v>
      </c>
      <c r="D27" s="120">
        <v>1278.1845600000001</v>
      </c>
      <c r="E27" s="120">
        <v>1377.806</v>
      </c>
      <c r="F27" s="120">
        <v>1451.1390999999999</v>
      </c>
      <c r="G27" s="120">
        <v>1523.251</v>
      </c>
      <c r="H27" s="120">
        <v>1147.9139599999999</v>
      </c>
      <c r="I27" s="120">
        <v>1579.7002200000002</v>
      </c>
      <c r="J27" s="120">
        <v>1340.7544399999999</v>
      </c>
      <c r="K27" s="120">
        <v>1129.1977800000002</v>
      </c>
      <c r="L27" s="120">
        <v>1226.22</v>
      </c>
      <c r="M27" s="120">
        <v>1424.8300000000002</v>
      </c>
      <c r="N27" s="120">
        <v>1372</v>
      </c>
      <c r="O27" s="602">
        <v>965.10782199999983</v>
      </c>
      <c r="P27" s="602">
        <v>1235.24</v>
      </c>
      <c r="Q27" s="603">
        <v>1285.7259019999999</v>
      </c>
      <c r="R27" s="545">
        <v>1246.4607099999998</v>
      </c>
      <c r="S27" s="546">
        <v>1556.9971599999997</v>
      </c>
      <c r="T27" s="546">
        <v>1465.4745600000001</v>
      </c>
      <c r="U27" s="546">
        <v>1255.8353999999999</v>
      </c>
    </row>
    <row r="28" spans="1:21">
      <c r="A28" s="281" t="s">
        <v>784</v>
      </c>
      <c r="B28" s="265">
        <v>1015.8390000000001</v>
      </c>
      <c r="C28" s="282">
        <v>1024.32</v>
      </c>
      <c r="D28" s="283">
        <v>1234.1030000000001</v>
      </c>
      <c r="E28" s="282">
        <v>1345.5309999999999</v>
      </c>
      <c r="F28" s="282">
        <v>1399.992</v>
      </c>
      <c r="G28" s="199">
        <v>1500.914</v>
      </c>
      <c r="H28" s="199">
        <v>1102</v>
      </c>
      <c r="I28" s="199">
        <v>1530</v>
      </c>
      <c r="J28" s="199">
        <v>1283</v>
      </c>
      <c r="K28" s="820">
        <v>1080</v>
      </c>
      <c r="L28" s="199">
        <v>1180</v>
      </c>
      <c r="M28" s="200">
        <v>1367</v>
      </c>
      <c r="N28" s="200">
        <v>1320</v>
      </c>
      <c r="O28" s="821">
        <v>913.76749499999983</v>
      </c>
      <c r="P28" s="547">
        <v>1169</v>
      </c>
      <c r="Q28" s="548">
        <v>1215</v>
      </c>
      <c r="R28" s="548">
        <v>1182.6334239999999</v>
      </c>
      <c r="S28" s="822">
        <v>1491.3872179999998</v>
      </c>
      <c r="T28" s="604">
        <v>1400</v>
      </c>
      <c r="U28" s="605">
        <v>1200</v>
      </c>
    </row>
    <row r="29" spans="1:21">
      <c r="A29" s="281" t="s">
        <v>785</v>
      </c>
      <c r="B29" s="265">
        <v>21.24</v>
      </c>
      <c r="C29" s="282">
        <v>3.605</v>
      </c>
      <c r="D29" s="283">
        <v>8.9890000000000008</v>
      </c>
      <c r="E29" s="282">
        <v>11.275</v>
      </c>
      <c r="F29" s="282">
        <v>9.5310000000000006</v>
      </c>
      <c r="G29" s="199">
        <v>12.337</v>
      </c>
      <c r="H29" s="199">
        <v>6.5720000000000001</v>
      </c>
      <c r="I29" s="199">
        <v>11.564</v>
      </c>
      <c r="J29" s="199">
        <v>8.0719999999999992</v>
      </c>
      <c r="K29" s="820">
        <v>6.726</v>
      </c>
      <c r="L29" s="199">
        <v>5.9</v>
      </c>
      <c r="M29" s="200">
        <v>8.94</v>
      </c>
      <c r="N29" s="200">
        <v>9</v>
      </c>
      <c r="O29" s="556">
        <v>12.168014999999999</v>
      </c>
      <c r="P29" s="550">
        <v>22</v>
      </c>
      <c r="Q29" s="551">
        <v>18.072873999999999</v>
      </c>
      <c r="R29" s="551">
        <v>13.66137</v>
      </c>
      <c r="S29" s="696">
        <v>9.7654400000000017</v>
      </c>
      <c r="T29" s="526">
        <v>15</v>
      </c>
      <c r="U29" s="606">
        <v>10</v>
      </c>
    </row>
    <row r="30" spans="1:21">
      <c r="A30" s="281" t="s">
        <v>809</v>
      </c>
      <c r="B30" s="265"/>
      <c r="C30" s="282"/>
      <c r="D30" s="282"/>
      <c r="E30" s="282"/>
      <c r="F30" s="282"/>
      <c r="G30" s="199"/>
      <c r="H30" s="199"/>
      <c r="I30" s="199"/>
      <c r="J30" s="199">
        <v>10</v>
      </c>
      <c r="K30" s="820">
        <v>10</v>
      </c>
      <c r="L30" s="199">
        <v>10</v>
      </c>
      <c r="M30" s="200">
        <v>10</v>
      </c>
      <c r="N30" s="200">
        <v>10</v>
      </c>
      <c r="O30" s="556">
        <v>10</v>
      </c>
      <c r="P30" s="550">
        <v>10</v>
      </c>
      <c r="Q30" s="551">
        <v>10</v>
      </c>
      <c r="R30" s="524">
        <v>10</v>
      </c>
      <c r="S30" s="696">
        <v>10</v>
      </c>
      <c r="T30" s="607">
        <v>10</v>
      </c>
      <c r="U30" s="607">
        <v>10</v>
      </c>
    </row>
    <row r="31" spans="1:21">
      <c r="A31" s="281" t="s">
        <v>786</v>
      </c>
      <c r="B31" s="265">
        <v>3</v>
      </c>
      <c r="C31" s="283">
        <v>1</v>
      </c>
      <c r="D31" s="283">
        <v>7</v>
      </c>
      <c r="E31" s="283">
        <v>10</v>
      </c>
      <c r="F31" s="283">
        <v>11</v>
      </c>
      <c r="G31" s="199">
        <v>10</v>
      </c>
      <c r="H31" s="199">
        <v>10</v>
      </c>
      <c r="I31" s="199">
        <v>10</v>
      </c>
      <c r="J31" s="199">
        <v>10</v>
      </c>
      <c r="K31" s="820">
        <v>10</v>
      </c>
      <c r="L31" s="199">
        <v>9</v>
      </c>
      <c r="M31" s="200">
        <v>9</v>
      </c>
      <c r="N31" s="200">
        <v>10</v>
      </c>
      <c r="O31" s="611">
        <v>5.6775000000000002</v>
      </c>
      <c r="P31" s="525">
        <v>5</v>
      </c>
      <c r="Q31" s="524">
        <v>7.7343999999999999</v>
      </c>
      <c r="R31" s="553">
        <v>8</v>
      </c>
      <c r="S31" s="696">
        <v>8</v>
      </c>
      <c r="T31" s="526">
        <v>7.7343999999999999</v>
      </c>
      <c r="U31" s="526">
        <v>7.7343999999999999</v>
      </c>
    </row>
    <row r="32" spans="1:21">
      <c r="A32" s="281" t="s">
        <v>787</v>
      </c>
      <c r="B32" s="265">
        <v>27.321020000000001</v>
      </c>
      <c r="C32" s="283">
        <v>24.02852</v>
      </c>
      <c r="D32" s="283">
        <v>28.092559999999999</v>
      </c>
      <c r="E32" s="283">
        <v>11</v>
      </c>
      <c r="F32" s="283">
        <v>30.616100000000003</v>
      </c>
      <c r="G32" s="199"/>
      <c r="H32" s="199">
        <v>29.34196</v>
      </c>
      <c r="I32" s="199">
        <v>28.136219999999998</v>
      </c>
      <c r="J32" s="199">
        <v>29.682440000000003</v>
      </c>
      <c r="K32" s="199">
        <v>22.471779999999999</v>
      </c>
      <c r="L32" s="199">
        <v>21.32</v>
      </c>
      <c r="M32" s="200">
        <v>29.89</v>
      </c>
      <c r="N32" s="200">
        <v>23</v>
      </c>
      <c r="O32" s="608">
        <v>23.494811999999996</v>
      </c>
      <c r="P32" s="608">
        <v>29.240000000000002</v>
      </c>
      <c r="Q32" s="609">
        <v>34.918628000000005</v>
      </c>
      <c r="R32" s="609">
        <v>32.16591600000001</v>
      </c>
      <c r="S32" s="610">
        <v>37.844501999999999</v>
      </c>
      <c r="T32" s="610">
        <v>32.740160000000003</v>
      </c>
      <c r="U32" s="610">
        <v>28.100999999999999</v>
      </c>
    </row>
    <row r="33" spans="1:21">
      <c r="A33" s="281" t="s">
        <v>788</v>
      </c>
      <c r="B33" s="265"/>
      <c r="C33" s="283"/>
      <c r="D33" s="283"/>
      <c r="E33" s="283">
        <v>43</v>
      </c>
      <c r="F33" s="283"/>
      <c r="G33" s="199">
        <v>157</v>
      </c>
      <c r="H33" s="199">
        <v>76</v>
      </c>
      <c r="I33" s="199"/>
      <c r="J33" s="199"/>
      <c r="K33" s="199"/>
      <c r="L33" s="199">
        <v>74</v>
      </c>
      <c r="M33" s="200"/>
      <c r="N33" s="200"/>
      <c r="O33" s="611"/>
      <c r="P33" s="611"/>
      <c r="Q33" s="612"/>
      <c r="R33" s="557"/>
      <c r="S33" s="555"/>
      <c r="T33" s="555"/>
      <c r="U33" s="555"/>
    </row>
    <row r="34" spans="1:21">
      <c r="A34" s="281"/>
      <c r="B34" s="265"/>
      <c r="C34" s="283"/>
      <c r="D34" s="283"/>
      <c r="E34" s="283"/>
      <c r="F34" s="283"/>
      <c r="G34" s="199"/>
      <c r="H34" s="199"/>
      <c r="I34" s="199"/>
      <c r="J34" s="199"/>
      <c r="K34" s="199"/>
      <c r="L34" s="199"/>
      <c r="M34" s="200"/>
      <c r="N34" s="200"/>
      <c r="O34" s="556"/>
      <c r="P34" s="556"/>
      <c r="Q34" s="557"/>
      <c r="R34" s="522"/>
      <c r="S34" s="558"/>
      <c r="T34" s="558"/>
      <c r="U34" s="613"/>
    </row>
    <row r="35" spans="1:21">
      <c r="A35" s="174" t="s">
        <v>789</v>
      </c>
      <c r="B35" s="119">
        <v>441.375</v>
      </c>
      <c r="C35" s="120">
        <v>312.11400000000003</v>
      </c>
      <c r="D35" s="120">
        <v>331.49700000000001</v>
      </c>
      <c r="E35" s="120">
        <v>353.596</v>
      </c>
      <c r="F35" s="120">
        <v>433.94499999999999</v>
      </c>
      <c r="G35" s="120">
        <v>429.02700000000004</v>
      </c>
      <c r="H35" s="120">
        <v>419.142</v>
      </c>
      <c r="I35" s="120">
        <v>421.02199999999999</v>
      </c>
      <c r="J35" s="120">
        <v>473.87100000000004</v>
      </c>
      <c r="K35" s="120">
        <v>328.20000000000005</v>
      </c>
      <c r="L35" s="120">
        <v>317.40000000000003</v>
      </c>
      <c r="M35" s="120">
        <v>475.7</v>
      </c>
      <c r="N35" s="120">
        <v>390</v>
      </c>
      <c r="O35" s="544">
        <v>476.10209999999995</v>
      </c>
      <c r="P35" s="544">
        <v>426</v>
      </c>
      <c r="Q35" s="545">
        <v>617.97960000000012</v>
      </c>
      <c r="R35" s="545">
        <v>584.26740000000018</v>
      </c>
      <c r="S35" s="594">
        <v>569.11899999999991</v>
      </c>
      <c r="T35" s="545">
        <v>440</v>
      </c>
      <c r="U35" s="614">
        <v>430</v>
      </c>
    </row>
    <row r="36" spans="1:21">
      <c r="A36" s="284" t="s">
        <v>790</v>
      </c>
      <c r="B36" s="265">
        <v>436.88200000000001</v>
      </c>
      <c r="C36" s="283">
        <v>306.8</v>
      </c>
      <c r="D36" s="283">
        <v>326.89400000000001</v>
      </c>
      <c r="E36" s="283">
        <v>347.99799999999999</v>
      </c>
      <c r="F36" s="283">
        <v>426.09800000000001</v>
      </c>
      <c r="G36" s="199">
        <v>421.14100000000002</v>
      </c>
      <c r="H36" s="199">
        <v>408.91800000000001</v>
      </c>
      <c r="I36" s="199">
        <v>411.99599999999998</v>
      </c>
      <c r="J36" s="199">
        <v>466.66500000000002</v>
      </c>
      <c r="K36" s="199">
        <v>313.37400000000002</v>
      </c>
      <c r="L36" s="199">
        <v>304.3</v>
      </c>
      <c r="M36" s="200">
        <v>460</v>
      </c>
      <c r="N36" s="200">
        <v>370</v>
      </c>
      <c r="O36" s="550">
        <v>430.96619999999996</v>
      </c>
      <c r="P36" s="550">
        <v>379</v>
      </c>
      <c r="Q36" s="551">
        <v>594.66630000000009</v>
      </c>
      <c r="R36" s="551">
        <v>572.26780000000019</v>
      </c>
      <c r="S36" s="527">
        <v>542.43499999999995</v>
      </c>
      <c r="T36" s="551">
        <v>415</v>
      </c>
      <c r="U36" s="615">
        <v>410</v>
      </c>
    </row>
    <row r="37" spans="1:21">
      <c r="A37" s="284" t="s">
        <v>780</v>
      </c>
      <c r="B37" s="265">
        <v>4.4930000000000003</v>
      </c>
      <c r="C37" s="283">
        <v>5.3140000000000001</v>
      </c>
      <c r="D37" s="283">
        <v>4.6029999999999998</v>
      </c>
      <c r="E37" s="283">
        <v>5.5979999999999999</v>
      </c>
      <c r="F37" s="283">
        <v>7.8470000000000004</v>
      </c>
      <c r="G37" s="199">
        <v>7.8860000000000001</v>
      </c>
      <c r="H37" s="199">
        <v>10.224</v>
      </c>
      <c r="I37" s="199">
        <v>9.0259999999999998</v>
      </c>
      <c r="J37" s="199">
        <v>7.2060000000000004</v>
      </c>
      <c r="K37" s="199">
        <v>14.826000000000001</v>
      </c>
      <c r="L37" s="199">
        <v>13.1</v>
      </c>
      <c r="M37" s="200">
        <v>15.7</v>
      </c>
      <c r="N37" s="200">
        <v>20</v>
      </c>
      <c r="O37" s="595">
        <v>45.135900000000014</v>
      </c>
      <c r="P37" s="550">
        <v>47</v>
      </c>
      <c r="Q37" s="551">
        <v>23.313299999999995</v>
      </c>
      <c r="R37" s="551">
        <v>11.999600000000006</v>
      </c>
      <c r="S37" s="531">
        <v>26.684000000000001</v>
      </c>
      <c r="T37" s="551">
        <v>25</v>
      </c>
      <c r="U37" s="616">
        <v>20</v>
      </c>
    </row>
    <row r="38" spans="1:21" ht="18.600000000000001">
      <c r="A38" s="181" t="s">
        <v>791</v>
      </c>
      <c r="B38" s="182">
        <v>1508.77502</v>
      </c>
      <c r="C38" s="183">
        <v>1365.0675200000001</v>
      </c>
      <c r="D38" s="183">
        <v>1609.6815600000002</v>
      </c>
      <c r="E38" s="183">
        <v>1731.402</v>
      </c>
      <c r="F38" s="183">
        <v>1885.0840999999998</v>
      </c>
      <c r="G38" s="183">
        <v>1952.278</v>
      </c>
      <c r="H38" s="183">
        <v>1567.0559599999999</v>
      </c>
      <c r="I38" s="183">
        <v>2000.7222200000001</v>
      </c>
      <c r="J38" s="183">
        <v>1814.62544</v>
      </c>
      <c r="K38" s="183">
        <v>1457.3977800000002</v>
      </c>
      <c r="L38" s="183">
        <v>1543.6200000000001</v>
      </c>
      <c r="M38" s="183">
        <v>1900.5300000000002</v>
      </c>
      <c r="N38" s="183">
        <v>1762</v>
      </c>
      <c r="O38" s="596">
        <v>1441.2099219999998</v>
      </c>
      <c r="P38" s="596">
        <v>1661.24</v>
      </c>
      <c r="Q38" s="597">
        <v>1903.705502</v>
      </c>
      <c r="R38" s="597">
        <v>1830.72811</v>
      </c>
      <c r="S38" s="534">
        <v>2126.1161599999996</v>
      </c>
      <c r="T38" s="597">
        <v>1905.4745600000001</v>
      </c>
      <c r="U38" s="534">
        <v>1685.8353999999999</v>
      </c>
    </row>
    <row r="39" spans="1:21">
      <c r="A39" s="285"/>
      <c r="B39" s="286"/>
      <c r="C39" s="247"/>
      <c r="D39" s="247"/>
      <c r="E39" s="247"/>
      <c r="F39" s="247"/>
      <c r="G39" s="247"/>
      <c r="H39" s="247"/>
      <c r="I39" s="247"/>
      <c r="J39" s="247"/>
      <c r="K39" s="247"/>
      <c r="L39" s="247"/>
      <c r="M39" s="247"/>
      <c r="N39" s="247"/>
      <c r="O39" s="617"/>
      <c r="P39" s="617"/>
      <c r="Q39" s="618"/>
      <c r="R39" s="618"/>
      <c r="S39" s="619"/>
      <c r="T39" s="618"/>
      <c r="U39" s="619"/>
    </row>
    <row r="40" spans="1:21" ht="20.399999999999999">
      <c r="A40" s="205" t="s">
        <v>792</v>
      </c>
      <c r="B40" s="206">
        <v>182.809</v>
      </c>
      <c r="C40" s="206">
        <v>101.14899999999999</v>
      </c>
      <c r="D40" s="206">
        <v>189.08600000000001</v>
      </c>
      <c r="E40" s="206">
        <v>189.71599999999998</v>
      </c>
      <c r="F40" s="206">
        <v>162.089</v>
      </c>
      <c r="G40" s="206">
        <v>90.031999999999996</v>
      </c>
      <c r="H40" s="206">
        <v>153.226</v>
      </c>
      <c r="I40" s="206">
        <v>129.09199999999998</v>
      </c>
      <c r="J40" s="206">
        <v>79.405000000000001</v>
      </c>
      <c r="K40" s="206">
        <v>152.489</v>
      </c>
      <c r="L40" s="206">
        <v>114</v>
      </c>
      <c r="M40" s="287">
        <v>159</v>
      </c>
      <c r="N40" s="287">
        <v>81</v>
      </c>
      <c r="O40" s="620">
        <v>118.37400000000001</v>
      </c>
      <c r="P40" s="562">
        <v>101</v>
      </c>
      <c r="Q40" s="563">
        <v>124.74469999999999</v>
      </c>
      <c r="R40" s="563">
        <v>244.49772999999999</v>
      </c>
      <c r="S40" s="565">
        <v>214.50166999999999</v>
      </c>
      <c r="T40" s="563">
        <v>151</v>
      </c>
      <c r="U40" s="565">
        <v>154</v>
      </c>
    </row>
    <row r="41" spans="1:21">
      <c r="A41" s="281" t="s">
        <v>793</v>
      </c>
      <c r="B41" s="288">
        <v>182.14699999999999</v>
      </c>
      <c r="C41" s="289">
        <v>100.95399999999999</v>
      </c>
      <c r="D41" s="289">
        <v>188.798</v>
      </c>
      <c r="E41" s="289">
        <v>189.33199999999999</v>
      </c>
      <c r="F41" s="289">
        <v>125.919</v>
      </c>
      <c r="G41" s="290">
        <v>89.195999999999998</v>
      </c>
      <c r="H41" s="290">
        <v>152.82900000000001</v>
      </c>
      <c r="I41" s="290">
        <v>128.39099999999999</v>
      </c>
      <c r="J41" s="829">
        <v>78.971000000000004</v>
      </c>
      <c r="K41" s="829">
        <v>82.19</v>
      </c>
      <c r="L41" s="290">
        <v>93.6</v>
      </c>
      <c r="M41" s="291">
        <v>8</v>
      </c>
      <c r="N41" s="834">
        <v>80</v>
      </c>
      <c r="O41" s="831">
        <v>117.79939999999999</v>
      </c>
      <c r="P41" s="621">
        <v>100</v>
      </c>
      <c r="Q41" s="622">
        <v>123.87139999999999</v>
      </c>
      <c r="R41" s="833">
        <v>243.2783</v>
      </c>
      <c r="S41" s="832">
        <v>214.34629999999999</v>
      </c>
      <c r="T41" s="622"/>
      <c r="U41" s="623"/>
    </row>
    <row r="42" spans="1:21">
      <c r="A42" s="281" t="s">
        <v>794</v>
      </c>
      <c r="B42" s="288">
        <v>0.66200000000000003</v>
      </c>
      <c r="C42" s="289">
        <v>0.19500000000000001</v>
      </c>
      <c r="D42" s="289">
        <v>0.28799999999999998</v>
      </c>
      <c r="E42" s="289">
        <v>0.38400000000000001</v>
      </c>
      <c r="F42" s="289">
        <v>1.17</v>
      </c>
      <c r="G42" s="209">
        <v>0.83599999999999997</v>
      </c>
      <c r="H42" s="209">
        <v>0.39700000000000002</v>
      </c>
      <c r="I42" s="209">
        <v>0.70099999999999996</v>
      </c>
      <c r="J42" s="289">
        <v>0.434</v>
      </c>
      <c r="K42" s="289">
        <v>0.29899999999999999</v>
      </c>
      <c r="L42" s="289">
        <v>0.4</v>
      </c>
      <c r="M42" s="292"/>
      <c r="N42" s="292"/>
      <c r="O42" s="624">
        <v>0.30990100000000004</v>
      </c>
      <c r="P42" s="624">
        <v>1</v>
      </c>
      <c r="Q42" s="625">
        <v>0.87329999999999997</v>
      </c>
      <c r="R42" s="625">
        <v>1.0694300000000001</v>
      </c>
      <c r="S42" s="626">
        <v>0.15537000000000001</v>
      </c>
      <c r="T42" s="625"/>
      <c r="U42" s="627"/>
    </row>
    <row r="43" spans="1:21" ht="15" thickBot="1">
      <c r="A43" s="293" t="s">
        <v>795</v>
      </c>
      <c r="B43" s="294"/>
      <c r="C43" s="295"/>
      <c r="D43" s="295"/>
      <c r="E43" s="295"/>
      <c r="F43" s="296">
        <v>35</v>
      </c>
      <c r="G43" s="297"/>
      <c r="H43" s="295"/>
      <c r="I43" s="295"/>
      <c r="J43" s="295"/>
      <c r="K43" s="295">
        <v>70</v>
      </c>
      <c r="L43" s="295">
        <v>20</v>
      </c>
      <c r="M43" s="298"/>
      <c r="N43" s="298"/>
      <c r="O43" s="628"/>
      <c r="P43" s="628"/>
      <c r="Q43" s="629"/>
      <c r="R43" s="629"/>
      <c r="S43" s="630"/>
      <c r="T43" s="629"/>
      <c r="U43" s="630"/>
    </row>
    <row r="44" spans="1:21">
      <c r="A44" s="299" t="s">
        <v>796</v>
      </c>
      <c r="B44" s="217"/>
      <c r="C44" s="217"/>
      <c r="D44" s="217"/>
      <c r="E44" s="217"/>
      <c r="F44" s="217"/>
      <c r="G44" s="217"/>
      <c r="H44" s="217"/>
      <c r="I44" s="217"/>
      <c r="J44" s="217"/>
      <c r="K44" s="217"/>
      <c r="L44" s="217"/>
      <c r="M44" s="217"/>
      <c r="N44" s="217"/>
    </row>
    <row r="45" spans="1:21" ht="16.2">
      <c r="A45" s="219" t="s">
        <v>797</v>
      </c>
      <c r="B45" s="217"/>
      <c r="C45" s="217"/>
      <c r="D45" s="217"/>
      <c r="E45" s="217"/>
      <c r="F45" s="217"/>
      <c r="G45" s="217"/>
      <c r="H45" s="217"/>
      <c r="I45" s="217"/>
      <c r="J45" s="217"/>
      <c r="K45" s="217"/>
      <c r="L45" s="217"/>
      <c r="M45" s="217"/>
      <c r="N45" s="217"/>
    </row>
    <row r="46" spans="1:21" ht="16.2">
      <c r="A46" s="220" t="s">
        <v>798</v>
      </c>
      <c r="B46" s="216"/>
      <c r="C46" s="216"/>
      <c r="D46" s="216"/>
      <c r="E46" s="216"/>
      <c r="F46" s="219"/>
      <c r="G46" s="216"/>
    </row>
    <row r="47" spans="1:21" ht="16.2">
      <c r="A47" s="216"/>
      <c r="B47" s="216"/>
      <c r="C47" s="216"/>
      <c r="D47" s="216"/>
      <c r="E47" s="216"/>
      <c r="F47" s="300"/>
      <c r="G47" s="301"/>
      <c r="H47" s="225"/>
      <c r="I47" s="225"/>
      <c r="J47" s="225">
        <v>52</v>
      </c>
      <c r="K47" s="225"/>
      <c r="L47" s="225"/>
      <c r="M47" s="225"/>
      <c r="N47" s="225"/>
    </row>
    <row r="48" spans="1:21">
      <c r="A48" s="216"/>
      <c r="B48" s="216"/>
      <c r="C48" s="216"/>
      <c r="D48" s="216"/>
      <c r="E48" s="216"/>
      <c r="F48" s="216"/>
      <c r="G48" s="216"/>
      <c r="J48" s="216"/>
    </row>
    <row r="49" spans="1:7">
      <c r="A49" s="216"/>
      <c r="B49" s="216"/>
      <c r="C49" s="216"/>
      <c r="D49" s="216"/>
      <c r="E49" s="216"/>
      <c r="F49" s="216"/>
      <c r="G49" s="216"/>
    </row>
  </sheetData>
  <mergeCells count="2">
    <mergeCell ref="B1:M1"/>
    <mergeCell ref="O1:U1"/>
  </mergeCells>
  <conditionalFormatting sqref="R5">
    <cfRule type="expression" dxfId="6" priority="2" stopIfTrue="1">
      <formula>ISERROR(R5)</formula>
    </cfRule>
  </conditionalFormatting>
  <conditionalFormatting sqref="R7">
    <cfRule type="expression" dxfId="5" priority="1" stopIfTrue="1">
      <formula>ISERROR(R7)</formula>
    </cfRule>
  </conditionalFormatting>
  <pageMargins left="0.7" right="0.7" top="0.75" bottom="0.75" header="0.3" footer="0.3"/>
  <pageSetup paperSize="9" scale="62"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934A6-24C6-44AD-8F87-30BF6D0301FD}">
  <sheetPr>
    <tabColor rgb="FF92D050"/>
  </sheetPr>
  <dimension ref="A1:S37"/>
  <sheetViews>
    <sheetView workbookViewId="0">
      <pane xSplit="2" ySplit="1" topLeftCell="C2" activePane="bottomRight" state="frozen"/>
      <selection activeCell="B15" sqref="B15"/>
      <selection pane="topRight" activeCell="B15" sqref="B15"/>
      <selection pane="bottomLeft" activeCell="B15" sqref="B15"/>
      <selection pane="bottomRight" activeCell="P3" sqref="P3:Q28"/>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30.21875" style="2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Secteurs!$B$2</f>
        <v>Récolte</v>
      </c>
      <c r="B2" t="str">
        <f>Produits!$B$2</f>
        <v>Graines récoltées</v>
      </c>
      <c r="C2" s="100">
        <f>'Bilans Soja - FAM'!K6</f>
        <v>337</v>
      </c>
      <c r="E2" t="str">
        <f>Etiquettes!$C$3</f>
        <v>kt</v>
      </c>
      <c r="F2" s="21" t="str">
        <f>Etiquettes!$J$6</f>
        <v>Soja</v>
      </c>
      <c r="G2" s="21" t="str">
        <f>Etiquettes!$H$5</f>
        <v>2015-16</v>
      </c>
      <c r="H2" t="str">
        <f>Etiquettes!$C$4</f>
        <v>France entière</v>
      </c>
      <c r="I2" s="101" t="s">
        <v>722</v>
      </c>
      <c r="J2" s="101"/>
      <c r="K2" t="s">
        <v>741</v>
      </c>
      <c r="L2" s="101" t="s">
        <v>1482</v>
      </c>
      <c r="M2" s="21" t="str">
        <f>Etiquettes!$H$11</f>
        <v>Volume</v>
      </c>
      <c r="N2" s="21" t="str">
        <f>_xlfn.CONCAT(I2,IF(ISBLANK(C2),"",_xlfn.CONCAT(" = ",MROUND(C2,1)," ",E2))," (",K2,")")</f>
        <v>Récolte = 337 kt (Bilans par campagne - FranceAgriMer)</v>
      </c>
      <c r="O2" t="str">
        <f>Etiquettes!$H$15</f>
        <v>Fiable</v>
      </c>
      <c r="P2" s="976" t="s">
        <v>1468</v>
      </c>
      <c r="Q2" s="976" t="str">
        <f>Etiquettes!$H$17</f>
        <v>Donnée collectée (valeur du flux ou coefficient)</v>
      </c>
    </row>
    <row r="3" spans="1:19">
      <c r="A3" t="str">
        <f>Secteurs!$B$3</f>
        <v>Ferme</v>
      </c>
      <c r="B3" t="str">
        <f>Produits!$B$4</f>
        <v>Graines autoconsommées</v>
      </c>
      <c r="C3" s="858">
        <f>'Bilans Soja - FAM'!K8</f>
        <v>67.776999999999987</v>
      </c>
      <c r="E3" t="str">
        <f>Etiquettes!$C$3</f>
        <v>kt</v>
      </c>
      <c r="F3" s="21" t="str">
        <f>Etiquettes!$J$6</f>
        <v>Soja</v>
      </c>
      <c r="G3" s="21" t="str">
        <f>Etiquettes!$H$5</f>
        <v>2015-16</v>
      </c>
      <c r="H3" t="str">
        <f>Etiquettes!$C$4</f>
        <v>France entière</v>
      </c>
      <c r="I3" s="21" t="s">
        <v>742</v>
      </c>
      <c r="J3" s="101"/>
      <c r="K3" t="s">
        <v>741</v>
      </c>
      <c r="L3" s="101" t="s">
        <v>1482</v>
      </c>
      <c r="M3" s="21" t="str">
        <f>Etiquettes!$H$11</f>
        <v>Volume</v>
      </c>
      <c r="N3" s="21" t="str">
        <f t="shared" ref="N3:N28" si="0">_xlfn.CONCAT(I3,IF(ISBLANK(C3),"",_xlfn.CONCAT(" = ",MROUND(C3,1)," ",E3))," (",K3,")")</f>
        <v>Autoconsommation à la ferme = 68 kt (Bilans par campagne - FranceAgriMer)</v>
      </c>
      <c r="O3" t="str">
        <f>Etiquettes!$K$15</f>
        <v>Approximative</v>
      </c>
      <c r="P3" s="976" t="s">
        <v>1468</v>
      </c>
      <c r="Q3" s="976" t="str">
        <f>Etiquettes!$H$17</f>
        <v>Donnée collectée (valeur du flux ou coefficient)</v>
      </c>
    </row>
    <row r="4" spans="1:19">
      <c r="A4" t="str">
        <f>Produits!$B$2</f>
        <v>Graines récoltées</v>
      </c>
      <c r="B4" t="str">
        <f>Secteurs!$B$4</f>
        <v>OS</v>
      </c>
      <c r="C4" s="100">
        <f>'Bilans Soja - FAM'!K16</f>
        <v>269.22300000000001</v>
      </c>
      <c r="E4" t="str">
        <f>Etiquettes!$C$3</f>
        <v>kt</v>
      </c>
      <c r="F4" s="21" t="str">
        <f>Etiquettes!$J$6</f>
        <v>Soja</v>
      </c>
      <c r="G4" s="21" t="str">
        <f>Etiquettes!$H$5</f>
        <v>2015-16</v>
      </c>
      <c r="H4" t="str">
        <f>Etiquettes!$C$4</f>
        <v>France entière</v>
      </c>
      <c r="I4" s="21" t="s">
        <v>743</v>
      </c>
      <c r="J4" s="101"/>
      <c r="K4" t="s">
        <v>741</v>
      </c>
      <c r="L4" s="101" t="s">
        <v>1482</v>
      </c>
      <c r="M4" s="21" t="str">
        <f>Etiquettes!$H$11</f>
        <v>Volume</v>
      </c>
      <c r="N4" s="21" t="str">
        <f t="shared" si="0"/>
        <v>Collecte = 269 kt (Bilans par campagne - FranceAgriMer)</v>
      </c>
      <c r="O4" t="str">
        <f>Etiquettes!$I$15</f>
        <v>Robuste</v>
      </c>
      <c r="P4" s="976" t="s">
        <v>1468</v>
      </c>
      <c r="Q4" s="976" t="str">
        <f>Etiquettes!$H$17</f>
        <v>Donnée collectée (valeur du flux ou coefficient)</v>
      </c>
    </row>
    <row r="5" spans="1:19">
      <c r="A5" t="str">
        <f>Produits!$B$7</f>
        <v>Stock initial collecteurs</v>
      </c>
      <c r="B5" t="str">
        <f>Secteurs!$B$4</f>
        <v>OS</v>
      </c>
      <c r="C5" s="100">
        <f>'Bilans Soja - FAM'!J40</f>
        <v>43.93</v>
      </c>
      <c r="E5" t="str">
        <f>Etiquettes!$C$3</f>
        <v>kt</v>
      </c>
      <c r="F5" s="21" t="str">
        <f>Etiquettes!$J$6</f>
        <v>Soja</v>
      </c>
      <c r="G5" s="21" t="str">
        <f>Etiquettes!$H$5</f>
        <v>2015-16</v>
      </c>
      <c r="H5" t="str">
        <f>Etiquettes!$C$4</f>
        <v>France entière</v>
      </c>
      <c r="I5" s="21" t="s">
        <v>712</v>
      </c>
      <c r="J5" s="101"/>
      <c r="K5" t="s">
        <v>741</v>
      </c>
      <c r="L5" s="101" t="s">
        <v>1482</v>
      </c>
      <c r="M5" s="21" t="str">
        <f>Etiquettes!$H$11</f>
        <v>Volume</v>
      </c>
      <c r="N5" s="21" t="str">
        <f t="shared" si="0"/>
        <v>Stock initial collecteurs = 44 kt (Bilans par campagne - FranceAgriMer)</v>
      </c>
      <c r="O5" t="str">
        <f>Etiquettes!$I$15</f>
        <v>Robuste</v>
      </c>
      <c r="P5" s="976" t="s">
        <v>1468</v>
      </c>
      <c r="Q5" s="976" t="str">
        <f>Etiquettes!$H$17</f>
        <v>Donnée collectée (valeur du flux ou coefficient)</v>
      </c>
    </row>
    <row r="6" spans="1:19">
      <c r="A6" t="str">
        <f>Secteurs!$B$4</f>
        <v>OS</v>
      </c>
      <c r="B6" t="str">
        <f>Produits!$B$10</f>
        <v>Stock final collecteurs</v>
      </c>
      <c r="C6" s="100">
        <f>'Bilans Soja - FAM'!K40</f>
        <v>40.618000000000002</v>
      </c>
      <c r="E6" t="str">
        <f>Etiquettes!$C$3</f>
        <v>kt</v>
      </c>
      <c r="F6" s="21" t="str">
        <f>Etiquettes!$J$6</f>
        <v>Soja</v>
      </c>
      <c r="G6" s="21" t="str">
        <f>Etiquettes!$H$5</f>
        <v>2015-16</v>
      </c>
      <c r="H6" t="str">
        <f>Etiquettes!$C$4</f>
        <v>France entière</v>
      </c>
      <c r="I6" s="21" t="s">
        <v>715</v>
      </c>
      <c r="J6" s="101"/>
      <c r="K6" t="s">
        <v>741</v>
      </c>
      <c r="L6" s="101" t="s">
        <v>1482</v>
      </c>
      <c r="M6" s="21" t="str">
        <f>Etiquettes!$H$11</f>
        <v>Volume</v>
      </c>
      <c r="N6" s="21" t="str">
        <f t="shared" si="0"/>
        <v>Stock final collecteurs = 41 kt (Bilans par campagne - FranceAgriMer)</v>
      </c>
      <c r="O6" t="str">
        <f>Etiquettes!$I$15</f>
        <v>Robuste</v>
      </c>
      <c r="P6" s="976" t="s">
        <v>1468</v>
      </c>
      <c r="Q6" s="976" t="str">
        <f>Etiquettes!$H$17</f>
        <v>Donnée collectée (valeur du flux ou coefficient)</v>
      </c>
    </row>
    <row r="7" spans="1:19">
      <c r="A7" t="str">
        <f>Produits!$B$11</f>
        <v>Graines collectées</v>
      </c>
      <c r="B7" t="str">
        <f>Secteurs!$B$5</f>
        <v>Trituration</v>
      </c>
      <c r="C7" s="100">
        <f>'Bilans Soja - FAM'!K27</f>
        <v>678</v>
      </c>
      <c r="E7" t="str">
        <f>Etiquettes!$C$3</f>
        <v>kt</v>
      </c>
      <c r="F7" s="21" t="str">
        <f>Etiquettes!$J$6</f>
        <v>Soja</v>
      </c>
      <c r="G7" s="21" t="str">
        <f>Etiquettes!$H$5</f>
        <v>2015-16</v>
      </c>
      <c r="H7" t="str">
        <f>Etiquettes!$C$4</f>
        <v>France entière</v>
      </c>
      <c r="I7" s="21" t="s">
        <v>1009</v>
      </c>
      <c r="K7" t="s">
        <v>741</v>
      </c>
      <c r="L7" s="101" t="s">
        <v>1482</v>
      </c>
      <c r="M7" s="21" t="str">
        <f>Etiquettes!$H$11</f>
        <v>Volume</v>
      </c>
      <c r="N7" s="21" t="str">
        <f t="shared" si="0"/>
        <v>Consommation de graines par la Trituration = 678 kt (Bilans par campagne - FranceAgriMer)</v>
      </c>
      <c r="O7" t="str">
        <f>Etiquettes!$I$15</f>
        <v>Robuste</v>
      </c>
      <c r="P7" s="976" t="s">
        <v>1468</v>
      </c>
      <c r="Q7" s="976" t="str">
        <f>Etiquettes!$H$17</f>
        <v>Donnée collectée (valeur du flux ou coefficient)</v>
      </c>
    </row>
    <row r="8" spans="1:19">
      <c r="A8" t="str">
        <f>Produits!$B$11</f>
        <v>Graines collectées</v>
      </c>
      <c r="B8" t="str">
        <f>Secteurs!$B$24</f>
        <v>FAB</v>
      </c>
      <c r="C8" s="100">
        <f>'Bilans Soja - FAM'!K28+'Bilans Soja - FAM'!K29</f>
        <v>149.52100000000002</v>
      </c>
      <c r="E8" t="str">
        <f>Etiquettes!$C$3</f>
        <v>kt</v>
      </c>
      <c r="F8" s="21" t="str">
        <f>Etiquettes!$J$6</f>
        <v>Soja</v>
      </c>
      <c r="G8" s="21" t="str">
        <f>Etiquettes!$H$5</f>
        <v>2015-16</v>
      </c>
      <c r="H8" t="str">
        <f>Etiquettes!$C$4</f>
        <v>France entière</v>
      </c>
      <c r="I8" s="21" t="s">
        <v>1011</v>
      </c>
      <c r="J8" s="101" t="s">
        <v>863</v>
      </c>
      <c r="K8" t="s">
        <v>741</v>
      </c>
      <c r="L8" s="101" t="s">
        <v>1482</v>
      </c>
      <c r="M8" s="21" t="str">
        <f>Etiquettes!$H$11</f>
        <v>Volume</v>
      </c>
      <c r="N8" s="21" t="str">
        <f t="shared" si="0"/>
        <v>Consommation de graines par les FAB = 150 kt (Bilans par campagne - FranceAgriMer)</v>
      </c>
      <c r="O8" t="str">
        <f>Etiquettes!$J$15</f>
        <v>Probable</v>
      </c>
      <c r="P8" s="976" t="s">
        <v>1468</v>
      </c>
      <c r="Q8" s="976" t="str">
        <f>Etiquettes!$H$17</f>
        <v>Donnée collectée (valeur du flux ou coefficient)</v>
      </c>
    </row>
    <row r="9" spans="1:19">
      <c r="A9" t="str">
        <f>Produits!$B$11</f>
        <v>Graines collectées</v>
      </c>
      <c r="B9" t="str">
        <f>Secteurs!$B$21</f>
        <v>Autres IAA</v>
      </c>
      <c r="C9" s="100">
        <f>'Bilans Soja - FAM'!K30</f>
        <v>50</v>
      </c>
      <c r="E9" t="str">
        <f>Etiquettes!$C$3</f>
        <v>kt</v>
      </c>
      <c r="F9" s="21" t="str">
        <f>Etiquettes!$J$6</f>
        <v>Soja</v>
      </c>
      <c r="G9" s="21" t="str">
        <f>Etiquettes!$H$5</f>
        <v>2015-16</v>
      </c>
      <c r="H9" t="str">
        <f>Etiquettes!$C$4</f>
        <v>France entière</v>
      </c>
      <c r="I9" s="21" t="s">
        <v>1008</v>
      </c>
      <c r="J9" s="101"/>
      <c r="K9" t="s">
        <v>741</v>
      </c>
      <c r="L9" s="101" t="s">
        <v>1482</v>
      </c>
      <c r="M9" s="21" t="str">
        <f>Etiquettes!$H$11</f>
        <v>Volume</v>
      </c>
      <c r="N9" s="21" t="str">
        <f t="shared" si="0"/>
        <v>Consommation de graines en alimentation humaine = 50 kt (Bilans par campagne - FranceAgriMer)</v>
      </c>
      <c r="O9" t="str">
        <f>Etiquettes!$J$15</f>
        <v>Probable</v>
      </c>
      <c r="P9" s="976" t="s">
        <v>1468</v>
      </c>
      <c r="Q9" s="976" t="str">
        <f>Etiquettes!$H$17</f>
        <v>Donnée collectée (valeur du flux ou coefficient)</v>
      </c>
    </row>
    <row r="10" spans="1:19">
      <c r="A10" t="str">
        <f>Produits!$B$11</f>
        <v>Graines collectées</v>
      </c>
      <c r="B10" t="str">
        <f>Secteurs!$B$44</f>
        <v>Semences certifiées</v>
      </c>
      <c r="C10" s="100">
        <f>'Bilans Soja - FAM'!K31</f>
        <v>8</v>
      </c>
      <c r="E10" t="str">
        <f>Etiquettes!$C$3</f>
        <v>kt</v>
      </c>
      <c r="F10" s="21" t="str">
        <f>Etiquettes!$J$6</f>
        <v>Soja</v>
      </c>
      <c r="G10" s="21" t="str">
        <f>Etiquettes!$H$5</f>
        <v>2015-16</v>
      </c>
      <c r="H10" t="str">
        <f>Etiquettes!$C$4</f>
        <v>France entière</v>
      </c>
      <c r="I10" s="21" t="s">
        <v>744</v>
      </c>
      <c r="J10" s="101"/>
      <c r="K10" t="s">
        <v>741</v>
      </c>
      <c r="L10" s="101" t="s">
        <v>1482</v>
      </c>
      <c r="M10" s="21" t="str">
        <f>Etiquettes!$H$11</f>
        <v>Volume</v>
      </c>
      <c r="N10" s="21" t="str">
        <f t="shared" si="0"/>
        <v>Production de semences certifiées = 8 kt (Bilans par campagne - FranceAgriMer)</v>
      </c>
      <c r="O10" t="str">
        <f>Etiquettes!$J$15</f>
        <v>Probable</v>
      </c>
      <c r="P10" s="976" t="s">
        <v>1468</v>
      </c>
      <c r="Q10" s="976" t="str">
        <f>Etiquettes!$H$17</f>
        <v>Donnée collectée (valeur du flux ou coefficient)</v>
      </c>
    </row>
    <row r="11" spans="1:19">
      <c r="A11" t="str">
        <f>Secteurs!$B$2</f>
        <v>Récolte</v>
      </c>
      <c r="B11" t="str">
        <f>Produits!$B$2</f>
        <v>Graines récoltées</v>
      </c>
      <c r="C11" s="100">
        <f>'Bilans Soja - FAM'!O6</f>
        <v>428.53140000000002</v>
      </c>
      <c r="E11" t="str">
        <f>Etiquettes!$C$3</f>
        <v>kt</v>
      </c>
      <c r="F11" s="21" t="str">
        <f>Etiquettes!$J$6</f>
        <v>Soja</v>
      </c>
      <c r="G11" s="21" t="str">
        <f>Etiquettes!$I$5</f>
        <v>2019-20</v>
      </c>
      <c r="H11" t="str">
        <f>Etiquettes!$C$4</f>
        <v>France entière</v>
      </c>
      <c r="I11" s="101" t="s">
        <v>722</v>
      </c>
      <c r="J11" s="101"/>
      <c r="K11" t="s">
        <v>741</v>
      </c>
      <c r="L11" s="101" t="s">
        <v>1482</v>
      </c>
      <c r="M11" s="21" t="str">
        <f>Etiquettes!$H$11</f>
        <v>Volume</v>
      </c>
      <c r="N11" s="21" t="str">
        <f t="shared" si="0"/>
        <v>Récolte = 429 kt (Bilans par campagne - FranceAgriMer)</v>
      </c>
      <c r="O11" t="str">
        <f>Etiquettes!$H$15</f>
        <v>Fiable</v>
      </c>
      <c r="P11" s="976" t="s">
        <v>1468</v>
      </c>
      <c r="Q11" s="976" t="str">
        <f>Etiquettes!$H$17</f>
        <v>Donnée collectée (valeur du flux ou coefficient)</v>
      </c>
    </row>
    <row r="12" spans="1:19">
      <c r="A12" t="str">
        <f>Secteurs!$B$3</f>
        <v>Ferme</v>
      </c>
      <c r="B12" t="str">
        <f>Produits!$B$4</f>
        <v>Graines autoconsommées</v>
      </c>
      <c r="C12" s="858">
        <f>'Bilans Soja - FAM'!O8</f>
        <v>66.615000000000066</v>
      </c>
      <c r="E12" t="str">
        <f>Etiquettes!$C$3</f>
        <v>kt</v>
      </c>
      <c r="F12" s="21" t="str">
        <f>Etiquettes!$J$6</f>
        <v>Soja</v>
      </c>
      <c r="G12" s="21" t="str">
        <f>Etiquettes!$I$5</f>
        <v>2019-20</v>
      </c>
      <c r="H12" t="str">
        <f>Etiquettes!$C$4</f>
        <v>France entière</v>
      </c>
      <c r="I12" s="21" t="s">
        <v>742</v>
      </c>
      <c r="J12" s="101"/>
      <c r="K12" t="s">
        <v>741</v>
      </c>
      <c r="L12" s="101" t="s">
        <v>1482</v>
      </c>
      <c r="M12" s="21" t="str">
        <f>Etiquettes!$H$11</f>
        <v>Volume</v>
      </c>
      <c r="N12" s="21" t="str">
        <f t="shared" si="0"/>
        <v>Autoconsommation à la ferme = 67 kt (Bilans par campagne - FranceAgriMer)</v>
      </c>
      <c r="O12" t="str">
        <f>Etiquettes!$K$15</f>
        <v>Approximative</v>
      </c>
      <c r="P12" s="976" t="s">
        <v>1468</v>
      </c>
      <c r="Q12" s="976" t="str">
        <f>Etiquettes!$H$17</f>
        <v>Donnée collectée (valeur du flux ou coefficient)</v>
      </c>
    </row>
    <row r="13" spans="1:19">
      <c r="A13" t="str">
        <f>Produits!$B$2</f>
        <v>Graines récoltées</v>
      </c>
      <c r="B13" t="str">
        <f>Secteurs!$B$4</f>
        <v>OS</v>
      </c>
      <c r="C13" s="100">
        <f>'Bilans Soja - FAM'!O16</f>
        <v>361.91639999999995</v>
      </c>
      <c r="E13" t="str">
        <f>Etiquettes!$C$3</f>
        <v>kt</v>
      </c>
      <c r="F13" s="21" t="str">
        <f>Etiquettes!$J$6</f>
        <v>Soja</v>
      </c>
      <c r="G13" s="21" t="str">
        <f>Etiquettes!$I$5</f>
        <v>2019-20</v>
      </c>
      <c r="H13" t="str">
        <f>Etiquettes!$C$4</f>
        <v>France entière</v>
      </c>
      <c r="I13" s="21" t="s">
        <v>743</v>
      </c>
      <c r="J13" s="101"/>
      <c r="K13" t="s">
        <v>741</v>
      </c>
      <c r="L13" s="101" t="s">
        <v>1482</v>
      </c>
      <c r="M13" s="21" t="str">
        <f>Etiquettes!$H$11</f>
        <v>Volume</v>
      </c>
      <c r="N13" s="21" t="str">
        <f t="shared" si="0"/>
        <v>Collecte = 362 kt (Bilans par campagne - FranceAgriMer)</v>
      </c>
      <c r="O13" t="str">
        <f>Etiquettes!$I$15</f>
        <v>Robuste</v>
      </c>
      <c r="P13" s="976" t="s">
        <v>1468</v>
      </c>
      <c r="Q13" s="976" t="str">
        <f>Etiquettes!$H$17</f>
        <v>Donnée collectée (valeur du flux ou coefficient)</v>
      </c>
    </row>
    <row r="14" spans="1:19">
      <c r="A14" t="str">
        <f>Produits!$B$7</f>
        <v>Stock initial collecteurs</v>
      </c>
      <c r="B14" t="str">
        <f>Secteurs!$B$4</f>
        <v>OS</v>
      </c>
      <c r="C14" s="100">
        <f>'Bilans Soja - FAM'!N40</f>
        <v>92</v>
      </c>
      <c r="E14" t="str">
        <f>Etiquettes!$C$3</f>
        <v>kt</v>
      </c>
      <c r="F14" s="21" t="str">
        <f>Etiquettes!$J$6</f>
        <v>Soja</v>
      </c>
      <c r="G14" s="21" t="str">
        <f>Etiquettes!$I$5</f>
        <v>2019-20</v>
      </c>
      <c r="H14" t="str">
        <f>Etiquettes!$C$4</f>
        <v>France entière</v>
      </c>
      <c r="I14" s="21" t="s">
        <v>712</v>
      </c>
      <c r="J14" s="101"/>
      <c r="K14" t="s">
        <v>741</v>
      </c>
      <c r="L14" s="101" t="s">
        <v>1482</v>
      </c>
      <c r="M14" s="21" t="str">
        <f>Etiquettes!$H$11</f>
        <v>Volume</v>
      </c>
      <c r="N14" s="21" t="str">
        <f t="shared" si="0"/>
        <v>Stock initial collecteurs = 92 kt (Bilans par campagne - FranceAgriMer)</v>
      </c>
      <c r="O14" t="str">
        <f>Etiquettes!$I$15</f>
        <v>Robuste</v>
      </c>
      <c r="P14" s="976" t="s">
        <v>1468</v>
      </c>
      <c r="Q14" s="976" t="str">
        <f>Etiquettes!$H$17</f>
        <v>Donnée collectée (valeur du flux ou coefficient)</v>
      </c>
    </row>
    <row r="15" spans="1:19">
      <c r="A15" t="str">
        <f>Secteurs!$B$4</f>
        <v>OS</v>
      </c>
      <c r="B15" t="str">
        <f>Produits!$B$10</f>
        <v>Stock final collecteurs</v>
      </c>
      <c r="C15" s="100">
        <f>'Bilans Soja - FAM'!O40</f>
        <v>71.9178</v>
      </c>
      <c r="E15" t="str">
        <f>Etiquettes!$C$3</f>
        <v>kt</v>
      </c>
      <c r="F15" s="21" t="str">
        <f>Etiquettes!$J$6</f>
        <v>Soja</v>
      </c>
      <c r="G15" s="21" t="str">
        <f>Etiquettes!$I$5</f>
        <v>2019-20</v>
      </c>
      <c r="H15" t="str">
        <f>Etiquettes!$C$4</f>
        <v>France entière</v>
      </c>
      <c r="I15" s="21" t="s">
        <v>715</v>
      </c>
      <c r="J15" s="101"/>
      <c r="K15" t="s">
        <v>741</v>
      </c>
      <c r="L15" s="101" t="s">
        <v>1482</v>
      </c>
      <c r="M15" s="21" t="str">
        <f>Etiquettes!$H$11</f>
        <v>Volume</v>
      </c>
      <c r="N15" s="21" t="str">
        <f t="shared" si="0"/>
        <v>Stock final collecteurs = 72 kt (Bilans par campagne - FranceAgriMer)</v>
      </c>
      <c r="O15" t="str">
        <f>Etiquettes!$I$15</f>
        <v>Robuste</v>
      </c>
      <c r="P15" s="976" t="s">
        <v>1468</v>
      </c>
      <c r="Q15" s="976" t="str">
        <f>Etiquettes!$H$17</f>
        <v>Donnée collectée (valeur du flux ou coefficient)</v>
      </c>
    </row>
    <row r="16" spans="1:19">
      <c r="A16" t="str">
        <f>Produits!$B$11</f>
        <v>Graines collectées</v>
      </c>
      <c r="B16" t="str">
        <f>Secteurs!$B$5</f>
        <v>Trituration</v>
      </c>
      <c r="C16" s="100">
        <f>'Bilans Soja - FAM'!O27</f>
        <v>669.8281760000001</v>
      </c>
      <c r="E16" t="str">
        <f>Etiquettes!$C$3</f>
        <v>kt</v>
      </c>
      <c r="F16" s="21" t="str">
        <f>Etiquettes!$J$6</f>
        <v>Soja</v>
      </c>
      <c r="G16" s="21" t="str">
        <f>Etiquettes!$I$5</f>
        <v>2019-20</v>
      </c>
      <c r="H16" t="str">
        <f>Etiquettes!$C$4</f>
        <v>France entière</v>
      </c>
      <c r="I16" s="21" t="s">
        <v>1009</v>
      </c>
      <c r="K16" t="s">
        <v>741</v>
      </c>
      <c r="L16" s="101" t="s">
        <v>1482</v>
      </c>
      <c r="M16" s="21" t="str">
        <f>Etiquettes!$H$11</f>
        <v>Volume</v>
      </c>
      <c r="N16" s="21" t="str">
        <f t="shared" si="0"/>
        <v>Consommation de graines par la Trituration = 670 kt (Bilans par campagne - FranceAgriMer)</v>
      </c>
      <c r="O16" t="str">
        <f>Etiquettes!$I$15</f>
        <v>Robuste</v>
      </c>
      <c r="P16" s="976" t="s">
        <v>1468</v>
      </c>
      <c r="Q16" s="976" t="str">
        <f>Etiquettes!$H$17</f>
        <v>Donnée collectée (valeur du flux ou coefficient)</v>
      </c>
    </row>
    <row r="17" spans="1:18">
      <c r="A17" t="str">
        <f>Produits!$B$11</f>
        <v>Graines collectées</v>
      </c>
      <c r="B17" t="str">
        <f>Secteurs!$B$24</f>
        <v>FAB</v>
      </c>
      <c r="C17" s="100">
        <f>'Bilans Soja - FAM'!O28+'Bilans Soja - FAM'!O29</f>
        <v>155.32632799999999</v>
      </c>
      <c r="E17" t="str">
        <f>Etiquettes!$C$3</f>
        <v>kt</v>
      </c>
      <c r="F17" s="21" t="str">
        <f>Etiquettes!$J$6</f>
        <v>Soja</v>
      </c>
      <c r="G17" s="21" t="str">
        <f>Etiquettes!$I$5</f>
        <v>2019-20</v>
      </c>
      <c r="H17" t="str">
        <f>Etiquettes!$C$4</f>
        <v>France entière</v>
      </c>
      <c r="I17" s="21" t="s">
        <v>1011</v>
      </c>
      <c r="J17" s="101" t="s">
        <v>863</v>
      </c>
      <c r="K17" t="s">
        <v>741</v>
      </c>
      <c r="L17" s="101" t="s">
        <v>1482</v>
      </c>
      <c r="M17" s="21" t="str">
        <f>Etiquettes!$H$11</f>
        <v>Volume</v>
      </c>
      <c r="N17" s="21" t="str">
        <f t="shared" si="0"/>
        <v>Consommation de graines par les FAB = 155 kt (Bilans par campagne - FranceAgriMer)</v>
      </c>
      <c r="O17" t="str">
        <f>Etiquettes!$J$15</f>
        <v>Probable</v>
      </c>
      <c r="P17" s="976" t="s">
        <v>1468</v>
      </c>
      <c r="Q17" s="976" t="str">
        <f>Etiquettes!$H$17</f>
        <v>Donnée collectée (valeur du flux ou coefficient)</v>
      </c>
    </row>
    <row r="18" spans="1:18">
      <c r="A18" t="str">
        <f>Produits!$B$11</f>
        <v>Graines collectées</v>
      </c>
      <c r="B18" t="str">
        <f>Secteurs!$B$21</f>
        <v>Autres IAA</v>
      </c>
      <c r="C18" s="100">
        <f>'Bilans Soja - FAM'!O30</f>
        <v>45</v>
      </c>
      <c r="E18" t="str">
        <f>Etiquettes!$C$3</f>
        <v>kt</v>
      </c>
      <c r="F18" s="21" t="str">
        <f>Etiquettes!$J$6</f>
        <v>Soja</v>
      </c>
      <c r="G18" s="21" t="str">
        <f>Etiquettes!$I$5</f>
        <v>2019-20</v>
      </c>
      <c r="H18" t="str">
        <f>Etiquettes!$C$4</f>
        <v>France entière</v>
      </c>
      <c r="I18" s="21" t="s">
        <v>1008</v>
      </c>
      <c r="J18" s="101"/>
      <c r="K18" t="s">
        <v>741</v>
      </c>
      <c r="L18" s="101" t="s">
        <v>1482</v>
      </c>
      <c r="M18" s="21" t="str">
        <f>Etiquettes!$H$11</f>
        <v>Volume</v>
      </c>
      <c r="N18" s="21" t="str">
        <f t="shared" si="0"/>
        <v>Consommation de graines en alimentation humaine = 45 kt (Bilans par campagne - FranceAgriMer)</v>
      </c>
      <c r="O18" t="str">
        <f>Etiquettes!$J$15</f>
        <v>Probable</v>
      </c>
      <c r="P18" s="976" t="s">
        <v>1468</v>
      </c>
      <c r="Q18" s="976" t="str">
        <f>Etiquettes!$H$17</f>
        <v>Donnée collectée (valeur du flux ou coefficient)</v>
      </c>
    </row>
    <row r="19" spans="1:18">
      <c r="A19" t="str">
        <f>Produits!$B$11</f>
        <v>Graines collectées</v>
      </c>
      <c r="B19" t="str">
        <f>Secteurs!$B$44</f>
        <v>Semences certifiées</v>
      </c>
      <c r="C19" s="100">
        <f>'Bilans Soja - FAM'!O31</f>
        <v>8.6123999999999992</v>
      </c>
      <c r="E19" t="str">
        <f>Etiquettes!$C$3</f>
        <v>kt</v>
      </c>
      <c r="F19" s="21" t="str">
        <f>Etiquettes!$J$6</f>
        <v>Soja</v>
      </c>
      <c r="G19" s="21" t="str">
        <f>Etiquettes!$I$5</f>
        <v>2019-20</v>
      </c>
      <c r="H19" t="str">
        <f>Etiquettes!$C$4</f>
        <v>France entière</v>
      </c>
      <c r="I19" s="21" t="s">
        <v>744</v>
      </c>
      <c r="J19" s="101"/>
      <c r="K19" t="s">
        <v>741</v>
      </c>
      <c r="L19" s="101" t="s">
        <v>1482</v>
      </c>
      <c r="M19" s="21" t="str">
        <f>Etiquettes!$H$11</f>
        <v>Volume</v>
      </c>
      <c r="N19" s="21" t="str">
        <f t="shared" si="0"/>
        <v>Production de semences certifiées = 9 kt (Bilans par campagne - FranceAgriMer)</v>
      </c>
      <c r="O19" t="str">
        <f>Etiquettes!$J$15</f>
        <v>Probable</v>
      </c>
      <c r="P19" s="976" t="s">
        <v>1468</v>
      </c>
      <c r="Q19" s="976" t="str">
        <f>Etiquettes!$H$17</f>
        <v>Donnée collectée (valeur du flux ou coefficient)</v>
      </c>
    </row>
    <row r="20" spans="1:18">
      <c r="A20" t="str">
        <f>Secteurs!$B$2</f>
        <v>Récolte</v>
      </c>
      <c r="B20" t="str">
        <f>Produits!$B$2</f>
        <v>Graines récoltées</v>
      </c>
      <c r="C20" s="100">
        <f>'Bilans Soja - FAM'!S6</f>
        <v>387.8229</v>
      </c>
      <c r="E20" t="str">
        <f>Etiquettes!$C$3</f>
        <v>kt</v>
      </c>
      <c r="F20" s="21" t="str">
        <f>Etiquettes!$J$6</f>
        <v>Soja</v>
      </c>
      <c r="G20" s="21" t="str">
        <f>Etiquettes!$J$5</f>
        <v>2023-24</v>
      </c>
      <c r="H20" t="str">
        <f>Etiquettes!$C$4</f>
        <v>France entière</v>
      </c>
      <c r="I20" s="101" t="s">
        <v>722</v>
      </c>
      <c r="J20" s="101"/>
      <c r="K20" t="s">
        <v>741</v>
      </c>
      <c r="L20" s="101" t="s">
        <v>1482</v>
      </c>
      <c r="M20" s="21" t="str">
        <f>Etiquettes!$H$11</f>
        <v>Volume</v>
      </c>
      <c r="N20" s="21" t="str">
        <f t="shared" si="0"/>
        <v>Récolte = 388 kt (Bilans par campagne - FranceAgriMer)</v>
      </c>
      <c r="O20" t="str">
        <f>Etiquettes!$H$15</f>
        <v>Fiable</v>
      </c>
      <c r="P20" s="976" t="s">
        <v>1468</v>
      </c>
      <c r="Q20" s="976" t="str">
        <f>Etiquettes!$H$17</f>
        <v>Donnée collectée (valeur du flux ou coefficient)</v>
      </c>
    </row>
    <row r="21" spans="1:18">
      <c r="A21" t="str">
        <f>Secteurs!$B$3</f>
        <v>Ferme</v>
      </c>
      <c r="B21" t="str">
        <f>Produits!$B$4</f>
        <v>Graines autoconsommées</v>
      </c>
      <c r="C21" s="858">
        <f>'Bilans Soja - FAM'!S8</f>
        <v>67.927700000000016</v>
      </c>
      <c r="E21" t="str">
        <f>Etiquettes!$C$3</f>
        <v>kt</v>
      </c>
      <c r="F21" s="21" t="str">
        <f>Etiquettes!$J$6</f>
        <v>Soja</v>
      </c>
      <c r="G21" s="21" t="str">
        <f>Etiquettes!$J$5</f>
        <v>2023-24</v>
      </c>
      <c r="H21" t="str">
        <f>Etiquettes!$C$4</f>
        <v>France entière</v>
      </c>
      <c r="I21" s="21" t="s">
        <v>742</v>
      </c>
      <c r="J21" s="101"/>
      <c r="K21" t="s">
        <v>741</v>
      </c>
      <c r="L21" s="101" t="s">
        <v>1482</v>
      </c>
      <c r="M21" s="21" t="str">
        <f>Etiquettes!$H$11</f>
        <v>Volume</v>
      </c>
      <c r="N21" s="21" t="str">
        <f t="shared" si="0"/>
        <v>Autoconsommation à la ferme = 68 kt (Bilans par campagne - FranceAgriMer)</v>
      </c>
      <c r="O21" t="str">
        <f>Etiquettes!$K$15</f>
        <v>Approximative</v>
      </c>
      <c r="P21" s="976" t="s">
        <v>1468</v>
      </c>
      <c r="Q21" s="976" t="str">
        <f>Etiquettes!$H$17</f>
        <v>Donnée collectée (valeur du flux ou coefficient)</v>
      </c>
    </row>
    <row r="22" spans="1:18">
      <c r="A22" t="str">
        <f>Produits!$B$2</f>
        <v>Graines récoltées</v>
      </c>
      <c r="B22" t="str">
        <f>Secteurs!$B$4</f>
        <v>OS</v>
      </c>
      <c r="C22" s="100">
        <f>'Bilans Soja - FAM'!S16</f>
        <v>319.89519999999999</v>
      </c>
      <c r="E22" t="str">
        <f>Etiquettes!$C$3</f>
        <v>kt</v>
      </c>
      <c r="F22" s="21" t="str">
        <f>Etiquettes!$J$6</f>
        <v>Soja</v>
      </c>
      <c r="G22" s="21" t="str">
        <f>Etiquettes!$J$5</f>
        <v>2023-24</v>
      </c>
      <c r="H22" t="str">
        <f>Etiquettes!$C$4</f>
        <v>France entière</v>
      </c>
      <c r="I22" s="21" t="s">
        <v>743</v>
      </c>
      <c r="J22" s="101"/>
      <c r="K22" t="s">
        <v>741</v>
      </c>
      <c r="L22" s="101" t="s">
        <v>1482</v>
      </c>
      <c r="M22" s="21" t="str">
        <f>Etiquettes!$H$11</f>
        <v>Volume</v>
      </c>
      <c r="N22" s="21" t="str">
        <f t="shared" si="0"/>
        <v>Collecte = 320 kt (Bilans par campagne - FranceAgriMer)</v>
      </c>
      <c r="O22" t="str">
        <f>Etiquettes!$I$15</f>
        <v>Robuste</v>
      </c>
      <c r="P22" s="976" t="s">
        <v>1468</v>
      </c>
      <c r="Q22" s="976" t="str">
        <f>Etiquettes!$H$17</f>
        <v>Donnée collectée (valeur du flux ou coefficient)</v>
      </c>
    </row>
    <row r="23" spans="1:18">
      <c r="A23" t="str">
        <f>Produits!$B$7</f>
        <v>Stock initial collecteurs</v>
      </c>
      <c r="B23" t="str">
        <f>Secteurs!$B$4</f>
        <v>OS</v>
      </c>
      <c r="C23" s="100">
        <f>'Bilans Soja - FAM'!R40</f>
        <v>103.04610000000001</v>
      </c>
      <c r="E23" t="str">
        <f>Etiquettes!$C$3</f>
        <v>kt</v>
      </c>
      <c r="F23" s="21" t="str">
        <f>Etiquettes!$J$6</f>
        <v>Soja</v>
      </c>
      <c r="G23" s="21" t="str">
        <f>Etiquettes!$J$5</f>
        <v>2023-24</v>
      </c>
      <c r="H23" t="str">
        <f>Etiquettes!$C$4</f>
        <v>France entière</v>
      </c>
      <c r="I23" s="21" t="s">
        <v>712</v>
      </c>
      <c r="J23" s="101"/>
      <c r="K23" t="s">
        <v>741</v>
      </c>
      <c r="L23" s="101" t="s">
        <v>1482</v>
      </c>
      <c r="M23" s="21" t="str">
        <f>Etiquettes!$H$11</f>
        <v>Volume</v>
      </c>
      <c r="N23" s="21" t="str">
        <f t="shared" si="0"/>
        <v>Stock initial collecteurs = 103 kt (Bilans par campagne - FranceAgriMer)</v>
      </c>
      <c r="O23" t="str">
        <f>Etiquettes!$I$15</f>
        <v>Robuste</v>
      </c>
      <c r="P23" s="976" t="s">
        <v>1468</v>
      </c>
      <c r="Q23" s="976" t="str">
        <f>Etiquettes!$H$17</f>
        <v>Donnée collectée (valeur du flux ou coefficient)</v>
      </c>
    </row>
    <row r="24" spans="1:18">
      <c r="A24" t="str">
        <f>Secteurs!$B$4</f>
        <v>OS</v>
      </c>
      <c r="B24" t="str">
        <f>Produits!$B$10</f>
        <v>Stock final collecteurs</v>
      </c>
      <c r="C24" s="100">
        <f>'Bilans Soja - FAM'!S40</f>
        <v>65.262799999999999</v>
      </c>
      <c r="E24" t="str">
        <f>Etiquettes!$C$3</f>
        <v>kt</v>
      </c>
      <c r="F24" s="21" t="str">
        <f>Etiquettes!$J$6</f>
        <v>Soja</v>
      </c>
      <c r="G24" s="21" t="str">
        <f>Etiquettes!$J$5</f>
        <v>2023-24</v>
      </c>
      <c r="H24" t="str">
        <f>Etiquettes!$C$4</f>
        <v>France entière</v>
      </c>
      <c r="I24" s="21" t="s">
        <v>715</v>
      </c>
      <c r="J24" s="101"/>
      <c r="K24" t="s">
        <v>741</v>
      </c>
      <c r="L24" s="101" t="s">
        <v>1482</v>
      </c>
      <c r="M24" s="21" t="str">
        <f>Etiquettes!$H$11</f>
        <v>Volume</v>
      </c>
      <c r="N24" s="21" t="str">
        <f t="shared" si="0"/>
        <v>Stock final collecteurs = 65 kt (Bilans par campagne - FranceAgriMer)</v>
      </c>
      <c r="O24" t="str">
        <f>Etiquettes!$I$15</f>
        <v>Robuste</v>
      </c>
      <c r="P24" s="976" t="s">
        <v>1468</v>
      </c>
      <c r="Q24" s="976" t="str">
        <f>Etiquettes!$H$17</f>
        <v>Donnée collectée (valeur du flux ou coefficient)</v>
      </c>
    </row>
    <row r="25" spans="1:18">
      <c r="A25" t="str">
        <f>Produits!$B$11</f>
        <v>Graines collectées</v>
      </c>
      <c r="B25" t="str">
        <f>Secteurs!$B$5</f>
        <v>Trituration</v>
      </c>
      <c r="C25" s="100">
        <f>'Bilans Soja - FAM'!S27</f>
        <v>510</v>
      </c>
      <c r="E25" t="str">
        <f>Etiquettes!$C$3</f>
        <v>kt</v>
      </c>
      <c r="F25" s="21" t="str">
        <f>Etiquettes!$J$6</f>
        <v>Soja</v>
      </c>
      <c r="G25" s="21" t="str">
        <f>Etiquettes!$J$5</f>
        <v>2023-24</v>
      </c>
      <c r="H25" t="str">
        <f>Etiquettes!$C$4</f>
        <v>France entière</v>
      </c>
      <c r="I25" s="21" t="s">
        <v>1009</v>
      </c>
      <c r="K25" t="s">
        <v>741</v>
      </c>
      <c r="L25" s="101" t="s">
        <v>1482</v>
      </c>
      <c r="M25" s="21" t="str">
        <f>Etiquettes!$H$11</f>
        <v>Volume</v>
      </c>
      <c r="N25" s="21" t="str">
        <f t="shared" si="0"/>
        <v>Consommation de graines par la Trituration = 510 kt (Bilans par campagne - FranceAgriMer)</v>
      </c>
      <c r="O25" t="str">
        <f>Etiquettes!$I$15</f>
        <v>Robuste</v>
      </c>
      <c r="P25" s="976" t="s">
        <v>1468</v>
      </c>
      <c r="Q25" s="976" t="str">
        <f>Etiquettes!$H$17</f>
        <v>Donnée collectée (valeur du flux ou coefficient)</v>
      </c>
    </row>
    <row r="26" spans="1:18">
      <c r="A26" t="str">
        <f>Produits!$B$11</f>
        <v>Graines collectées</v>
      </c>
      <c r="B26" t="str">
        <f>Secteurs!$B$24</f>
        <v>FAB</v>
      </c>
      <c r="C26" s="100">
        <f>'Bilans Soja - FAM'!S28+'Bilans Soja - FAM'!S29</f>
        <v>77.651089999999996</v>
      </c>
      <c r="E26" t="str">
        <f>Etiquettes!$C$3</f>
        <v>kt</v>
      </c>
      <c r="F26" s="21" t="str">
        <f>Etiquettes!$J$6</f>
        <v>Soja</v>
      </c>
      <c r="G26" s="21" t="str">
        <f>Etiquettes!$J$5</f>
        <v>2023-24</v>
      </c>
      <c r="H26" t="str">
        <f>Etiquettes!$C$4</f>
        <v>France entière</v>
      </c>
      <c r="I26" s="21" t="s">
        <v>1011</v>
      </c>
      <c r="K26" t="s">
        <v>741</v>
      </c>
      <c r="L26" s="101" t="s">
        <v>1482</v>
      </c>
      <c r="M26" s="21" t="str">
        <f>Etiquettes!$H$11</f>
        <v>Volume</v>
      </c>
      <c r="N26" s="21" t="str">
        <f t="shared" si="0"/>
        <v>Consommation de graines par les FAB = 78 kt (Bilans par campagne - FranceAgriMer)</v>
      </c>
      <c r="O26" t="str">
        <f>Etiquettes!$J$15</f>
        <v>Probable</v>
      </c>
      <c r="P26" s="976" t="s">
        <v>1468</v>
      </c>
      <c r="Q26" s="976" t="str">
        <f>Etiquettes!$H$17</f>
        <v>Donnée collectée (valeur du flux ou coefficient)</v>
      </c>
      <c r="R26" s="101" t="s">
        <v>1293</v>
      </c>
    </row>
    <row r="27" spans="1:18">
      <c r="A27" t="str">
        <f>Produits!$B$11</f>
        <v>Graines collectées</v>
      </c>
      <c r="B27" t="str">
        <f>Secteurs!$B$21</f>
        <v>Autres IAA</v>
      </c>
      <c r="C27" s="100">
        <f>'Bilans Soja - FAM'!S30</f>
        <v>45</v>
      </c>
      <c r="E27" t="str">
        <f>Etiquettes!$C$3</f>
        <v>kt</v>
      </c>
      <c r="F27" s="21" t="str">
        <f>Etiquettes!$J$6</f>
        <v>Soja</v>
      </c>
      <c r="G27" s="21" t="str">
        <f>Etiquettes!$J$5</f>
        <v>2023-24</v>
      </c>
      <c r="H27" t="str">
        <f>Etiquettes!$C$4</f>
        <v>France entière</v>
      </c>
      <c r="I27" s="21" t="s">
        <v>1008</v>
      </c>
      <c r="K27" t="s">
        <v>741</v>
      </c>
      <c r="L27" s="101" t="s">
        <v>1482</v>
      </c>
      <c r="M27" s="21" t="str">
        <f>Etiquettes!$H$11</f>
        <v>Volume</v>
      </c>
      <c r="N27" s="21" t="str">
        <f t="shared" si="0"/>
        <v>Consommation de graines en alimentation humaine = 45 kt (Bilans par campagne - FranceAgriMer)</v>
      </c>
      <c r="O27" t="str">
        <f>Etiquettes!$J$15</f>
        <v>Probable</v>
      </c>
      <c r="P27" s="976" t="s">
        <v>1468</v>
      </c>
      <c r="Q27" s="976" t="str">
        <f>Etiquettes!$H$17</f>
        <v>Donnée collectée (valeur du flux ou coefficient)</v>
      </c>
    </row>
    <row r="28" spans="1:18">
      <c r="A28" t="str">
        <f>Produits!$B$11</f>
        <v>Graines collectées</v>
      </c>
      <c r="B28" t="str">
        <f>Secteurs!$B$44</f>
        <v>Semences certifiées</v>
      </c>
      <c r="C28" s="100">
        <f>'Bilans Soja - FAM'!S31</f>
        <v>12</v>
      </c>
      <c r="E28" t="str">
        <f>Etiquettes!$C$3</f>
        <v>kt</v>
      </c>
      <c r="F28" s="21" t="str">
        <f>Etiquettes!$J$6</f>
        <v>Soja</v>
      </c>
      <c r="G28" s="21" t="str">
        <f>Etiquettes!$J$5</f>
        <v>2023-24</v>
      </c>
      <c r="H28" t="str">
        <f>Etiquettes!$C$4</f>
        <v>France entière</v>
      </c>
      <c r="I28" s="21" t="s">
        <v>744</v>
      </c>
      <c r="K28" t="s">
        <v>741</v>
      </c>
      <c r="L28" s="101" t="s">
        <v>1482</v>
      </c>
      <c r="M28" s="21" t="str">
        <f>Etiquettes!$H$11</f>
        <v>Volume</v>
      </c>
      <c r="N28" s="21" t="str">
        <f t="shared" si="0"/>
        <v>Production de semences certifiées = 12 kt (Bilans par campagne - FranceAgriMer)</v>
      </c>
      <c r="O28" t="str">
        <f>Etiquettes!$J$15</f>
        <v>Probable</v>
      </c>
      <c r="P28" s="976" t="s">
        <v>1468</v>
      </c>
      <c r="Q28" s="976" t="str">
        <f>Etiquettes!$H$17</f>
        <v>Donnée collectée (valeur du flux ou coefficient)</v>
      </c>
    </row>
    <row r="29" spans="1:18">
      <c r="D29" s="100"/>
    </row>
    <row r="30" spans="1:18">
      <c r="D30" s="858"/>
    </row>
    <row r="31" spans="1:18">
      <c r="D31" s="100"/>
    </row>
    <row r="32" spans="1:18">
      <c r="D32" s="100"/>
    </row>
    <row r="33" spans="4:4">
      <c r="D33" s="100"/>
    </row>
    <row r="34" spans="4:4">
      <c r="D34" s="100"/>
    </row>
    <row r="35" spans="4:4">
      <c r="D35" s="100"/>
    </row>
    <row r="36" spans="4:4">
      <c r="D36" s="100"/>
    </row>
    <row r="37" spans="4:4">
      <c r="D37" s="100"/>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18592-670F-429C-8064-B6197AE8C751}">
  <sheetPr>
    <tabColor rgb="FFFFC000"/>
    <pageSetUpPr fitToPage="1"/>
  </sheetPr>
  <dimension ref="A1:U53"/>
  <sheetViews>
    <sheetView zoomScale="85" zoomScaleNormal="85" workbookViewId="0">
      <selection activeCell="U3" sqref="U3"/>
    </sheetView>
  </sheetViews>
  <sheetFormatPr baseColWidth="10" defaultRowHeight="14.4"/>
  <cols>
    <col min="1" max="1" width="42.33203125" style="104" customWidth="1"/>
    <col min="2" max="8" width="13" style="104" customWidth="1"/>
    <col min="9" max="11" width="13" style="104" customWidth="1" collapsed="1"/>
    <col min="12" max="14" width="13" style="104" customWidth="1"/>
    <col min="15" max="15" width="13.44140625" style="104" customWidth="1"/>
    <col min="16" max="16" width="8.5546875" style="104" customWidth="1"/>
    <col min="17" max="17" width="5.6640625" style="104" customWidth="1"/>
    <col min="18" max="16384" width="11.5546875" style="104"/>
  </cols>
  <sheetData>
    <row r="1" spans="1:21" ht="60" customHeight="1" thickBot="1">
      <c r="B1" s="1029" t="s">
        <v>810</v>
      </c>
      <c r="C1" s="1029"/>
      <c r="D1" s="1029"/>
      <c r="E1" s="1029"/>
      <c r="F1" s="1029"/>
      <c r="G1" s="1029"/>
      <c r="H1" s="1029"/>
      <c r="I1" s="1029"/>
      <c r="J1" s="1029"/>
      <c r="K1" s="1029"/>
      <c r="L1" s="1029"/>
      <c r="M1" s="1029"/>
      <c r="N1" s="1029"/>
      <c r="O1" s="631" t="s">
        <v>810</v>
      </c>
      <c r="P1" s="631"/>
      <c r="Q1" s="631"/>
      <c r="R1" s="631"/>
      <c r="S1" s="631"/>
      <c r="T1" s="631"/>
      <c r="U1" s="631"/>
    </row>
    <row r="2" spans="1:21" ht="20.25" customHeight="1">
      <c r="A2" s="227" t="s">
        <v>756</v>
      </c>
      <c r="B2" s="106" t="s">
        <v>114</v>
      </c>
      <c r="C2" s="107" t="s">
        <v>115</v>
      </c>
      <c r="D2" s="107" t="s">
        <v>757</v>
      </c>
      <c r="E2" s="107" t="s">
        <v>801</v>
      </c>
      <c r="F2" s="302" t="s">
        <v>811</v>
      </c>
      <c r="G2" s="303" t="s">
        <v>760</v>
      </c>
      <c r="H2" s="107" t="s">
        <v>119</v>
      </c>
      <c r="I2" s="303" t="s">
        <v>812</v>
      </c>
      <c r="J2" s="107" t="s">
        <v>813</v>
      </c>
      <c r="K2" s="107" t="s">
        <v>814</v>
      </c>
      <c r="L2" s="107" t="s">
        <v>123</v>
      </c>
      <c r="M2" s="107" t="s">
        <v>124</v>
      </c>
      <c r="N2" s="107" t="s">
        <v>125</v>
      </c>
      <c r="O2" s="632" t="s">
        <v>126</v>
      </c>
      <c r="P2" s="632" t="s">
        <v>128</v>
      </c>
      <c r="Q2" s="633" t="s">
        <v>129</v>
      </c>
      <c r="R2" s="634" t="s">
        <v>857</v>
      </c>
      <c r="S2" s="475" t="s">
        <v>131</v>
      </c>
      <c r="T2" s="632" t="s">
        <v>131</v>
      </c>
      <c r="U2" s="475" t="s">
        <v>858</v>
      </c>
    </row>
    <row r="3" spans="1:21" ht="25.5" customHeight="1" thickBot="1">
      <c r="A3" s="304"/>
      <c r="B3" s="305"/>
      <c r="C3" s="233"/>
      <c r="D3" s="233"/>
      <c r="E3" s="233"/>
      <c r="F3" s="233"/>
      <c r="G3" s="233"/>
      <c r="H3" s="233"/>
      <c r="I3" s="233"/>
      <c r="J3" s="234"/>
      <c r="K3" s="234"/>
      <c r="L3" s="234"/>
      <c r="M3" s="306" t="s">
        <v>815</v>
      </c>
      <c r="N3" s="307">
        <v>43608</v>
      </c>
      <c r="O3" s="477"/>
      <c r="P3" s="477"/>
      <c r="Q3" s="576"/>
      <c r="R3" s="635"/>
      <c r="S3" s="478" t="s">
        <v>854</v>
      </c>
      <c r="T3" s="636" t="s">
        <v>855</v>
      </c>
      <c r="U3" s="478" t="s">
        <v>856</v>
      </c>
    </row>
    <row r="4" spans="1:21">
      <c r="A4" s="240" t="s">
        <v>765</v>
      </c>
      <c r="B4" s="123">
        <v>44.491999999999997</v>
      </c>
      <c r="C4" s="124">
        <v>32.046999999999997</v>
      </c>
      <c r="D4" s="124">
        <v>21.358000000000001</v>
      </c>
      <c r="E4" s="124">
        <v>42.823999999999998</v>
      </c>
      <c r="F4" s="124">
        <v>49.735999999999997</v>
      </c>
      <c r="G4" s="124">
        <v>41.570999999999998</v>
      </c>
      <c r="H4" s="124">
        <v>37.366999999999997</v>
      </c>
      <c r="I4" s="124">
        <v>42.999000000000002</v>
      </c>
      <c r="J4" s="124">
        <v>75.789000000000001</v>
      </c>
      <c r="K4" s="124">
        <v>123</v>
      </c>
      <c r="L4" s="244">
        <v>136.518</v>
      </c>
      <c r="M4" s="244">
        <v>141.80000000000001</v>
      </c>
      <c r="N4" s="244">
        <v>153.69999999999999</v>
      </c>
      <c r="O4" s="580">
        <v>163.80000000000001</v>
      </c>
      <c r="P4" s="580">
        <v>187.06800000000001</v>
      </c>
      <c r="Q4" s="581">
        <v>154.38200000000001</v>
      </c>
      <c r="R4" s="637">
        <v>183.90600000000001</v>
      </c>
      <c r="S4" s="638">
        <v>157.75299999999999</v>
      </c>
      <c r="T4" s="638">
        <v>152.72499999999999</v>
      </c>
      <c r="U4" s="638">
        <v>152.37799999999999</v>
      </c>
    </row>
    <row r="5" spans="1:21">
      <c r="A5" s="240" t="s">
        <v>816</v>
      </c>
      <c r="B5" s="123">
        <v>27.189157601366539</v>
      </c>
      <c r="C5" s="124">
        <v>26.012107217524264</v>
      </c>
      <c r="D5" s="124">
        <v>29.002247401442084</v>
      </c>
      <c r="E5" s="124">
        <v>25.100878012329538</v>
      </c>
      <c r="F5" s="124">
        <v>27.494169213447002</v>
      </c>
      <c r="G5" s="124">
        <v>29.472709340646123</v>
      </c>
      <c r="H5" s="124">
        <v>27.814649289480027</v>
      </c>
      <c r="I5" s="124">
        <v>25.598734854298936</v>
      </c>
      <c r="J5" s="124">
        <v>29.986145746744249</v>
      </c>
      <c r="K5" s="124">
        <v>27.398373983739837</v>
      </c>
      <c r="L5" s="244">
        <v>24.828594031556278</v>
      </c>
      <c r="M5" s="244">
        <v>29.28067700987306</v>
      </c>
      <c r="N5" s="244">
        <v>26.044242029928434</v>
      </c>
      <c r="O5" s="583">
        <f t="shared" ref="O5" si="0">O6/O4*10</f>
        <v>26.161868131868133</v>
      </c>
      <c r="P5" s="583">
        <v>21.74672846237732</v>
      </c>
      <c r="Q5" s="584">
        <v>28.458745190501485</v>
      </c>
      <c r="R5" s="639">
        <v>20.435461594510237</v>
      </c>
      <c r="S5" s="585">
        <v>24.584185403764117</v>
      </c>
      <c r="T5" s="585">
        <v>25.90226878376167</v>
      </c>
      <c r="U5" s="585">
        <v>26.091332082059093</v>
      </c>
    </row>
    <row r="6" spans="1:21">
      <c r="A6" s="240" t="s">
        <v>767</v>
      </c>
      <c r="B6" s="119">
        <v>120.97</v>
      </c>
      <c r="C6" s="120">
        <v>83.361000000000004</v>
      </c>
      <c r="D6" s="120">
        <v>61.942999999999998</v>
      </c>
      <c r="E6" s="120">
        <v>107.492</v>
      </c>
      <c r="F6" s="120">
        <v>136.745</v>
      </c>
      <c r="G6" s="120">
        <v>122.521</v>
      </c>
      <c r="H6" s="120">
        <v>103.935</v>
      </c>
      <c r="I6" s="120">
        <v>110.072</v>
      </c>
      <c r="J6" s="120">
        <v>227.262</v>
      </c>
      <c r="K6" s="812">
        <v>337</v>
      </c>
      <c r="L6" s="308">
        <v>338.95499999999998</v>
      </c>
      <c r="M6" s="308">
        <v>415.2</v>
      </c>
      <c r="N6" s="308">
        <v>400.3</v>
      </c>
      <c r="O6" s="830">
        <v>428.53140000000002</v>
      </c>
      <c r="P6" s="580">
        <v>406.81170000000009</v>
      </c>
      <c r="Q6" s="581">
        <v>439.35180000000003</v>
      </c>
      <c r="R6" s="640">
        <v>375.82039999999995</v>
      </c>
      <c r="S6" s="840">
        <v>387.8229</v>
      </c>
      <c r="T6" s="582">
        <v>395.59240000000005</v>
      </c>
      <c r="U6" s="582">
        <v>397.5745</v>
      </c>
    </row>
    <row r="7" spans="1:21">
      <c r="A7" s="309"/>
      <c r="B7" s="310"/>
      <c r="C7" s="311"/>
      <c r="D7" s="311"/>
      <c r="E7" s="311"/>
      <c r="F7" s="311"/>
      <c r="G7" s="311"/>
      <c r="H7" s="311"/>
      <c r="I7" s="311"/>
      <c r="J7" s="311"/>
      <c r="K7" s="311"/>
      <c r="L7" s="311"/>
      <c r="M7" s="311"/>
      <c r="N7" s="311"/>
      <c r="O7" s="586"/>
      <c r="P7" s="586"/>
      <c r="Q7" s="587"/>
      <c r="R7" s="641"/>
      <c r="S7" s="642"/>
      <c r="T7" s="642"/>
      <c r="U7" s="642"/>
    </row>
    <row r="8" spans="1:21" ht="15" customHeight="1">
      <c r="A8" s="128" t="s">
        <v>768</v>
      </c>
      <c r="B8" s="129">
        <v>6.3349999999999937</v>
      </c>
      <c r="C8" s="130">
        <v>9.7420000000000044</v>
      </c>
      <c r="D8" s="130">
        <v>10.329000000000001</v>
      </c>
      <c r="E8" s="130">
        <v>10.40100000000001</v>
      </c>
      <c r="F8" s="130">
        <v>14.593000000000004</v>
      </c>
      <c r="G8" s="130">
        <v>13.900000000000006</v>
      </c>
      <c r="H8" s="130">
        <v>13.914000000000001</v>
      </c>
      <c r="I8" s="130">
        <v>20.805999999999997</v>
      </c>
      <c r="J8" s="130">
        <v>28.834000000000003</v>
      </c>
      <c r="K8" s="813">
        <v>67.776999999999987</v>
      </c>
      <c r="L8" s="130">
        <v>66.829000000000008</v>
      </c>
      <c r="M8" s="130">
        <v>41.081999999999994</v>
      </c>
      <c r="N8" s="130">
        <v>65.300000000000011</v>
      </c>
      <c r="O8" s="815">
        <f t="shared" ref="O8" si="1">O6-O16</f>
        <v>66.615000000000066</v>
      </c>
      <c r="P8" s="493">
        <v>72.811700000000087</v>
      </c>
      <c r="Q8" s="494">
        <v>63.797800000000166</v>
      </c>
      <c r="R8" s="643">
        <v>63.82039999999995</v>
      </c>
      <c r="S8" s="815">
        <v>67.927700000000016</v>
      </c>
      <c r="T8" s="495">
        <v>70.202400000000068</v>
      </c>
      <c r="U8" s="495">
        <v>57.794500000000028</v>
      </c>
    </row>
    <row r="9" spans="1:21">
      <c r="A9" s="131" t="s">
        <v>769</v>
      </c>
      <c r="B9" s="132">
        <v>5.2368355790691858E-2</v>
      </c>
      <c r="C9" s="133">
        <v>0.11686520075334994</v>
      </c>
      <c r="D9" s="133">
        <v>0.1667500766834025</v>
      </c>
      <c r="E9" s="133">
        <v>9.6760689167566055E-2</v>
      </c>
      <c r="F9" s="133">
        <v>0.10671688178726829</v>
      </c>
      <c r="G9" s="133">
        <v>0.11344993919409739</v>
      </c>
      <c r="H9" s="133">
        <v>0.1338721316207245</v>
      </c>
      <c r="I9" s="133">
        <v>0.18902173123046731</v>
      </c>
      <c r="J9" s="133">
        <v>0.12687558852777853</v>
      </c>
      <c r="K9" s="133">
        <v>0.20111869436201776</v>
      </c>
      <c r="L9" s="133">
        <v>0.19716186514434073</v>
      </c>
      <c r="M9" s="133">
        <v>9.8945086705202301E-2</v>
      </c>
      <c r="N9" s="133">
        <v>0.16312765425930553</v>
      </c>
      <c r="O9" s="496">
        <f>O8/O6</f>
        <v>0.15544951898507336</v>
      </c>
      <c r="P9" s="496">
        <v>0.17898133214949341</v>
      </c>
      <c r="Q9" s="518">
        <v>0.14520891913951453</v>
      </c>
      <c r="R9" s="644">
        <v>0.16981622072670871</v>
      </c>
      <c r="S9" s="497">
        <v>0.11637889514689173</v>
      </c>
      <c r="T9" s="497">
        <v>0.11637889514689173</v>
      </c>
      <c r="U9" s="497">
        <v>0.1453677235335768</v>
      </c>
    </row>
    <row r="10" spans="1:21">
      <c r="A10" s="134" t="s">
        <v>770</v>
      </c>
      <c r="B10" s="135"/>
      <c r="C10" s="136"/>
      <c r="D10" s="137"/>
      <c r="E10" s="137"/>
      <c r="F10" s="138"/>
      <c r="G10" s="138"/>
      <c r="H10" s="139"/>
      <c r="I10" s="139"/>
      <c r="J10" s="140"/>
      <c r="K10" s="140"/>
      <c r="L10" s="140"/>
      <c r="M10" s="140"/>
      <c r="N10" s="134">
        <v>306.7</v>
      </c>
      <c r="O10" s="498"/>
      <c r="P10" s="498"/>
      <c r="Q10" s="499"/>
      <c r="R10" s="645"/>
      <c r="S10" s="646"/>
      <c r="T10" s="646"/>
      <c r="U10" s="646">
        <v>319.89519999999999</v>
      </c>
    </row>
    <row r="11" spans="1:21">
      <c r="A11" s="143" t="s">
        <v>771</v>
      </c>
      <c r="B11" s="135"/>
      <c r="C11" s="136"/>
      <c r="D11" s="137"/>
      <c r="E11" s="137"/>
      <c r="F11" s="138"/>
      <c r="G11" s="138"/>
      <c r="H11" s="139"/>
      <c r="I11" s="139"/>
      <c r="J11" s="144"/>
      <c r="K11" s="144"/>
      <c r="L11" s="144"/>
      <c r="M11" s="144">
        <v>0</v>
      </c>
      <c r="N11" s="144">
        <v>0.76617536847364476</v>
      </c>
      <c r="O11" s="501"/>
      <c r="P11" s="501"/>
      <c r="Q11" s="502"/>
      <c r="R11" s="647"/>
      <c r="S11" s="503"/>
      <c r="T11" s="503"/>
      <c r="U11" s="503">
        <v>0.80461699631138317</v>
      </c>
    </row>
    <row r="12" spans="1:21">
      <c r="A12" s="250" t="s">
        <v>772</v>
      </c>
      <c r="B12" s="312"/>
      <c r="C12" s="172"/>
      <c r="D12" s="172"/>
      <c r="E12" s="172"/>
      <c r="F12" s="172"/>
      <c r="G12" s="172"/>
      <c r="H12" s="172"/>
      <c r="I12" s="172"/>
      <c r="J12" s="313">
        <v>0</v>
      </c>
      <c r="K12" s="151"/>
      <c r="L12" s="151"/>
      <c r="M12" s="151">
        <v>0</v>
      </c>
      <c r="N12" s="151">
        <v>0.91552238805970143</v>
      </c>
      <c r="O12" s="504"/>
      <c r="P12" s="504"/>
      <c r="Q12" s="505"/>
      <c r="R12" s="648"/>
      <c r="S12" s="506"/>
      <c r="T12" s="506"/>
      <c r="U12" s="506">
        <v>0.94147742657013367</v>
      </c>
    </row>
    <row r="13" spans="1:21" ht="35.1" customHeight="1">
      <c r="A13" s="250"/>
      <c r="B13" s="312"/>
      <c r="C13" s="172"/>
      <c r="D13" s="172"/>
      <c r="E13" s="172"/>
      <c r="F13" s="172"/>
      <c r="G13" s="172"/>
      <c r="H13" s="172"/>
      <c r="I13" s="172"/>
      <c r="J13" s="172"/>
      <c r="K13" s="172"/>
      <c r="L13" s="172"/>
      <c r="M13" s="172"/>
      <c r="N13" s="172"/>
      <c r="O13" s="588"/>
      <c r="P13" s="588"/>
      <c r="Q13" s="589"/>
      <c r="R13" s="649"/>
      <c r="S13" s="650"/>
      <c r="T13" s="650"/>
      <c r="U13" s="650"/>
    </row>
    <row r="14" spans="1:21" ht="17.399999999999999">
      <c r="A14" s="156" t="s">
        <v>773</v>
      </c>
      <c r="B14" s="157"/>
      <c r="C14" s="158"/>
      <c r="D14" s="159"/>
      <c r="E14" s="159"/>
      <c r="F14" s="159"/>
      <c r="G14" s="159"/>
      <c r="H14" s="159"/>
      <c r="I14" s="159"/>
      <c r="J14" s="159"/>
      <c r="K14" s="159"/>
      <c r="L14" s="159"/>
      <c r="M14" s="159"/>
      <c r="N14" s="159"/>
      <c r="O14" s="510"/>
      <c r="P14" s="510"/>
      <c r="Q14" s="511"/>
      <c r="R14" s="651"/>
      <c r="S14" s="512"/>
      <c r="T14" s="512"/>
      <c r="U14" s="512"/>
    </row>
    <row r="15" spans="1:21">
      <c r="A15" s="314" t="s">
        <v>774</v>
      </c>
      <c r="B15" s="315">
        <v>34.51</v>
      </c>
      <c r="C15" s="162">
        <v>25.651</v>
      </c>
      <c r="D15" s="162">
        <v>22.790000000000003</v>
      </c>
      <c r="E15" s="162">
        <v>18.975999999999999</v>
      </c>
      <c r="F15" s="162">
        <v>16.802</v>
      </c>
      <c r="G15" s="162">
        <v>35.471000000000004</v>
      </c>
      <c r="H15" s="162">
        <v>25.28</v>
      </c>
      <c r="I15" s="162">
        <v>18.472999999999999</v>
      </c>
      <c r="J15" s="162">
        <v>19.773</v>
      </c>
      <c r="K15" s="162">
        <v>46.561</v>
      </c>
      <c r="L15" s="162">
        <v>69.430000000000007</v>
      </c>
      <c r="M15" s="162">
        <v>63</v>
      </c>
      <c r="N15" s="162">
        <v>81</v>
      </c>
      <c r="O15" s="652">
        <v>96.868316000000007</v>
      </c>
      <c r="P15" s="652">
        <v>76.345209999999994</v>
      </c>
      <c r="Q15" s="653">
        <v>74</v>
      </c>
      <c r="R15" s="654">
        <v>92</v>
      </c>
      <c r="S15" s="655">
        <v>109.03257000000001</v>
      </c>
      <c r="T15" s="656">
        <v>67.729669999999999</v>
      </c>
      <c r="U15" s="655">
        <v>67.729669999999999</v>
      </c>
    </row>
    <row r="16" spans="1:21">
      <c r="A16" s="316" t="s">
        <v>775</v>
      </c>
      <c r="B16" s="315">
        <v>114.63500000000001</v>
      </c>
      <c r="C16" s="162">
        <v>73.619</v>
      </c>
      <c r="D16" s="162">
        <v>51.613999999999997</v>
      </c>
      <c r="E16" s="162">
        <v>97.090999999999994</v>
      </c>
      <c r="F16" s="162">
        <v>122.152</v>
      </c>
      <c r="G16" s="162">
        <v>108.621</v>
      </c>
      <c r="H16" s="162">
        <v>90.021000000000001</v>
      </c>
      <c r="I16" s="162">
        <v>89.266000000000005</v>
      </c>
      <c r="J16" s="162">
        <v>198.428</v>
      </c>
      <c r="K16" s="835">
        <v>269.22300000000001</v>
      </c>
      <c r="L16" s="317">
        <v>272.12599999999998</v>
      </c>
      <c r="M16" s="317">
        <v>374.11799999999999</v>
      </c>
      <c r="N16" s="317">
        <v>335</v>
      </c>
      <c r="O16" s="830">
        <v>361.91639999999995</v>
      </c>
      <c r="P16" s="580">
        <v>334</v>
      </c>
      <c r="Q16" s="581">
        <v>375.55399999999986</v>
      </c>
      <c r="R16" s="657">
        <v>312</v>
      </c>
      <c r="S16" s="841">
        <v>319.89519999999999</v>
      </c>
      <c r="T16" s="658">
        <v>325.39</v>
      </c>
      <c r="U16" s="658">
        <v>339.78</v>
      </c>
    </row>
    <row r="17" spans="1:21">
      <c r="A17" s="318" t="s">
        <v>776</v>
      </c>
      <c r="B17" s="168">
        <v>0.91869918699186992</v>
      </c>
      <c r="C17" s="151">
        <v>0.83977272727272734</v>
      </c>
      <c r="D17" s="151">
        <v>0.81076724693745972</v>
      </c>
      <c r="E17" s="151">
        <v>0.8726545566669992</v>
      </c>
      <c r="F17" s="151">
        <v>0.83575612931221521</v>
      </c>
      <c r="G17" s="151">
        <v>0.86872586872586877</v>
      </c>
      <c r="H17" s="151">
        <v>0.86612786837927547</v>
      </c>
      <c r="I17" s="151">
        <v>0.81097826876953272</v>
      </c>
      <c r="J17" s="151">
        <v>0.87312441147222153</v>
      </c>
      <c r="K17" s="151">
        <v>0.79888130563798221</v>
      </c>
      <c r="L17" s="151">
        <v>0.80283813485565925</v>
      </c>
      <c r="M17" s="151">
        <v>0.9010549132947977</v>
      </c>
      <c r="N17" s="151">
        <v>0.83687234574069447</v>
      </c>
      <c r="O17" s="659">
        <v>0.84861692748769391</v>
      </c>
      <c r="P17" s="659">
        <v>0.82101866785050659</v>
      </c>
      <c r="Q17" s="660">
        <v>0.8547910808604855</v>
      </c>
      <c r="R17" s="661">
        <v>0.83018377927329134</v>
      </c>
      <c r="S17" s="662">
        <v>0.8248486615927012</v>
      </c>
      <c r="T17" s="663">
        <v>0.82253855230788042</v>
      </c>
      <c r="U17" s="662">
        <v>0.85463227646642326</v>
      </c>
    </row>
    <row r="18" spans="1:21">
      <c r="A18" s="319" t="s">
        <v>777</v>
      </c>
      <c r="B18" s="312"/>
      <c r="C18" s="199"/>
      <c r="D18" s="199"/>
      <c r="E18" s="172"/>
      <c r="F18" s="172"/>
      <c r="G18" s="172">
        <v>64</v>
      </c>
      <c r="H18" s="172">
        <v>22</v>
      </c>
      <c r="I18" s="172"/>
      <c r="J18" s="172"/>
      <c r="K18" s="172"/>
      <c r="L18" s="172"/>
      <c r="M18" s="172"/>
      <c r="N18" s="172"/>
      <c r="O18" s="519"/>
      <c r="P18" s="519"/>
      <c r="Q18" s="593"/>
      <c r="R18" s="664"/>
      <c r="S18" s="665"/>
      <c r="T18" s="665"/>
      <c r="U18" s="665"/>
    </row>
    <row r="19" spans="1:21">
      <c r="A19" s="174" t="s">
        <v>778</v>
      </c>
      <c r="B19" s="166">
        <v>482.93600000000004</v>
      </c>
      <c r="C19" s="163">
        <v>368.23399999999998</v>
      </c>
      <c r="D19" s="163">
        <v>627.80400000000009</v>
      </c>
      <c r="E19" s="163">
        <v>603.49900000000002</v>
      </c>
      <c r="F19" s="163">
        <v>554.52600000000007</v>
      </c>
      <c r="G19" s="163">
        <v>647.08699999999999</v>
      </c>
      <c r="H19" s="163">
        <v>617.4140000000001</v>
      </c>
      <c r="I19" s="163">
        <v>649.68799999999999</v>
      </c>
      <c r="J19" s="163">
        <v>667.14</v>
      </c>
      <c r="K19" s="163">
        <v>846.27</v>
      </c>
      <c r="L19" s="163">
        <v>906.6</v>
      </c>
      <c r="M19" s="163">
        <v>623.19999999999993</v>
      </c>
      <c r="N19" s="163">
        <v>700</v>
      </c>
      <c r="O19" s="666">
        <v>658.06209999999999</v>
      </c>
      <c r="P19" s="666">
        <v>570.61999999999978</v>
      </c>
      <c r="Q19" s="667">
        <v>570.25400000000002</v>
      </c>
      <c r="R19" s="668">
        <v>395</v>
      </c>
      <c r="S19" s="669">
        <v>402.68209999999999</v>
      </c>
      <c r="T19" s="669">
        <v>660</v>
      </c>
      <c r="U19" s="669">
        <v>670</v>
      </c>
    </row>
    <row r="20" spans="1:21" ht="15.6">
      <c r="A20" s="270" t="s">
        <v>817</v>
      </c>
      <c r="B20" s="312">
        <v>48.841000000000001</v>
      </c>
      <c r="C20" s="172">
        <v>60.383000000000003</v>
      </c>
      <c r="D20" s="172">
        <v>57.012</v>
      </c>
      <c r="E20" s="172">
        <v>90.454999999999998</v>
      </c>
      <c r="F20" s="172">
        <v>48.789000000000001</v>
      </c>
      <c r="G20" s="172">
        <v>51.610999999999997</v>
      </c>
      <c r="H20" s="172">
        <v>35.372999999999998</v>
      </c>
      <c r="I20" s="172">
        <v>34.530999999999999</v>
      </c>
      <c r="J20" s="320">
        <v>141.56299999999999</v>
      </c>
      <c r="K20" s="320">
        <v>212.37</v>
      </c>
      <c r="L20" s="321">
        <v>196.9</v>
      </c>
      <c r="M20" s="321">
        <v>35.4</v>
      </c>
      <c r="N20" s="321">
        <v>50</v>
      </c>
      <c r="O20" s="670">
        <v>37.521599999999999</v>
      </c>
      <c r="P20" s="670">
        <v>40</v>
      </c>
      <c r="Q20" s="671">
        <v>37.523000000000003</v>
      </c>
      <c r="R20" s="672">
        <v>26</v>
      </c>
      <c r="S20" s="673">
        <v>25.24</v>
      </c>
      <c r="T20" s="673">
        <v>10</v>
      </c>
      <c r="U20" s="673">
        <v>20</v>
      </c>
    </row>
    <row r="21" spans="1:21">
      <c r="A21" s="270" t="s">
        <v>780</v>
      </c>
      <c r="B21" s="312">
        <v>434.09500000000003</v>
      </c>
      <c r="C21" s="172">
        <v>307.851</v>
      </c>
      <c r="D21" s="172">
        <v>570.79200000000003</v>
      </c>
      <c r="E21" s="172">
        <v>513.04399999999998</v>
      </c>
      <c r="F21" s="172">
        <v>505.73700000000002</v>
      </c>
      <c r="G21" s="172">
        <v>595.476</v>
      </c>
      <c r="H21" s="172">
        <v>582.04100000000005</v>
      </c>
      <c r="I21" s="172">
        <v>615.15700000000004</v>
      </c>
      <c r="J21" s="172">
        <v>525.577</v>
      </c>
      <c r="K21" s="172">
        <v>633.9</v>
      </c>
      <c r="L21" s="321">
        <v>709.7</v>
      </c>
      <c r="M21" s="321">
        <v>587.79999999999995</v>
      </c>
      <c r="N21" s="321">
        <v>650</v>
      </c>
      <c r="O21" s="670">
        <v>620.54049999999995</v>
      </c>
      <c r="P21" s="670">
        <v>531</v>
      </c>
      <c r="Q21" s="671">
        <v>532.73099999999999</v>
      </c>
      <c r="R21" s="649">
        <v>369</v>
      </c>
      <c r="S21" s="650">
        <v>377.44209999999998</v>
      </c>
      <c r="T21" s="650">
        <v>650</v>
      </c>
      <c r="U21" s="650">
        <v>650</v>
      </c>
    </row>
    <row r="22" spans="1:21" ht="18.600000000000001">
      <c r="A22" s="181" t="s">
        <v>781</v>
      </c>
      <c r="B22" s="182">
        <v>632.08100000000002</v>
      </c>
      <c r="C22" s="182">
        <v>467.50399999999996</v>
      </c>
      <c r="D22" s="182">
        <v>702.20800000000008</v>
      </c>
      <c r="E22" s="182">
        <v>719.56600000000003</v>
      </c>
      <c r="F22" s="182">
        <v>693.48</v>
      </c>
      <c r="G22" s="182">
        <v>855.17899999999997</v>
      </c>
      <c r="H22" s="182">
        <v>754.71500000000015</v>
      </c>
      <c r="I22" s="182">
        <v>757.42700000000002</v>
      </c>
      <c r="J22" s="182">
        <v>885.34100000000001</v>
      </c>
      <c r="K22" s="182">
        <v>1162.0540000000001</v>
      </c>
      <c r="L22" s="182">
        <v>1248.1559999999999</v>
      </c>
      <c r="M22" s="182">
        <v>1060.318</v>
      </c>
      <c r="N22" s="182">
        <v>1116</v>
      </c>
      <c r="O22" s="674">
        <v>1118.589416</v>
      </c>
      <c r="P22" s="674">
        <v>980.96520999999973</v>
      </c>
      <c r="Q22" s="675">
        <v>1019.8079999999999</v>
      </c>
      <c r="R22" s="676">
        <v>799</v>
      </c>
      <c r="S22" s="677">
        <v>831.60986999999989</v>
      </c>
      <c r="T22" s="677">
        <v>1053.11967</v>
      </c>
      <c r="U22" s="677">
        <v>1077.5096699999999</v>
      </c>
    </row>
    <row r="23" spans="1:21">
      <c r="A23" s="272"/>
      <c r="B23" s="323"/>
      <c r="C23" s="324"/>
      <c r="D23" s="324"/>
      <c r="E23" s="325"/>
      <c r="F23" s="326"/>
      <c r="G23" s="327"/>
      <c r="H23" s="327"/>
      <c r="I23" s="327"/>
      <c r="J23" s="327"/>
      <c r="K23" s="327"/>
      <c r="L23" s="327"/>
      <c r="M23" s="327"/>
      <c r="N23" s="327"/>
      <c r="O23" s="598"/>
      <c r="P23" s="598"/>
      <c r="Q23" s="599"/>
      <c r="R23" s="678"/>
      <c r="S23" s="679"/>
      <c r="T23" s="679"/>
      <c r="U23" s="679"/>
    </row>
    <row r="24" spans="1:21" ht="17.399999999999999">
      <c r="A24" s="190" t="s">
        <v>782</v>
      </c>
      <c r="B24" s="191"/>
      <c r="C24" s="192"/>
      <c r="D24" s="193"/>
      <c r="E24" s="194"/>
      <c r="F24" s="194"/>
      <c r="G24" s="194"/>
      <c r="H24" s="194"/>
      <c r="I24" s="194"/>
      <c r="J24" s="194"/>
      <c r="K24" s="194"/>
      <c r="L24" s="194"/>
      <c r="M24" s="194"/>
      <c r="N24" s="194"/>
      <c r="O24" s="538"/>
      <c r="P24" s="538"/>
      <c r="Q24" s="539"/>
      <c r="R24" s="680"/>
      <c r="S24" s="540"/>
      <c r="T24" s="540"/>
      <c r="U24" s="540"/>
    </row>
    <row r="25" spans="1:21" ht="17.399999999999999">
      <c r="A25" s="278"/>
      <c r="B25" s="323"/>
      <c r="C25" s="324"/>
      <c r="D25" s="324"/>
      <c r="E25" s="324"/>
      <c r="F25" s="324"/>
      <c r="G25" s="324"/>
      <c r="H25" s="324"/>
      <c r="I25" s="324"/>
      <c r="J25" s="324"/>
      <c r="K25" s="324"/>
      <c r="L25" s="324"/>
      <c r="M25" s="324"/>
      <c r="N25" s="324"/>
      <c r="O25" s="600"/>
      <c r="P25" s="600"/>
      <c r="Q25" s="601"/>
      <c r="R25" s="681"/>
      <c r="S25" s="682"/>
      <c r="T25" s="682"/>
      <c r="U25" s="682"/>
    </row>
    <row r="26" spans="1:21">
      <c r="A26" s="174" t="s">
        <v>783</v>
      </c>
      <c r="B26" s="119">
        <v>577.39499999999998</v>
      </c>
      <c r="C26" s="119">
        <v>435.62599999999998</v>
      </c>
      <c r="D26" s="119">
        <v>676.72299999999996</v>
      </c>
      <c r="E26" s="119">
        <v>676.44299999999998</v>
      </c>
      <c r="F26" s="119">
        <v>627.32299999999998</v>
      </c>
      <c r="G26" s="119">
        <v>794.38599999999997</v>
      </c>
      <c r="H26" s="119">
        <v>707.03399999999999</v>
      </c>
      <c r="I26" s="119">
        <v>713.29700000000003</v>
      </c>
      <c r="J26" s="119">
        <v>785.82399999999996</v>
      </c>
      <c r="K26" s="119">
        <v>996.52099999999996</v>
      </c>
      <c r="L26" s="119">
        <v>1096.98</v>
      </c>
      <c r="M26" s="119">
        <v>845</v>
      </c>
      <c r="N26" s="119">
        <v>909</v>
      </c>
      <c r="O26" s="666">
        <v>878.57230600000003</v>
      </c>
      <c r="P26" s="666">
        <v>758.16269999999997</v>
      </c>
      <c r="Q26" s="667">
        <v>811.52186999999981</v>
      </c>
      <c r="R26" s="683">
        <v>597.24856</v>
      </c>
      <c r="S26" s="666">
        <v>644.65108999999995</v>
      </c>
      <c r="T26" s="666">
        <v>897</v>
      </c>
      <c r="U26" s="666">
        <v>857</v>
      </c>
    </row>
    <row r="27" spans="1:21">
      <c r="A27" s="281" t="s">
        <v>784</v>
      </c>
      <c r="B27" s="198">
        <v>341.97300000000001</v>
      </c>
      <c r="C27" s="199">
        <v>256.596</v>
      </c>
      <c r="D27" s="199">
        <v>481.90199999999999</v>
      </c>
      <c r="E27" s="199">
        <v>484.30700000000002</v>
      </c>
      <c r="F27" s="199">
        <v>461.60399999999998</v>
      </c>
      <c r="G27" s="199">
        <v>632.41399999999999</v>
      </c>
      <c r="H27" s="199">
        <v>582</v>
      </c>
      <c r="I27" s="199">
        <v>566</v>
      </c>
      <c r="J27" s="289">
        <v>560</v>
      </c>
      <c r="K27" s="836">
        <v>678</v>
      </c>
      <c r="L27" s="329">
        <v>730</v>
      </c>
      <c r="M27" s="329">
        <v>636</v>
      </c>
      <c r="N27" s="329">
        <v>700</v>
      </c>
      <c r="O27" s="821">
        <f>O22-O39-O34-O31-O30-O29-O28</f>
        <v>669.8281760000001</v>
      </c>
      <c r="P27" s="684">
        <v>556</v>
      </c>
      <c r="Q27" s="685">
        <v>575.05051699999979</v>
      </c>
      <c r="R27" s="686">
        <v>465</v>
      </c>
      <c r="S27" s="821">
        <v>510</v>
      </c>
      <c r="T27" s="684">
        <v>770</v>
      </c>
      <c r="U27" s="684">
        <v>730</v>
      </c>
    </row>
    <row r="28" spans="1:21">
      <c r="A28" s="284" t="s">
        <v>785</v>
      </c>
      <c r="B28" s="198">
        <v>70.421999999999997</v>
      </c>
      <c r="C28" s="199">
        <v>58.03</v>
      </c>
      <c r="D28" s="199">
        <v>45.820999999999998</v>
      </c>
      <c r="E28" s="199">
        <v>53.136000000000003</v>
      </c>
      <c r="F28" s="199">
        <v>59.719000000000001</v>
      </c>
      <c r="G28" s="199">
        <v>62.972000000000001</v>
      </c>
      <c r="H28" s="199">
        <v>46.033999999999999</v>
      </c>
      <c r="I28" s="199">
        <v>35.296999999999997</v>
      </c>
      <c r="J28" s="289">
        <v>51.823999999999998</v>
      </c>
      <c r="K28" s="836">
        <v>64.521000000000001</v>
      </c>
      <c r="L28" s="292">
        <v>60.98</v>
      </c>
      <c r="M28" s="292">
        <v>65.66</v>
      </c>
      <c r="N28" s="292">
        <v>66</v>
      </c>
      <c r="O28" s="838">
        <v>70.32632799999999</v>
      </c>
      <c r="P28" s="624">
        <v>65</v>
      </c>
      <c r="Q28" s="625">
        <v>69.900653000000005</v>
      </c>
      <c r="R28" s="649">
        <v>75.248559999999998</v>
      </c>
      <c r="S28" s="665">
        <v>77.651089999999996</v>
      </c>
      <c r="T28" s="650">
        <v>70</v>
      </c>
      <c r="U28" s="650">
        <v>70</v>
      </c>
    </row>
    <row r="29" spans="1:21">
      <c r="A29" s="284" t="s">
        <v>818</v>
      </c>
      <c r="B29" s="198">
        <v>55</v>
      </c>
      <c r="C29" s="199">
        <v>35</v>
      </c>
      <c r="D29" s="199">
        <v>35</v>
      </c>
      <c r="E29" s="199">
        <v>45</v>
      </c>
      <c r="F29" s="199">
        <v>45</v>
      </c>
      <c r="G29" s="199">
        <v>45</v>
      </c>
      <c r="H29" s="200">
        <v>35</v>
      </c>
      <c r="I29" s="200">
        <v>35</v>
      </c>
      <c r="J29" s="292">
        <v>60</v>
      </c>
      <c r="K29" s="837">
        <v>85</v>
      </c>
      <c r="L29" s="292">
        <v>80</v>
      </c>
      <c r="M29" s="292">
        <v>85</v>
      </c>
      <c r="N29" s="292">
        <v>85</v>
      </c>
      <c r="O29" s="838">
        <v>85</v>
      </c>
      <c r="P29" s="624">
        <v>85</v>
      </c>
      <c r="Q29" s="625">
        <v>110</v>
      </c>
      <c r="R29" s="687"/>
      <c r="S29" s="842"/>
      <c r="T29" s="687"/>
      <c r="U29" s="688"/>
    </row>
    <row r="30" spans="1:21">
      <c r="A30" s="284" t="s">
        <v>819</v>
      </c>
      <c r="B30" s="330">
        <v>35</v>
      </c>
      <c r="C30" s="200">
        <v>55</v>
      </c>
      <c r="D30" s="200">
        <v>35</v>
      </c>
      <c r="E30" s="200">
        <v>50</v>
      </c>
      <c r="F30" s="200">
        <v>45</v>
      </c>
      <c r="G30" s="200">
        <v>50</v>
      </c>
      <c r="H30" s="200">
        <v>40</v>
      </c>
      <c r="I30" s="200">
        <v>50</v>
      </c>
      <c r="J30" s="292">
        <v>50</v>
      </c>
      <c r="K30" s="837">
        <v>50</v>
      </c>
      <c r="L30" s="292">
        <v>50</v>
      </c>
      <c r="M30" s="292">
        <v>50</v>
      </c>
      <c r="N30" s="292">
        <v>50</v>
      </c>
      <c r="O30" s="838">
        <v>45</v>
      </c>
      <c r="P30" s="624">
        <v>45</v>
      </c>
      <c r="Q30" s="625">
        <v>45</v>
      </c>
      <c r="R30" s="689">
        <v>45</v>
      </c>
      <c r="S30" s="694">
        <v>45</v>
      </c>
      <c r="T30" s="690">
        <v>45</v>
      </c>
      <c r="U30" s="690">
        <v>45</v>
      </c>
    </row>
    <row r="31" spans="1:21">
      <c r="A31" s="284" t="s">
        <v>786</v>
      </c>
      <c r="B31" s="330">
        <v>3</v>
      </c>
      <c r="C31" s="200">
        <v>3</v>
      </c>
      <c r="D31" s="200">
        <v>3</v>
      </c>
      <c r="E31" s="200">
        <v>3</v>
      </c>
      <c r="F31" s="200">
        <v>4</v>
      </c>
      <c r="G31" s="200">
        <v>4</v>
      </c>
      <c r="H31" s="200">
        <v>4</v>
      </c>
      <c r="I31" s="200">
        <v>4</v>
      </c>
      <c r="J31" s="292">
        <v>4</v>
      </c>
      <c r="K31" s="837">
        <v>8</v>
      </c>
      <c r="L31" s="292">
        <v>8</v>
      </c>
      <c r="M31" s="292">
        <v>8</v>
      </c>
      <c r="N31" s="292">
        <v>8</v>
      </c>
      <c r="O31" s="839">
        <v>8.6123999999999992</v>
      </c>
      <c r="P31" s="691">
        <v>7.1627000000000001</v>
      </c>
      <c r="Q31" s="692">
        <v>11.5707</v>
      </c>
      <c r="R31" s="689">
        <v>12</v>
      </c>
      <c r="S31" s="694">
        <v>12</v>
      </c>
      <c r="T31" s="690">
        <v>12</v>
      </c>
      <c r="U31" s="690">
        <v>12</v>
      </c>
    </row>
    <row r="32" spans="1:21">
      <c r="A32" s="284" t="s">
        <v>788</v>
      </c>
      <c r="B32" s="330">
        <v>72</v>
      </c>
      <c r="C32" s="200">
        <v>28</v>
      </c>
      <c r="D32" s="200">
        <v>76</v>
      </c>
      <c r="E32" s="200">
        <v>41</v>
      </c>
      <c r="F32" s="200">
        <v>12</v>
      </c>
      <c r="G32" s="200"/>
      <c r="H32" s="200"/>
      <c r="I32" s="200">
        <v>23</v>
      </c>
      <c r="J32" s="292">
        <v>60</v>
      </c>
      <c r="K32" s="292">
        <v>111</v>
      </c>
      <c r="L32" s="292">
        <v>168</v>
      </c>
      <c r="M32" s="292"/>
      <c r="N32" s="292"/>
      <c r="O32" s="556"/>
      <c r="P32" s="556"/>
      <c r="Q32" s="557"/>
      <c r="R32" s="693"/>
      <c r="S32" s="694"/>
      <c r="T32" s="694"/>
      <c r="U32" s="694"/>
    </row>
    <row r="33" spans="1:21">
      <c r="A33" s="284"/>
      <c r="B33" s="330"/>
      <c r="C33" s="200"/>
      <c r="D33" s="200"/>
      <c r="E33" s="200"/>
      <c r="F33" s="200"/>
      <c r="G33" s="200"/>
      <c r="H33" s="200"/>
      <c r="I33" s="200"/>
      <c r="J33" s="200"/>
      <c r="K33" s="200"/>
      <c r="L33" s="200"/>
      <c r="M33" s="200"/>
      <c r="N33" s="200"/>
      <c r="O33" s="556"/>
      <c r="P33" s="556"/>
      <c r="Q33" s="557"/>
      <c r="R33" s="695"/>
      <c r="S33" s="696"/>
      <c r="T33" s="696"/>
      <c r="U33" s="696"/>
    </row>
    <row r="34" spans="1:21">
      <c r="A34" s="174" t="s">
        <v>789</v>
      </c>
      <c r="B34" s="119">
        <v>29.254999999999999</v>
      </c>
      <c r="C34" s="120">
        <v>9.1720000000000006</v>
      </c>
      <c r="D34" s="120">
        <v>6.0249999999999995</v>
      </c>
      <c r="E34" s="120">
        <v>26.794999999999998</v>
      </c>
      <c r="F34" s="120">
        <v>30.913</v>
      </c>
      <c r="G34" s="120">
        <v>35.154000000000003</v>
      </c>
      <c r="H34" s="120">
        <v>28.959000000000003</v>
      </c>
      <c r="I34" s="120">
        <v>24.509999999999998</v>
      </c>
      <c r="J34" s="120">
        <v>53.100999999999999</v>
      </c>
      <c r="K34" s="120">
        <v>96.097000000000008</v>
      </c>
      <c r="L34" s="120">
        <v>86</v>
      </c>
      <c r="M34" s="120">
        <v>134.30000000000001</v>
      </c>
      <c r="N34" s="120">
        <v>130</v>
      </c>
      <c r="O34" s="666">
        <v>163.67189999999999</v>
      </c>
      <c r="P34" s="666">
        <v>149</v>
      </c>
      <c r="Q34" s="667">
        <v>116.6367</v>
      </c>
      <c r="R34" s="668">
        <v>92.46050000000001</v>
      </c>
      <c r="S34" s="669">
        <v>140.32470000000001</v>
      </c>
      <c r="T34" s="669">
        <v>92</v>
      </c>
      <c r="U34" s="669">
        <v>90</v>
      </c>
    </row>
    <row r="35" spans="1:21">
      <c r="A35" s="284" t="s">
        <v>790</v>
      </c>
      <c r="B35" s="198">
        <v>24.099</v>
      </c>
      <c r="C35" s="199">
        <v>8.0709999999999997</v>
      </c>
      <c r="D35" s="199">
        <v>4.1429999999999998</v>
      </c>
      <c r="E35" s="199">
        <v>20.213999999999999</v>
      </c>
      <c r="F35" s="199">
        <v>22.122</v>
      </c>
      <c r="G35" s="199">
        <v>27.428000000000001</v>
      </c>
      <c r="H35" s="199">
        <v>20.812000000000001</v>
      </c>
      <c r="I35" s="199">
        <v>19.273</v>
      </c>
      <c r="J35" s="199">
        <v>45.838999999999999</v>
      </c>
      <c r="K35" s="199">
        <v>87.444000000000003</v>
      </c>
      <c r="L35" s="200">
        <v>77</v>
      </c>
      <c r="M35" s="200">
        <v>122.8</v>
      </c>
      <c r="N35" s="200">
        <v>120</v>
      </c>
      <c r="O35" s="670">
        <v>143.4975</v>
      </c>
      <c r="P35" s="670">
        <v>128</v>
      </c>
      <c r="Q35" s="671">
        <v>106.39360000000001</v>
      </c>
      <c r="R35" s="672">
        <v>85.030400000000014</v>
      </c>
      <c r="S35" s="673">
        <v>130.3227</v>
      </c>
      <c r="T35" s="673">
        <v>85</v>
      </c>
      <c r="U35" s="673">
        <v>80</v>
      </c>
    </row>
    <row r="36" spans="1:21">
      <c r="A36" s="284" t="s">
        <v>780</v>
      </c>
      <c r="B36" s="171">
        <v>5.1559999999999997</v>
      </c>
      <c r="C36" s="172">
        <v>1.101</v>
      </c>
      <c r="D36" s="172">
        <v>1.8819999999999999</v>
      </c>
      <c r="E36" s="172">
        <v>6.5810000000000004</v>
      </c>
      <c r="F36" s="172">
        <v>8.7910000000000004</v>
      </c>
      <c r="G36" s="172">
        <v>7.726</v>
      </c>
      <c r="H36" s="172">
        <v>8.1470000000000002</v>
      </c>
      <c r="I36" s="172">
        <v>5.2370000000000001</v>
      </c>
      <c r="J36" s="172">
        <v>7.2619999999999996</v>
      </c>
      <c r="K36" s="172">
        <v>8.6530000000000005</v>
      </c>
      <c r="L36" s="173">
        <v>9</v>
      </c>
      <c r="M36" s="173">
        <v>11.5</v>
      </c>
      <c r="N36" s="173">
        <v>10</v>
      </c>
      <c r="O36" s="670">
        <v>20.174400000000002</v>
      </c>
      <c r="P36" s="670">
        <v>21</v>
      </c>
      <c r="Q36" s="671">
        <v>10.2431</v>
      </c>
      <c r="R36" s="672">
        <v>7.4300999999999986</v>
      </c>
      <c r="S36" s="650">
        <v>10.002000000000001</v>
      </c>
      <c r="T36" s="673">
        <v>7</v>
      </c>
      <c r="U36" s="673">
        <v>10</v>
      </c>
    </row>
    <row r="37" spans="1:21" ht="18.600000000000001">
      <c r="A37" s="181" t="s">
        <v>791</v>
      </c>
      <c r="B37" s="182">
        <v>606.65</v>
      </c>
      <c r="C37" s="182">
        <v>444.798</v>
      </c>
      <c r="D37" s="182">
        <v>682.74799999999993</v>
      </c>
      <c r="E37" s="182">
        <v>703.23799999999994</v>
      </c>
      <c r="F37" s="182">
        <v>658.23599999999999</v>
      </c>
      <c r="G37" s="182">
        <v>829.54</v>
      </c>
      <c r="H37" s="182">
        <v>735.99299999999994</v>
      </c>
      <c r="I37" s="182">
        <v>737.80700000000002</v>
      </c>
      <c r="J37" s="182">
        <v>838.92499999999995</v>
      </c>
      <c r="K37" s="182">
        <v>1092.6179999999999</v>
      </c>
      <c r="L37" s="182">
        <v>1182.98</v>
      </c>
      <c r="M37" s="182">
        <v>979.3</v>
      </c>
      <c r="N37" s="182">
        <v>1039</v>
      </c>
      <c r="O37" s="675">
        <v>1042.2442060000001</v>
      </c>
      <c r="P37" s="675">
        <v>907.16269999999997</v>
      </c>
      <c r="Q37" s="675">
        <v>928.15856999999983</v>
      </c>
      <c r="R37" s="697">
        <v>689.70906000000002</v>
      </c>
      <c r="S37" s="698">
        <v>785.00399000000004</v>
      </c>
      <c r="T37" s="677">
        <v>989</v>
      </c>
      <c r="U37" s="677">
        <v>947</v>
      </c>
    </row>
    <row r="38" spans="1:21">
      <c r="A38" s="285"/>
      <c r="B38" s="331"/>
      <c r="C38" s="332"/>
      <c r="D38" s="332"/>
      <c r="E38" s="332"/>
      <c r="F38" s="332"/>
      <c r="G38" s="332"/>
      <c r="H38" s="332"/>
      <c r="I38" s="332"/>
      <c r="J38" s="332"/>
      <c r="K38" s="332"/>
      <c r="L38" s="332"/>
      <c r="M38" s="332"/>
      <c r="N38" s="332"/>
      <c r="O38" s="586"/>
      <c r="P38" s="586"/>
      <c r="Q38" s="587"/>
      <c r="R38" s="699"/>
      <c r="S38" s="700"/>
      <c r="T38" s="701"/>
      <c r="U38" s="701"/>
    </row>
    <row r="39" spans="1:21" ht="19.2">
      <c r="A39" s="205" t="s">
        <v>792</v>
      </c>
      <c r="B39" s="206">
        <v>25.651</v>
      </c>
      <c r="C39" s="206">
        <v>22.790000000000003</v>
      </c>
      <c r="D39" s="206">
        <v>18.975999999999999</v>
      </c>
      <c r="E39" s="206">
        <v>16.802</v>
      </c>
      <c r="F39" s="206">
        <v>35.471000000000004</v>
      </c>
      <c r="G39" s="206">
        <v>25.28</v>
      </c>
      <c r="H39" s="206">
        <v>18.472999999999999</v>
      </c>
      <c r="I39" s="206">
        <v>19.773</v>
      </c>
      <c r="J39" s="206">
        <v>46.561</v>
      </c>
      <c r="K39" s="206">
        <v>69.430000000000007</v>
      </c>
      <c r="L39" s="206">
        <v>62.7</v>
      </c>
      <c r="M39" s="206">
        <v>81.099999999999994</v>
      </c>
      <c r="N39" s="206">
        <v>96</v>
      </c>
      <c r="O39" s="702">
        <f t="shared" ref="O39" si="2">O40+O41</f>
        <v>76.150611999999995</v>
      </c>
      <c r="P39" s="702">
        <v>74</v>
      </c>
      <c r="Q39" s="703">
        <v>91.649430000000009</v>
      </c>
      <c r="R39" s="704">
        <v>109.03257000000001</v>
      </c>
      <c r="S39" s="702">
        <v>67.729669999999999</v>
      </c>
      <c r="T39" s="705">
        <v>64</v>
      </c>
      <c r="U39" s="705">
        <v>131</v>
      </c>
    </row>
    <row r="40" spans="1:21">
      <c r="A40" s="284" t="s">
        <v>793</v>
      </c>
      <c r="B40" s="198">
        <v>22.437000000000001</v>
      </c>
      <c r="C40" s="199">
        <v>20.187000000000001</v>
      </c>
      <c r="D40" s="199">
        <v>16.46</v>
      </c>
      <c r="E40" s="199">
        <v>14.105</v>
      </c>
      <c r="F40" s="199">
        <v>33.118000000000002</v>
      </c>
      <c r="G40" s="199">
        <v>22.059000000000001</v>
      </c>
      <c r="H40" s="199">
        <v>14.913</v>
      </c>
      <c r="I40" s="199">
        <v>17.98</v>
      </c>
      <c r="J40" s="820">
        <v>43.93</v>
      </c>
      <c r="K40" s="820">
        <v>40.618000000000002</v>
      </c>
      <c r="L40" s="199">
        <v>58</v>
      </c>
      <c r="M40" s="199">
        <v>3</v>
      </c>
      <c r="N40" s="820">
        <v>92</v>
      </c>
      <c r="O40" s="556">
        <v>71.9178</v>
      </c>
      <c r="P40" s="550">
        <v>69</v>
      </c>
      <c r="Q40" s="551">
        <v>86.696600000000004</v>
      </c>
      <c r="R40" s="843">
        <v>103.04610000000001</v>
      </c>
      <c r="S40" s="696">
        <v>65.262799999999999</v>
      </c>
      <c r="T40" s="526"/>
      <c r="U40" s="696"/>
    </row>
    <row r="41" spans="1:21">
      <c r="A41" s="284" t="s">
        <v>794</v>
      </c>
      <c r="B41" s="198">
        <v>3.214</v>
      </c>
      <c r="C41" s="199">
        <v>2.6030000000000002</v>
      </c>
      <c r="D41" s="199">
        <v>2.516</v>
      </c>
      <c r="E41" s="199">
        <v>2.6970000000000001</v>
      </c>
      <c r="F41" s="199">
        <v>2.3530000000000002</v>
      </c>
      <c r="G41" s="199">
        <v>3.2210000000000001</v>
      </c>
      <c r="H41" s="199">
        <v>3.56</v>
      </c>
      <c r="I41" s="199">
        <v>1.7929999999999999</v>
      </c>
      <c r="J41" s="199">
        <v>2.6309999999999998</v>
      </c>
      <c r="K41" s="199">
        <v>3.8119999999999998</v>
      </c>
      <c r="L41" s="199">
        <v>4.7</v>
      </c>
      <c r="M41" s="199"/>
      <c r="N41" s="199"/>
      <c r="O41" s="624">
        <v>4.232812</v>
      </c>
      <c r="P41" s="624">
        <v>5</v>
      </c>
      <c r="Q41" s="625">
        <v>4.9528299999999996</v>
      </c>
      <c r="R41" s="706">
        <v>5.9864700000000006</v>
      </c>
      <c r="S41" s="526">
        <v>2.4668699999999997</v>
      </c>
      <c r="T41" s="690"/>
      <c r="U41" s="694"/>
    </row>
    <row r="42" spans="1:21" ht="15" thickBot="1">
      <c r="A42" s="333" t="s">
        <v>795</v>
      </c>
      <c r="B42" s="334"/>
      <c r="C42" s="335"/>
      <c r="D42" s="335"/>
      <c r="E42" s="335"/>
      <c r="F42" s="335"/>
      <c r="G42" s="335"/>
      <c r="H42" s="335"/>
      <c r="I42" s="335"/>
      <c r="J42" s="335"/>
      <c r="K42" s="335">
        <v>25</v>
      </c>
      <c r="L42" s="335"/>
      <c r="M42" s="335"/>
      <c r="N42" s="335"/>
      <c r="O42" s="628"/>
      <c r="P42" s="628"/>
      <c r="Q42" s="629"/>
      <c r="R42" s="707"/>
      <c r="S42" s="708"/>
      <c r="T42" s="709"/>
      <c r="U42" s="709"/>
    </row>
    <row r="43" spans="1:21">
      <c r="A43" s="215" t="s">
        <v>796</v>
      </c>
      <c r="N43" s="217"/>
    </row>
    <row r="44" spans="1:21" ht="16.2">
      <c r="A44" s="219" t="s">
        <v>820</v>
      </c>
      <c r="N44" s="217"/>
    </row>
    <row r="45" spans="1:21">
      <c r="A45" s="336" t="s">
        <v>821</v>
      </c>
    </row>
    <row r="46" spans="1:21" ht="16.2">
      <c r="A46" s="220" t="s">
        <v>798</v>
      </c>
      <c r="N46" s="225"/>
      <c r="O46" s="226"/>
      <c r="P46" s="226"/>
      <c r="Q46" s="226"/>
      <c r="R46" s="226"/>
      <c r="S46" s="226"/>
      <c r="T46" s="226"/>
      <c r="U46" s="226"/>
    </row>
    <row r="48" spans="1:21" s="226" customFormat="1" ht="12.75" customHeight="1">
      <c r="A48" s="337" t="s">
        <v>822</v>
      </c>
      <c r="B48" s="338" t="s">
        <v>823</v>
      </c>
      <c r="C48" s="226" t="s">
        <v>824</v>
      </c>
      <c r="D48" s="226" t="s">
        <v>825</v>
      </c>
      <c r="F48" s="338"/>
      <c r="G48" s="338"/>
      <c r="H48" s="338"/>
      <c r="I48" s="338"/>
      <c r="J48" s="338"/>
      <c r="K48" s="338"/>
      <c r="L48" s="338"/>
      <c r="M48" s="338"/>
      <c r="N48" s="104"/>
      <c r="O48" s="104"/>
      <c r="P48" s="104"/>
      <c r="Q48" s="104"/>
      <c r="R48" s="104"/>
      <c r="S48" s="104"/>
      <c r="T48" s="104"/>
      <c r="U48" s="104"/>
    </row>
    <row r="49" spans="2:14">
      <c r="N49" s="221"/>
    </row>
    <row r="52" spans="2:14">
      <c r="B52" s="339"/>
    </row>
    <row r="53" spans="2:14">
      <c r="B53" s="221"/>
    </row>
  </sheetData>
  <mergeCells count="1">
    <mergeCell ref="B1:N1"/>
  </mergeCells>
  <conditionalFormatting sqref="L6:N6">
    <cfRule type="expression" dxfId="4" priority="1" stopIfTrue="1">
      <formula>ISERROR(L6)</formula>
    </cfRule>
  </conditionalFormatting>
  <pageMargins left="0.7" right="0.7" top="0.75" bottom="0.75" header="0.3" footer="0.3"/>
  <pageSetup paperSize="9" scale="6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B4AA9-1AC1-44EB-92B8-B9CB27D645EA}">
  <sheetPr>
    <tabColor rgb="FF92D050"/>
  </sheetPr>
  <dimension ref="A1:S34"/>
  <sheetViews>
    <sheetView workbookViewId="0">
      <pane xSplit="2" ySplit="1" topLeftCell="K2" activePane="bottomRight" state="frozen"/>
      <selection activeCell="B15" sqref="B15"/>
      <selection pane="topRight" activeCell="B15" sqref="B15"/>
      <selection pane="bottomLeft" activeCell="B15" sqref="B15"/>
      <selection pane="bottomRight" activeCell="O10" sqref="O10"/>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30.21875" style="2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Secteurs!$B$2</f>
        <v>Récolte</v>
      </c>
      <c r="B2" t="str">
        <f>Produits!$B$2</f>
        <v>Graines récoltées</v>
      </c>
      <c r="C2" s="100">
        <f>'Récoltes - AGRESTE'!C19/10^4</f>
        <v>557.36680000000001</v>
      </c>
      <c r="E2" t="str">
        <f>Etiquettes!$C$3</f>
        <v>kt</v>
      </c>
      <c r="F2" s="21" t="str">
        <f>Etiquettes!$L$6</f>
        <v>Pois</v>
      </c>
      <c r="G2" s="21" t="str">
        <f>Etiquettes!$H$5</f>
        <v>2015-16</v>
      </c>
      <c r="H2" t="str">
        <f>Etiquettes!$C$4</f>
        <v>France entière</v>
      </c>
      <c r="I2" s="101" t="s">
        <v>1401</v>
      </c>
      <c r="J2" s="101"/>
      <c r="K2" s="21" t="s">
        <v>1132</v>
      </c>
      <c r="L2" s="101" t="s">
        <v>1483</v>
      </c>
      <c r="M2" s="21" t="str">
        <f>Etiquettes!$H$11</f>
        <v>Volume</v>
      </c>
      <c r="N2" s="21" t="str">
        <f>_xlfn.CONCAT(I2,IF(ISBLANK(C2),"",_xlfn.CONCAT(" = ",MROUND(C2,1)," ",E2))," (",K2,")")</f>
        <v>Récolte de pois (hors mélanges de pois) = 557 kt (Statistique Agricole Annuelle - SSP)</v>
      </c>
      <c r="O2" t="str">
        <f>Etiquettes!$H$15</f>
        <v>Fiable</v>
      </c>
      <c r="P2" s="976" t="s">
        <v>1468</v>
      </c>
      <c r="Q2" s="976" t="str">
        <f>Etiquettes!$H$17</f>
        <v>Donnée collectée (valeur du flux ou coefficient)</v>
      </c>
    </row>
    <row r="3" spans="1:19">
      <c r="A3" t="str">
        <f>Secteurs!$B$3</f>
        <v>Ferme</v>
      </c>
      <c r="B3" t="str">
        <f>Produits!$B$4</f>
        <v>Graines autoconsommées</v>
      </c>
      <c r="C3" s="858"/>
      <c r="E3" t="str">
        <f>Etiquettes!$C$3</f>
        <v>kt</v>
      </c>
      <c r="F3" s="21" t="str">
        <f>Etiquettes!$L$6</f>
        <v>Pois</v>
      </c>
      <c r="G3" s="21" t="str">
        <f>Etiquettes!$H$5</f>
        <v>2015-16</v>
      </c>
      <c r="H3" t="str">
        <f>Etiquettes!$C$4</f>
        <v>France entière</v>
      </c>
      <c r="I3" s="21" t="s">
        <v>742</v>
      </c>
      <c r="J3" s="101"/>
      <c r="K3"/>
      <c r="N3" s="21"/>
      <c r="O3" t="str">
        <f>Etiquettes!$K$15</f>
        <v>Approximative</v>
      </c>
      <c r="P3" s="976" t="s">
        <v>1468</v>
      </c>
      <c r="Q3" s="976" t="str">
        <f>Etiquettes!$H$17</f>
        <v>Donnée collectée (valeur du flux ou coefficient)</v>
      </c>
    </row>
    <row r="4" spans="1:19">
      <c r="A4" t="str">
        <f>Produits!$B$2</f>
        <v>Graines récoltées</v>
      </c>
      <c r="B4" t="str">
        <f>Secteurs!$B$4</f>
        <v>OS</v>
      </c>
      <c r="C4" s="100">
        <f>'Bilans Pois - FAM'!K16</f>
        <v>506.536</v>
      </c>
      <c r="E4" t="str">
        <f>Etiquettes!$C$3</f>
        <v>kt</v>
      </c>
      <c r="F4" s="21" t="str">
        <f>Etiquettes!$L$6</f>
        <v>Pois</v>
      </c>
      <c r="G4" s="21" t="str">
        <f>Etiquettes!$H$5</f>
        <v>2015-16</v>
      </c>
      <c r="H4" t="str">
        <f>Etiquettes!$C$4</f>
        <v>France entière</v>
      </c>
      <c r="I4" s="21" t="s">
        <v>743</v>
      </c>
      <c r="J4" s="101"/>
      <c r="K4" t="s">
        <v>741</v>
      </c>
      <c r="L4" s="101" t="s">
        <v>1484</v>
      </c>
      <c r="M4" s="21" t="str">
        <f>Etiquettes!$H$11</f>
        <v>Volume</v>
      </c>
      <c r="N4" s="21" t="str">
        <f t="shared" ref="N4:N10" si="0">_xlfn.CONCAT(I4,IF(ISBLANK(C4),"",_xlfn.CONCAT(" = ",MROUND(C4,1)," ",E4))," (",K4,")")</f>
        <v>Collecte = 507 kt (Bilans par campagne - FranceAgriMer)</v>
      </c>
      <c r="O4" t="str">
        <f>Etiquettes!$I$15</f>
        <v>Robuste</v>
      </c>
      <c r="P4" s="976" t="s">
        <v>1468</v>
      </c>
      <c r="Q4" s="976" t="str">
        <f>Etiquettes!$H$17</f>
        <v>Donnée collectée (valeur du flux ou coefficient)</v>
      </c>
    </row>
    <row r="5" spans="1:19">
      <c r="A5" t="str">
        <f>Produits!$B$7</f>
        <v>Stock initial collecteurs</v>
      </c>
      <c r="B5" t="str">
        <f>Secteurs!$B$4</f>
        <v>OS</v>
      </c>
      <c r="C5" s="100">
        <f>'Bilans Pois - FAM'!J38</f>
        <v>57.042000000000002</v>
      </c>
      <c r="E5" t="str">
        <f>Etiquettes!$C$3</f>
        <v>kt</v>
      </c>
      <c r="F5" s="21" t="str">
        <f>Etiquettes!$L$6</f>
        <v>Pois</v>
      </c>
      <c r="G5" s="21" t="str">
        <f>Etiquettes!$H$5</f>
        <v>2015-16</v>
      </c>
      <c r="H5" t="str">
        <f>Etiquettes!$C$4</f>
        <v>France entière</v>
      </c>
      <c r="I5" s="21" t="s">
        <v>712</v>
      </c>
      <c r="J5" s="101"/>
      <c r="K5" t="s">
        <v>741</v>
      </c>
      <c r="L5" s="101" t="s">
        <v>1484</v>
      </c>
      <c r="M5" s="21" t="str">
        <f>Etiquettes!$H$11</f>
        <v>Volume</v>
      </c>
      <c r="N5" s="21" t="str">
        <f t="shared" si="0"/>
        <v>Stock initial collecteurs = 57 kt (Bilans par campagne - FranceAgriMer)</v>
      </c>
      <c r="O5" t="str">
        <f>Etiquettes!$I$15</f>
        <v>Robuste</v>
      </c>
      <c r="P5" s="976" t="s">
        <v>1468</v>
      </c>
      <c r="Q5" s="976" t="str">
        <f>Etiquettes!$H$17</f>
        <v>Donnée collectée (valeur du flux ou coefficient)</v>
      </c>
    </row>
    <row r="6" spans="1:19">
      <c r="A6" t="str">
        <f>Secteurs!$B$4</f>
        <v>OS</v>
      </c>
      <c r="B6" t="str">
        <f>Produits!$B$10</f>
        <v>Stock final collecteurs</v>
      </c>
      <c r="C6" s="100">
        <f>'Bilans Pois - FAM'!K38</f>
        <v>65.078000000000003</v>
      </c>
      <c r="E6" t="str">
        <f>Etiquettes!$C$3</f>
        <v>kt</v>
      </c>
      <c r="F6" s="21" t="str">
        <f>Etiquettes!$L$6</f>
        <v>Pois</v>
      </c>
      <c r="G6" s="21" t="str">
        <f>Etiquettes!$H$5</f>
        <v>2015-16</v>
      </c>
      <c r="H6" t="str">
        <f>Etiquettes!$C$4</f>
        <v>France entière</v>
      </c>
      <c r="I6" s="21" t="s">
        <v>715</v>
      </c>
      <c r="J6" s="101"/>
      <c r="K6" t="s">
        <v>741</v>
      </c>
      <c r="L6" s="101" t="s">
        <v>1484</v>
      </c>
      <c r="M6" s="21" t="str">
        <f>Etiquettes!$H$11</f>
        <v>Volume</v>
      </c>
      <c r="N6" s="21" t="str">
        <f t="shared" si="0"/>
        <v>Stock final collecteurs = 65 kt (Bilans par campagne - FranceAgriMer)</v>
      </c>
      <c r="O6" t="str">
        <f>Etiquettes!$I$15</f>
        <v>Robuste</v>
      </c>
      <c r="P6" s="976" t="s">
        <v>1468</v>
      </c>
      <c r="Q6" s="976" t="str">
        <f>Etiquettes!$H$17</f>
        <v>Donnée collectée (valeur du flux ou coefficient)</v>
      </c>
    </row>
    <row r="7" spans="1:19">
      <c r="A7" t="str">
        <f>Produits!$B$11</f>
        <v>Graines collectées</v>
      </c>
      <c r="B7" t="str">
        <f>Secteurs!$B$24</f>
        <v>FAB</v>
      </c>
      <c r="C7" s="100">
        <f>'Bilans Pois - FAM'!K27</f>
        <v>26.888999999999999</v>
      </c>
      <c r="E7" t="str">
        <f>Etiquettes!$C$3</f>
        <v>kt</v>
      </c>
      <c r="F7" s="21" t="str">
        <f>Etiquettes!$L$6</f>
        <v>Pois</v>
      </c>
      <c r="G7" s="21" t="str">
        <f>Etiquettes!$H$5</f>
        <v>2015-16</v>
      </c>
      <c r="H7" t="str">
        <f>Etiquettes!$C$4</f>
        <v>France entière</v>
      </c>
      <c r="I7" s="21" t="s">
        <v>1011</v>
      </c>
      <c r="J7" s="101"/>
      <c r="K7" t="s">
        <v>741</v>
      </c>
      <c r="L7" s="101" t="s">
        <v>1484</v>
      </c>
      <c r="M7" s="21" t="str">
        <f>Etiquettes!$H$11</f>
        <v>Volume</v>
      </c>
      <c r="N7" s="21" t="str">
        <f t="shared" si="0"/>
        <v>Consommation de graines par les FAB = 27 kt (Bilans par campagne - FranceAgriMer)</v>
      </c>
      <c r="O7" t="str">
        <f>Etiquettes!$J$15</f>
        <v>Probable</v>
      </c>
      <c r="P7" s="976" t="s">
        <v>1468</v>
      </c>
      <c r="Q7" s="976" t="str">
        <f>Etiquettes!$H$17</f>
        <v>Donnée collectée (valeur du flux ou coefficient)</v>
      </c>
    </row>
    <row r="8" spans="1:19">
      <c r="A8" t="str">
        <f>Produits!$B$11</f>
        <v>Graines collectées</v>
      </c>
      <c r="B8" t="str">
        <f>Secteurs!$B$9</f>
        <v>Amidonnerie</v>
      </c>
      <c r="C8" s="100">
        <f>'Bilans Pois - FAM'!K28</f>
        <v>120</v>
      </c>
      <c r="E8" t="str">
        <f>Etiquettes!$C$3</f>
        <v>kt</v>
      </c>
      <c r="F8" s="21" t="str">
        <f>Etiquettes!$L$6</f>
        <v>Pois</v>
      </c>
      <c r="G8" s="21" t="str">
        <f>Etiquettes!$H$5</f>
        <v>2015-16</v>
      </c>
      <c r="H8" t="str">
        <f>Etiquettes!$C$4</f>
        <v>France entière</v>
      </c>
      <c r="I8" s="21" t="s">
        <v>1008</v>
      </c>
      <c r="J8" s="101"/>
      <c r="K8" t="s">
        <v>741</v>
      </c>
      <c r="L8" s="101" t="s">
        <v>1484</v>
      </c>
      <c r="M8" s="21" t="str">
        <f>Etiquettes!$H$11</f>
        <v>Volume</v>
      </c>
      <c r="N8" s="21" t="str">
        <f t="shared" si="0"/>
        <v>Consommation de graines en alimentation humaine = 120 kt (Bilans par campagne - FranceAgriMer)</v>
      </c>
      <c r="O8" t="str">
        <f>Etiquettes!$J$15</f>
        <v>Probable</v>
      </c>
      <c r="P8" s="976" t="s">
        <v>1468</v>
      </c>
      <c r="Q8" s="976" t="str">
        <f>Etiquettes!$H$17</f>
        <v>Donnée collectée (valeur du flux ou coefficient)</v>
      </c>
    </row>
    <row r="9" spans="1:19">
      <c r="A9" t="str">
        <f>Produits!$B$11</f>
        <v>Graines collectées</v>
      </c>
      <c r="B9" t="str">
        <f>Secteurs!$B$44</f>
        <v>Semences certifiées</v>
      </c>
      <c r="C9" s="100">
        <f>'Bilans Pois - FAM'!K29</f>
        <v>25</v>
      </c>
      <c r="E9" t="str">
        <f>Etiquettes!$C$3</f>
        <v>kt</v>
      </c>
      <c r="F9" s="21" t="str">
        <f>Etiquettes!$L$6</f>
        <v>Pois</v>
      </c>
      <c r="G9" s="21" t="str">
        <f>Etiquettes!$H$5</f>
        <v>2015-16</v>
      </c>
      <c r="H9" t="str">
        <f>Etiquettes!$C$4</f>
        <v>France entière</v>
      </c>
      <c r="I9" s="21" t="s">
        <v>744</v>
      </c>
      <c r="J9" s="101"/>
      <c r="K9" t="s">
        <v>741</v>
      </c>
      <c r="L9" s="101" t="s">
        <v>1484</v>
      </c>
      <c r="M9" s="21" t="str">
        <f>Etiquettes!$H$11</f>
        <v>Volume</v>
      </c>
      <c r="N9" s="21" t="str">
        <f t="shared" si="0"/>
        <v>Production de semences certifiées = 25 kt (Bilans par campagne - FranceAgriMer)</v>
      </c>
      <c r="O9" t="str">
        <f>Etiquettes!$J$15</f>
        <v>Probable</v>
      </c>
      <c r="P9" s="976" t="s">
        <v>1468</v>
      </c>
      <c r="Q9" s="976" t="str">
        <f>Etiquettes!$H$17</f>
        <v>Donnée collectée (valeur du flux ou coefficient)</v>
      </c>
    </row>
    <row r="10" spans="1:19">
      <c r="A10" t="str">
        <f>Secteurs!$B$2</f>
        <v>Récolte</v>
      </c>
      <c r="B10" t="str">
        <f>Produits!$B$2</f>
        <v>Graines récoltées</v>
      </c>
      <c r="C10" s="100">
        <f>'Récoltes - AGRESTE'!D19/10^4</f>
        <v>594.90779999999995</v>
      </c>
      <c r="E10" t="str">
        <f>Etiquettes!$C$3</f>
        <v>kt</v>
      </c>
      <c r="F10" s="21" t="str">
        <f>Etiquettes!$L$6</f>
        <v>Pois</v>
      </c>
      <c r="G10" s="21" t="str">
        <f>Etiquettes!$I$5</f>
        <v>2019-20</v>
      </c>
      <c r="H10" t="str">
        <f>Etiquettes!$C$4</f>
        <v>France entière</v>
      </c>
      <c r="I10" s="101" t="s">
        <v>1401</v>
      </c>
      <c r="J10" s="101"/>
      <c r="K10" s="21" t="s">
        <v>1132</v>
      </c>
      <c r="L10" s="101" t="s">
        <v>1483</v>
      </c>
      <c r="M10" s="21" t="str">
        <f>Etiquettes!$H$11</f>
        <v>Volume</v>
      </c>
      <c r="N10" s="21" t="str">
        <f t="shared" si="0"/>
        <v>Récolte de pois (hors mélanges de pois) = 595 kt (Statistique Agricole Annuelle - SSP)</v>
      </c>
      <c r="O10" t="str">
        <f>Etiquettes!$H$15</f>
        <v>Fiable</v>
      </c>
      <c r="P10" s="976" t="s">
        <v>1468</v>
      </c>
      <c r="Q10" s="976" t="str">
        <f>Etiquettes!$H$17</f>
        <v>Donnée collectée (valeur du flux ou coefficient)</v>
      </c>
    </row>
    <row r="11" spans="1:19">
      <c r="A11" t="str">
        <f>Secteurs!$B$3</f>
        <v>Ferme</v>
      </c>
      <c r="B11" t="str">
        <f>Produits!$B$4</f>
        <v>Graines autoconsommées</v>
      </c>
      <c r="C11" s="858"/>
      <c r="E11" t="str">
        <f>Etiquettes!$C$3</f>
        <v>kt</v>
      </c>
      <c r="F11" s="21" t="str">
        <f>Etiquettes!$L$6</f>
        <v>Pois</v>
      </c>
      <c r="G11" s="21" t="str">
        <f>Etiquettes!$I$5</f>
        <v>2019-20</v>
      </c>
      <c r="H11" t="str">
        <f>Etiquettes!$C$4</f>
        <v>France entière</v>
      </c>
      <c r="I11" s="21" t="s">
        <v>742</v>
      </c>
      <c r="J11" s="101"/>
      <c r="K11"/>
      <c r="N11" s="21"/>
      <c r="O11" t="str">
        <f>Etiquettes!$K$15</f>
        <v>Approximative</v>
      </c>
      <c r="P11" s="976" t="s">
        <v>1468</v>
      </c>
      <c r="Q11" s="976" t="str">
        <f>Etiquettes!$H$17</f>
        <v>Donnée collectée (valeur du flux ou coefficient)</v>
      </c>
    </row>
    <row r="12" spans="1:19">
      <c r="A12" t="str">
        <f>Produits!$B$2</f>
        <v>Graines récoltées</v>
      </c>
      <c r="B12" t="str">
        <f>Secteurs!$B$4</f>
        <v>OS</v>
      </c>
      <c r="C12" s="100">
        <f>'Bilans Pois - FAM'!Q16</f>
        <v>540.4543000000001</v>
      </c>
      <c r="E12" t="str">
        <f>Etiquettes!$C$3</f>
        <v>kt</v>
      </c>
      <c r="F12" s="21" t="str">
        <f>Etiquettes!$L$6</f>
        <v>Pois</v>
      </c>
      <c r="G12" s="21" t="str">
        <f>Etiquettes!$I$5</f>
        <v>2019-20</v>
      </c>
      <c r="H12" t="str">
        <f>Etiquettes!$C$4</f>
        <v>France entière</v>
      </c>
      <c r="I12" s="21" t="s">
        <v>743</v>
      </c>
      <c r="J12" s="101"/>
      <c r="K12" t="s">
        <v>741</v>
      </c>
      <c r="L12" s="101" t="s">
        <v>1484</v>
      </c>
      <c r="M12" s="21" t="str">
        <f>Etiquettes!$H$11</f>
        <v>Volume</v>
      </c>
      <c r="N12" s="21" t="str">
        <f t="shared" ref="N12:N18" si="1">_xlfn.CONCAT(I12,IF(ISBLANK(C12),"",_xlfn.CONCAT(" = ",MROUND(C12,1)," ",E12))," (",K12,")")</f>
        <v>Collecte = 540 kt (Bilans par campagne - FranceAgriMer)</v>
      </c>
      <c r="O12" t="str">
        <f>Etiquettes!$I$15</f>
        <v>Robuste</v>
      </c>
      <c r="P12" s="976" t="s">
        <v>1468</v>
      </c>
      <c r="Q12" s="976" t="str">
        <f>Etiquettes!$H$17</f>
        <v>Donnée collectée (valeur du flux ou coefficient)</v>
      </c>
    </row>
    <row r="13" spans="1:19">
      <c r="A13" t="str">
        <f>Produits!$B$7</f>
        <v>Stock initial collecteurs</v>
      </c>
      <c r="B13" t="str">
        <f>Secteurs!$B$4</f>
        <v>OS</v>
      </c>
      <c r="C13" s="100">
        <f>'Bilans Pois - FAM'!P38</f>
        <v>82</v>
      </c>
      <c r="E13" t="str">
        <f>Etiquettes!$C$3</f>
        <v>kt</v>
      </c>
      <c r="F13" s="21" t="str">
        <f>Etiquettes!$L$6</f>
        <v>Pois</v>
      </c>
      <c r="G13" s="21" t="str">
        <f>Etiquettes!$I$5</f>
        <v>2019-20</v>
      </c>
      <c r="H13" t="str">
        <f>Etiquettes!$C$4</f>
        <v>France entière</v>
      </c>
      <c r="I13" s="21" t="s">
        <v>712</v>
      </c>
      <c r="J13" s="101"/>
      <c r="K13" t="s">
        <v>741</v>
      </c>
      <c r="L13" s="101" t="s">
        <v>1484</v>
      </c>
      <c r="M13" s="21" t="str">
        <f>Etiquettes!$H$11</f>
        <v>Volume</v>
      </c>
      <c r="N13" s="21" t="str">
        <f t="shared" si="1"/>
        <v>Stock initial collecteurs = 82 kt (Bilans par campagne - FranceAgriMer)</v>
      </c>
      <c r="O13" t="str">
        <f>Etiquettes!$I$15</f>
        <v>Robuste</v>
      </c>
      <c r="P13" s="976" t="s">
        <v>1468</v>
      </c>
      <c r="Q13" s="976" t="str">
        <f>Etiquettes!$H$17</f>
        <v>Donnée collectée (valeur du flux ou coefficient)</v>
      </c>
    </row>
    <row r="14" spans="1:19">
      <c r="A14" t="str">
        <f>Secteurs!$B$4</f>
        <v>OS</v>
      </c>
      <c r="B14" t="str">
        <f>Produits!$B$10</f>
        <v>Stock final collecteurs</v>
      </c>
      <c r="C14" s="100">
        <f>'Bilans Pois - FAM'!Q38</f>
        <v>53.097699999999996</v>
      </c>
      <c r="E14" t="str">
        <f>Etiquettes!$C$3</f>
        <v>kt</v>
      </c>
      <c r="F14" s="21" t="str">
        <f>Etiquettes!$L$6</f>
        <v>Pois</v>
      </c>
      <c r="G14" s="21" t="str">
        <f>Etiquettes!$I$5</f>
        <v>2019-20</v>
      </c>
      <c r="H14" t="str">
        <f>Etiquettes!$C$4</f>
        <v>France entière</v>
      </c>
      <c r="I14" s="21" t="s">
        <v>715</v>
      </c>
      <c r="J14" s="101"/>
      <c r="K14" t="s">
        <v>741</v>
      </c>
      <c r="L14" s="101" t="s">
        <v>1484</v>
      </c>
      <c r="M14" s="21" t="str">
        <f>Etiquettes!$H$11</f>
        <v>Volume</v>
      </c>
      <c r="N14" s="21" t="str">
        <f t="shared" si="1"/>
        <v>Stock final collecteurs = 53 kt (Bilans par campagne - FranceAgriMer)</v>
      </c>
      <c r="O14" t="str">
        <f>Etiquettes!$I$15</f>
        <v>Robuste</v>
      </c>
      <c r="P14" s="976" t="s">
        <v>1468</v>
      </c>
      <c r="Q14" s="976" t="str">
        <f>Etiquettes!$H$17</f>
        <v>Donnée collectée (valeur du flux ou coefficient)</v>
      </c>
    </row>
    <row r="15" spans="1:19">
      <c r="A15" t="str">
        <f>Produits!$B$11</f>
        <v>Graines collectées</v>
      </c>
      <c r="B15" t="str">
        <f>Secteurs!$B$24</f>
        <v>FAB</v>
      </c>
      <c r="C15" s="100">
        <f>'Bilans Pois - FAM'!Q27</f>
        <v>100.42514100000002</v>
      </c>
      <c r="E15" t="str">
        <f>Etiquettes!$C$3</f>
        <v>kt</v>
      </c>
      <c r="F15" s="21" t="str">
        <f>Etiquettes!$L$6</f>
        <v>Pois</v>
      </c>
      <c r="G15" s="21" t="str">
        <f>Etiquettes!$I$5</f>
        <v>2019-20</v>
      </c>
      <c r="H15" t="str">
        <f>Etiquettes!$C$4</f>
        <v>France entière</v>
      </c>
      <c r="I15" s="21" t="s">
        <v>1011</v>
      </c>
      <c r="J15" s="101"/>
      <c r="K15" t="s">
        <v>741</v>
      </c>
      <c r="L15" s="101" t="s">
        <v>1484</v>
      </c>
      <c r="M15" s="21" t="str">
        <f>Etiquettes!$H$11</f>
        <v>Volume</v>
      </c>
      <c r="N15" s="21" t="str">
        <f t="shared" si="1"/>
        <v>Consommation de graines par les FAB = 100 kt (Bilans par campagne - FranceAgriMer)</v>
      </c>
      <c r="O15" t="str">
        <f>Etiquettes!$J$15</f>
        <v>Probable</v>
      </c>
      <c r="P15" s="976" t="s">
        <v>1468</v>
      </c>
      <c r="Q15" s="976" t="str">
        <f>Etiquettes!$H$17</f>
        <v>Donnée collectée (valeur du flux ou coefficient)</v>
      </c>
    </row>
    <row r="16" spans="1:19">
      <c r="A16" t="str">
        <f>Produits!$B$11</f>
        <v>Graines collectées</v>
      </c>
      <c r="B16" t="str">
        <f>Secteurs!$B$9</f>
        <v>Amidonnerie</v>
      </c>
      <c r="C16" s="100">
        <f>'Bilans Pois - FAM'!Q28</f>
        <v>140</v>
      </c>
      <c r="E16" t="str">
        <f>Etiquettes!$C$3</f>
        <v>kt</v>
      </c>
      <c r="F16" s="21" t="str">
        <f>Etiquettes!$L$6</f>
        <v>Pois</v>
      </c>
      <c r="G16" s="21" t="str">
        <f>Etiquettes!$I$5</f>
        <v>2019-20</v>
      </c>
      <c r="H16" t="str">
        <f>Etiquettes!$C$4</f>
        <v>France entière</v>
      </c>
      <c r="I16" s="21" t="s">
        <v>1008</v>
      </c>
      <c r="J16" s="101"/>
      <c r="K16" t="s">
        <v>741</v>
      </c>
      <c r="L16" s="101" t="s">
        <v>1484</v>
      </c>
      <c r="M16" s="21" t="str">
        <f>Etiquettes!$H$11</f>
        <v>Volume</v>
      </c>
      <c r="N16" s="21" t="str">
        <f t="shared" si="1"/>
        <v>Consommation de graines en alimentation humaine = 140 kt (Bilans par campagne - FranceAgriMer)</v>
      </c>
      <c r="O16" t="str">
        <f>Etiquettes!$J$15</f>
        <v>Probable</v>
      </c>
      <c r="P16" s="976" t="s">
        <v>1468</v>
      </c>
      <c r="Q16" s="976" t="str">
        <f>Etiquettes!$H$17</f>
        <v>Donnée collectée (valeur du flux ou coefficient)</v>
      </c>
    </row>
    <row r="17" spans="1:17">
      <c r="A17" t="str">
        <f>Produits!$B$11</f>
        <v>Graines collectées</v>
      </c>
      <c r="B17" t="str">
        <f>Secteurs!$B$44</f>
        <v>Semences certifiées</v>
      </c>
      <c r="C17" s="100">
        <f>'Bilans Pois - FAM'!Q29</f>
        <v>21.336200000000002</v>
      </c>
      <c r="E17" t="str">
        <f>Etiquettes!$C$3</f>
        <v>kt</v>
      </c>
      <c r="F17" s="21" t="str">
        <f>Etiquettes!$L$6</f>
        <v>Pois</v>
      </c>
      <c r="G17" s="21" t="str">
        <f>Etiquettes!$I$5</f>
        <v>2019-20</v>
      </c>
      <c r="H17" t="str">
        <f>Etiquettes!$C$4</f>
        <v>France entière</v>
      </c>
      <c r="I17" s="21" t="s">
        <v>744</v>
      </c>
      <c r="J17" s="101"/>
      <c r="K17" t="s">
        <v>741</v>
      </c>
      <c r="L17" s="101" t="s">
        <v>1484</v>
      </c>
      <c r="M17" s="21" t="str">
        <f>Etiquettes!$H$11</f>
        <v>Volume</v>
      </c>
      <c r="N17" s="21" t="str">
        <f t="shared" si="1"/>
        <v>Production de semences certifiées = 21 kt (Bilans par campagne - FranceAgriMer)</v>
      </c>
      <c r="O17" t="str">
        <f>Etiquettes!$J$15</f>
        <v>Probable</v>
      </c>
      <c r="P17" s="976" t="s">
        <v>1468</v>
      </c>
      <c r="Q17" s="976" t="str">
        <f>Etiquettes!$H$17</f>
        <v>Donnée collectée (valeur du flux ou coefficient)</v>
      </c>
    </row>
    <row r="18" spans="1:17">
      <c r="A18" t="str">
        <f>Secteurs!$B$2</f>
        <v>Récolte</v>
      </c>
      <c r="B18" t="str">
        <f>Produits!$B$2</f>
        <v>Graines récoltées</v>
      </c>
      <c r="C18" s="100">
        <f>'Récoltes - AGRESTE'!E19/10^4</f>
        <v>485.18959999999998</v>
      </c>
      <c r="E18" t="str">
        <f>Etiquettes!$C$3</f>
        <v>kt</v>
      </c>
      <c r="F18" s="21" t="str">
        <f>Etiquettes!$L$6</f>
        <v>Pois</v>
      </c>
      <c r="G18" s="21" t="str">
        <f>Etiquettes!$J$5</f>
        <v>2023-24</v>
      </c>
      <c r="H18" t="str">
        <f>Etiquettes!$C$4</f>
        <v>France entière</v>
      </c>
      <c r="I18" s="101" t="s">
        <v>1401</v>
      </c>
      <c r="J18" s="101"/>
      <c r="K18" s="21" t="s">
        <v>1132</v>
      </c>
      <c r="L18" s="101" t="s">
        <v>1483</v>
      </c>
      <c r="M18" s="21" t="str">
        <f>Etiquettes!$H$11</f>
        <v>Volume</v>
      </c>
      <c r="N18" s="21" t="str">
        <f t="shared" si="1"/>
        <v>Récolte de pois (hors mélanges de pois) = 485 kt (Statistique Agricole Annuelle - SSP)</v>
      </c>
      <c r="O18" t="str">
        <f>Etiquettes!$H$15</f>
        <v>Fiable</v>
      </c>
      <c r="P18" s="976" t="s">
        <v>1468</v>
      </c>
      <c r="Q18" s="976" t="str">
        <f>Etiquettes!$H$17</f>
        <v>Donnée collectée (valeur du flux ou coefficient)</v>
      </c>
    </row>
    <row r="19" spans="1:17">
      <c r="A19" t="str">
        <f>Secteurs!$B$3</f>
        <v>Ferme</v>
      </c>
      <c r="B19" t="str">
        <f>Produits!$B$4</f>
        <v>Graines autoconsommées</v>
      </c>
      <c r="C19" s="858"/>
      <c r="E19" t="str">
        <f>Etiquettes!$C$3</f>
        <v>kt</v>
      </c>
      <c r="F19" s="21" t="str">
        <f>Etiquettes!$L$6</f>
        <v>Pois</v>
      </c>
      <c r="G19" s="21" t="str">
        <f>Etiquettes!$J$5</f>
        <v>2023-24</v>
      </c>
      <c r="H19" t="str">
        <f>Etiquettes!$C$4</f>
        <v>France entière</v>
      </c>
      <c r="I19" s="21" t="s">
        <v>742</v>
      </c>
      <c r="J19" s="101"/>
      <c r="K19"/>
      <c r="N19" s="21"/>
      <c r="O19" t="str">
        <f>Etiquettes!$K$15</f>
        <v>Approximative</v>
      </c>
      <c r="P19" s="976" t="s">
        <v>1468</v>
      </c>
      <c r="Q19" s="976" t="str">
        <f>Etiquettes!$H$17</f>
        <v>Donnée collectée (valeur du flux ou coefficient)</v>
      </c>
    </row>
    <row r="20" spans="1:17">
      <c r="A20" t="str">
        <f>Produits!$B$2</f>
        <v>Graines récoltées</v>
      </c>
      <c r="B20" t="str">
        <f>Secteurs!$B$4</f>
        <v>OS</v>
      </c>
      <c r="C20" s="100">
        <f>'Bilans Pois - FAM'!U16</f>
        <v>412.904</v>
      </c>
      <c r="E20" t="str">
        <f>Etiquettes!$C$3</f>
        <v>kt</v>
      </c>
      <c r="F20" s="21" t="str">
        <f>Etiquettes!$L$6</f>
        <v>Pois</v>
      </c>
      <c r="G20" s="21" t="str">
        <f>Etiquettes!$J$5</f>
        <v>2023-24</v>
      </c>
      <c r="H20" t="str">
        <f>Etiquettes!$C$4</f>
        <v>France entière</v>
      </c>
      <c r="I20" s="21" t="s">
        <v>743</v>
      </c>
      <c r="J20" s="101"/>
      <c r="K20" t="s">
        <v>741</v>
      </c>
      <c r="L20" s="101" t="s">
        <v>1484</v>
      </c>
      <c r="M20" s="21" t="str">
        <f>Etiquettes!$H$11</f>
        <v>Volume</v>
      </c>
      <c r="N20" s="21" t="str">
        <f t="shared" ref="N20:N25" si="2">_xlfn.CONCAT(I20,IF(ISBLANK(C20),"",_xlfn.CONCAT(" = ",MROUND(C20,1)," ",E20))," (",K20,")")</f>
        <v>Collecte = 413 kt (Bilans par campagne - FranceAgriMer)</v>
      </c>
      <c r="O20" t="str">
        <f>Etiquettes!$I$15</f>
        <v>Robuste</v>
      </c>
      <c r="P20" s="976" t="s">
        <v>1468</v>
      </c>
      <c r="Q20" s="976" t="str">
        <f>Etiquettes!$H$17</f>
        <v>Donnée collectée (valeur du flux ou coefficient)</v>
      </c>
    </row>
    <row r="21" spans="1:17">
      <c r="A21" t="str">
        <f>Produits!$B$7</f>
        <v>Stock initial collecteurs</v>
      </c>
      <c r="B21" t="str">
        <f>Secteurs!$B$4</f>
        <v>OS</v>
      </c>
      <c r="C21" s="100">
        <f>'Bilans Pois - FAM'!T38</f>
        <v>53.862199999999994</v>
      </c>
      <c r="E21" t="str">
        <f>Etiquettes!$C$3</f>
        <v>kt</v>
      </c>
      <c r="F21" s="21" t="str">
        <f>Etiquettes!$L$6</f>
        <v>Pois</v>
      </c>
      <c r="G21" s="21" t="str">
        <f>Etiquettes!$J$5</f>
        <v>2023-24</v>
      </c>
      <c r="H21" t="str">
        <f>Etiquettes!$C$4</f>
        <v>France entière</v>
      </c>
      <c r="I21" s="21" t="s">
        <v>712</v>
      </c>
      <c r="J21" s="101"/>
      <c r="K21" t="s">
        <v>741</v>
      </c>
      <c r="L21" s="101" t="s">
        <v>1484</v>
      </c>
      <c r="M21" s="21" t="str">
        <f>Etiquettes!$H$11</f>
        <v>Volume</v>
      </c>
      <c r="N21" s="21" t="str">
        <f t="shared" si="2"/>
        <v>Stock initial collecteurs = 54 kt (Bilans par campagne - FranceAgriMer)</v>
      </c>
      <c r="O21" t="str">
        <f>Etiquettes!$I$15</f>
        <v>Robuste</v>
      </c>
      <c r="P21" s="976" t="s">
        <v>1468</v>
      </c>
      <c r="Q21" s="976" t="str">
        <f>Etiquettes!$H$17</f>
        <v>Donnée collectée (valeur du flux ou coefficient)</v>
      </c>
    </row>
    <row r="22" spans="1:17">
      <c r="A22" t="str">
        <f>Secteurs!$B$4</f>
        <v>OS</v>
      </c>
      <c r="B22" t="str">
        <f>Produits!$B$10</f>
        <v>Stock final collecteurs</v>
      </c>
      <c r="C22" s="100">
        <f>'Bilans Pois - FAM'!U38</f>
        <v>57.442599999999999</v>
      </c>
      <c r="E22" t="str">
        <f>Etiquettes!$C$3</f>
        <v>kt</v>
      </c>
      <c r="F22" s="21" t="str">
        <f>Etiquettes!$L$6</f>
        <v>Pois</v>
      </c>
      <c r="G22" s="21" t="str">
        <f>Etiquettes!$J$5</f>
        <v>2023-24</v>
      </c>
      <c r="H22" t="str">
        <f>Etiquettes!$C$4</f>
        <v>France entière</v>
      </c>
      <c r="I22" s="21" t="s">
        <v>715</v>
      </c>
      <c r="J22" s="101"/>
      <c r="K22" t="s">
        <v>741</v>
      </c>
      <c r="L22" s="101" t="s">
        <v>1484</v>
      </c>
      <c r="M22" s="21" t="str">
        <f>Etiquettes!$H$11</f>
        <v>Volume</v>
      </c>
      <c r="N22" s="21" t="str">
        <f t="shared" si="2"/>
        <v>Stock final collecteurs = 57 kt (Bilans par campagne - FranceAgriMer)</v>
      </c>
      <c r="O22" t="str">
        <f>Etiquettes!$I$15</f>
        <v>Robuste</v>
      </c>
      <c r="P22" s="976" t="s">
        <v>1468</v>
      </c>
      <c r="Q22" s="976" t="str">
        <f>Etiquettes!$H$17</f>
        <v>Donnée collectée (valeur du flux ou coefficient)</v>
      </c>
    </row>
    <row r="23" spans="1:17">
      <c r="A23" t="str">
        <f>Produits!$B$11</f>
        <v>Graines collectées</v>
      </c>
      <c r="B23" t="str">
        <f>Secteurs!$B$24</f>
        <v>FAB</v>
      </c>
      <c r="C23" s="100">
        <f>'Bilans Pois - FAM'!U27</f>
        <v>83.637079999999997</v>
      </c>
      <c r="E23" t="str">
        <f>Etiquettes!$C$3</f>
        <v>kt</v>
      </c>
      <c r="F23" s="21" t="str">
        <f>Etiquettes!$L$6</f>
        <v>Pois</v>
      </c>
      <c r="G23" s="21" t="str">
        <f>Etiquettes!$J$5</f>
        <v>2023-24</v>
      </c>
      <c r="H23" t="str">
        <f>Etiquettes!$C$4</f>
        <v>France entière</v>
      </c>
      <c r="I23" s="21" t="s">
        <v>1011</v>
      </c>
      <c r="J23" s="101"/>
      <c r="K23" t="s">
        <v>741</v>
      </c>
      <c r="L23" s="101" t="s">
        <v>1484</v>
      </c>
      <c r="M23" s="21" t="str">
        <f>Etiquettes!$H$11</f>
        <v>Volume</v>
      </c>
      <c r="N23" s="21" t="str">
        <f t="shared" si="2"/>
        <v>Consommation de graines par les FAB = 84 kt (Bilans par campagne - FranceAgriMer)</v>
      </c>
      <c r="O23" t="str">
        <f>Etiquettes!$J$15</f>
        <v>Probable</v>
      </c>
      <c r="P23" s="976" t="s">
        <v>1468</v>
      </c>
      <c r="Q23" s="976" t="str">
        <f>Etiquettes!$H$17</f>
        <v>Donnée collectée (valeur du flux ou coefficient)</v>
      </c>
    </row>
    <row r="24" spans="1:17">
      <c r="A24" t="str">
        <f>Produits!$B$11</f>
        <v>Graines collectées</v>
      </c>
      <c r="B24" t="str">
        <f>Secteurs!$B$9</f>
        <v>Amidonnerie</v>
      </c>
      <c r="C24" s="100">
        <f>'Bilans Pois - FAM'!U28</f>
        <v>140</v>
      </c>
      <c r="E24" t="str">
        <f>Etiquettes!$C$3</f>
        <v>kt</v>
      </c>
      <c r="F24" s="21" t="str">
        <f>Etiquettes!$L$6</f>
        <v>Pois</v>
      </c>
      <c r="G24" s="21" t="str">
        <f>Etiquettes!$J$5</f>
        <v>2023-24</v>
      </c>
      <c r="H24" t="str">
        <f>Etiquettes!$C$4</f>
        <v>France entière</v>
      </c>
      <c r="I24" s="21" t="s">
        <v>1008</v>
      </c>
      <c r="K24" t="s">
        <v>741</v>
      </c>
      <c r="L24" s="101" t="s">
        <v>1484</v>
      </c>
      <c r="M24" s="21" t="str">
        <f>Etiquettes!$H$11</f>
        <v>Volume</v>
      </c>
      <c r="N24" s="21" t="str">
        <f t="shared" si="2"/>
        <v>Consommation de graines en alimentation humaine = 140 kt (Bilans par campagne - FranceAgriMer)</v>
      </c>
      <c r="O24" t="str">
        <f>Etiquettes!$J$15</f>
        <v>Probable</v>
      </c>
      <c r="P24" s="976" t="s">
        <v>1468</v>
      </c>
      <c r="Q24" s="976" t="str">
        <f>Etiquettes!$H$17</f>
        <v>Donnée collectée (valeur du flux ou coefficient)</v>
      </c>
    </row>
    <row r="25" spans="1:17">
      <c r="A25" t="str">
        <f>Produits!$B$11</f>
        <v>Graines collectées</v>
      </c>
      <c r="B25" t="str">
        <f>Secteurs!$B$44</f>
        <v>Semences certifiées</v>
      </c>
      <c r="C25" s="100">
        <f>'Bilans Pois - FAM'!U29</f>
        <v>17.831199999999999</v>
      </c>
      <c r="E25" t="str">
        <f>Etiquettes!$C$3</f>
        <v>kt</v>
      </c>
      <c r="F25" s="21" t="str">
        <f>Etiquettes!$L$6</f>
        <v>Pois</v>
      </c>
      <c r="G25" s="21" t="str">
        <f>Etiquettes!$J$5</f>
        <v>2023-24</v>
      </c>
      <c r="H25" t="str">
        <f>Etiquettes!$C$4</f>
        <v>France entière</v>
      </c>
      <c r="I25" s="21" t="s">
        <v>744</v>
      </c>
      <c r="K25" t="s">
        <v>741</v>
      </c>
      <c r="L25" s="101" t="s">
        <v>1484</v>
      </c>
      <c r="M25" s="21" t="str">
        <f>Etiquettes!$H$11</f>
        <v>Volume</v>
      </c>
      <c r="N25" s="21" t="str">
        <f t="shared" si="2"/>
        <v>Production de semences certifiées = 18 kt (Bilans par campagne - FranceAgriMer)</v>
      </c>
      <c r="O25" t="str">
        <f>Etiquettes!$J$15</f>
        <v>Probable</v>
      </c>
      <c r="P25" s="976" t="s">
        <v>1468</v>
      </c>
      <c r="Q25" s="976" t="str">
        <f>Etiquettes!$H$17</f>
        <v>Donnée collectée (valeur du flux ou coefficient)</v>
      </c>
    </row>
    <row r="28" spans="1:17">
      <c r="D28" s="100"/>
    </row>
    <row r="29" spans="1:17">
      <c r="D29" s="100"/>
    </row>
    <row r="30" spans="1:17">
      <c r="D30" s="100"/>
    </row>
    <row r="31" spans="1:17">
      <c r="D31" s="100"/>
    </row>
    <row r="32" spans="1:17">
      <c r="D32" s="100"/>
    </row>
    <row r="33" spans="4:4">
      <c r="D33" s="100"/>
    </row>
    <row r="34" spans="4:4">
      <c r="D34" s="100"/>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58338-9E60-4B5C-841A-E9C106AAC167}">
  <sheetPr>
    <tabColor rgb="FFFFC000"/>
    <pageSetUpPr fitToPage="1"/>
  </sheetPr>
  <dimension ref="A1:W62"/>
  <sheetViews>
    <sheetView zoomScale="85" zoomScaleNormal="85" workbookViewId="0">
      <selection activeCell="Z13" sqref="Z13"/>
    </sheetView>
  </sheetViews>
  <sheetFormatPr baseColWidth="10" defaultRowHeight="14.4"/>
  <cols>
    <col min="1" max="1" width="39.44140625" style="104" customWidth="1"/>
    <col min="2" max="8" width="11.77734375" style="104" customWidth="1"/>
    <col min="9" max="10" width="11.77734375" style="104" customWidth="1" collapsed="1"/>
    <col min="11" max="23" width="11.77734375" style="104" customWidth="1"/>
    <col min="24" max="16384" width="11.5546875" style="104"/>
  </cols>
  <sheetData>
    <row r="1" spans="1:23" ht="60" customHeight="1" thickBot="1">
      <c r="B1" s="1032" t="s">
        <v>826</v>
      </c>
      <c r="C1" s="1030"/>
      <c r="D1" s="1030"/>
      <c r="E1" s="1030"/>
      <c r="F1" s="1030"/>
      <c r="G1" s="1030"/>
      <c r="H1" s="1030"/>
      <c r="I1" s="1030"/>
      <c r="J1" s="1030"/>
      <c r="K1" s="1030"/>
      <c r="L1" s="1030"/>
      <c r="M1" s="1030"/>
      <c r="N1" s="1030"/>
      <c r="O1" s="1030"/>
      <c r="P1" s="1030"/>
      <c r="Q1" s="710" t="s">
        <v>859</v>
      </c>
      <c r="R1" s="710"/>
      <c r="S1" s="710"/>
      <c r="T1" s="710"/>
      <c r="U1" s="710"/>
      <c r="V1" s="710"/>
      <c r="W1" s="710"/>
    </row>
    <row r="2" spans="1:23" ht="20.25" customHeight="1">
      <c r="A2" s="340" t="s">
        <v>756</v>
      </c>
      <c r="B2" s="341" t="s">
        <v>114</v>
      </c>
      <c r="C2" s="342" t="s">
        <v>115</v>
      </c>
      <c r="D2" s="342" t="s">
        <v>757</v>
      </c>
      <c r="E2" s="342" t="s">
        <v>116</v>
      </c>
      <c r="F2" s="342" t="s">
        <v>117</v>
      </c>
      <c r="G2" s="342" t="s">
        <v>827</v>
      </c>
      <c r="H2" s="342" t="s">
        <v>828</v>
      </c>
      <c r="I2" s="342" t="s">
        <v>812</v>
      </c>
      <c r="J2" s="343" t="s">
        <v>829</v>
      </c>
      <c r="K2" s="343" t="s">
        <v>830</v>
      </c>
      <c r="L2" s="343" t="s">
        <v>123</v>
      </c>
      <c r="M2" s="343" t="s">
        <v>124</v>
      </c>
      <c r="N2" s="343" t="s">
        <v>124</v>
      </c>
      <c r="O2" s="343" t="s">
        <v>124</v>
      </c>
      <c r="P2" s="343" t="s">
        <v>125</v>
      </c>
      <c r="Q2" s="711" t="s">
        <v>126</v>
      </c>
      <c r="R2" s="712" t="s">
        <v>128</v>
      </c>
      <c r="S2" s="711" t="s">
        <v>129</v>
      </c>
      <c r="T2" s="713" t="s">
        <v>130</v>
      </c>
      <c r="U2" s="714" t="s">
        <v>131</v>
      </c>
      <c r="V2" s="715" t="s">
        <v>131</v>
      </c>
      <c r="W2" s="714" t="s">
        <v>132</v>
      </c>
    </row>
    <row r="3" spans="1:23" ht="25.8" thickBot="1">
      <c r="A3" s="344"/>
      <c r="B3" s="345"/>
      <c r="C3" s="346"/>
      <c r="D3" s="346"/>
      <c r="E3" s="346"/>
      <c r="F3" s="346"/>
      <c r="G3" s="346"/>
      <c r="H3" s="346"/>
      <c r="I3" s="346"/>
      <c r="J3" s="347"/>
      <c r="K3" s="347"/>
      <c r="L3" s="347"/>
      <c r="M3" s="347"/>
      <c r="N3" s="347"/>
      <c r="O3" s="347"/>
      <c r="P3" s="347" t="s">
        <v>807</v>
      </c>
      <c r="Q3" s="716"/>
      <c r="R3" s="717"/>
      <c r="S3" s="716"/>
      <c r="T3" s="716"/>
      <c r="U3" s="718" t="s">
        <v>854</v>
      </c>
      <c r="V3" s="719" t="s">
        <v>855</v>
      </c>
      <c r="W3" s="720" t="s">
        <v>856</v>
      </c>
    </row>
    <row r="4" spans="1:23" ht="24.75" customHeight="1">
      <c r="A4" s="240" t="s">
        <v>765</v>
      </c>
      <c r="B4" s="348">
        <v>237.26499999999999</v>
      </c>
      <c r="C4" s="349">
        <v>160.70400000000001</v>
      </c>
      <c r="D4" s="349">
        <v>97.03</v>
      </c>
      <c r="E4" s="349">
        <v>109.898</v>
      </c>
      <c r="F4" s="349">
        <v>239.517</v>
      </c>
      <c r="G4" s="349">
        <v>183.45599999999999</v>
      </c>
      <c r="H4" s="349">
        <v>134.1</v>
      </c>
      <c r="I4" s="349">
        <v>119.52200000000001</v>
      </c>
      <c r="J4" s="349">
        <v>139.46299999999999</v>
      </c>
      <c r="K4" s="349">
        <v>175.803</v>
      </c>
      <c r="L4" s="167">
        <v>214.566</v>
      </c>
      <c r="M4" s="167">
        <v>216.7</v>
      </c>
      <c r="N4" s="167">
        <v>217</v>
      </c>
      <c r="O4" s="242">
        <v>215.8</v>
      </c>
      <c r="P4" s="242">
        <v>166.99799999999999</v>
      </c>
      <c r="Q4" s="580">
        <v>175.572</v>
      </c>
      <c r="R4" s="581">
        <v>237.60999999999999</v>
      </c>
      <c r="S4" s="580">
        <v>244.97599999999997</v>
      </c>
      <c r="T4" s="580">
        <v>182.88899999999998</v>
      </c>
      <c r="U4" s="638">
        <v>206.35000000000002</v>
      </c>
      <c r="V4" s="582">
        <v>166.154</v>
      </c>
      <c r="W4" s="638">
        <v>166.35600000000002</v>
      </c>
    </row>
    <row r="5" spans="1:23">
      <c r="A5" s="240" t="s">
        <v>816</v>
      </c>
      <c r="B5" s="350">
        <v>42.333045329062443</v>
      </c>
      <c r="C5" s="351">
        <v>36.41054360812425</v>
      </c>
      <c r="D5" s="351">
        <v>45.489333195918782</v>
      </c>
      <c r="E5" s="351">
        <v>48.747474931299941</v>
      </c>
      <c r="F5" s="351">
        <v>44.640046426767199</v>
      </c>
      <c r="G5" s="351">
        <v>36.160550758765041</v>
      </c>
      <c r="H5" s="351">
        <v>41.21163310961969</v>
      </c>
      <c r="I5" s="351">
        <v>40.833654055320359</v>
      </c>
      <c r="J5" s="351">
        <v>37.88201888672981</v>
      </c>
      <c r="K5" s="351">
        <v>37.636615984937684</v>
      </c>
      <c r="L5" s="352">
        <v>25.532936252714784</v>
      </c>
      <c r="M5" s="352">
        <v>35.572911859713891</v>
      </c>
      <c r="N5" s="352">
        <v>35.52995391705069</v>
      </c>
      <c r="O5" s="353">
        <v>35.61631139944393</v>
      </c>
      <c r="P5" s="353">
        <v>35.30209942634044</v>
      </c>
      <c r="Q5" s="487">
        <v>40.404204542865607</v>
      </c>
      <c r="R5" s="488">
        <v>28.566806952569344</v>
      </c>
      <c r="S5" s="487">
        <v>29.833065279864158</v>
      </c>
      <c r="T5" s="487">
        <v>30.967455669832525</v>
      </c>
      <c r="U5" s="489">
        <v>32.895430094499631</v>
      </c>
      <c r="V5" s="489">
        <v>28.773800209444257</v>
      </c>
      <c r="W5" s="489">
        <v>28.560069970424866</v>
      </c>
    </row>
    <row r="6" spans="1:23">
      <c r="A6" s="240" t="s">
        <v>767</v>
      </c>
      <c r="B6" s="354">
        <v>1004.415</v>
      </c>
      <c r="C6" s="355">
        <v>585.13199999999995</v>
      </c>
      <c r="D6" s="355">
        <v>441.38299999999998</v>
      </c>
      <c r="E6" s="355">
        <v>535.72500000000002</v>
      </c>
      <c r="F6" s="355">
        <v>1069.2049999999999</v>
      </c>
      <c r="G6" s="355">
        <v>663.38699999999994</v>
      </c>
      <c r="H6" s="355">
        <v>552.64800000000002</v>
      </c>
      <c r="I6" s="355">
        <v>488.05200000000002</v>
      </c>
      <c r="J6" s="355">
        <v>528.31399999999996</v>
      </c>
      <c r="K6" s="355">
        <v>661.66300000000001</v>
      </c>
      <c r="L6" s="167">
        <v>547.85</v>
      </c>
      <c r="M6" s="167">
        <v>770.86500000000001</v>
      </c>
      <c r="N6" s="167">
        <v>771</v>
      </c>
      <c r="O6" s="242">
        <v>768.6</v>
      </c>
      <c r="P6" s="242">
        <v>589.53800000000001</v>
      </c>
      <c r="Q6" s="580">
        <v>709.38469999999995</v>
      </c>
      <c r="R6" s="581">
        <v>678.77590000000021</v>
      </c>
      <c r="S6" s="580">
        <v>730.83850000000007</v>
      </c>
      <c r="T6" s="580">
        <v>566.36070000000007</v>
      </c>
      <c r="U6" s="582">
        <v>678.79719999999998</v>
      </c>
      <c r="V6" s="582">
        <v>478.08820000000009</v>
      </c>
      <c r="W6" s="582">
        <v>475.1139</v>
      </c>
    </row>
    <row r="7" spans="1:23">
      <c r="A7" s="240"/>
      <c r="B7" s="354"/>
      <c r="C7" s="356"/>
      <c r="D7" s="356"/>
      <c r="E7" s="356"/>
      <c r="F7" s="356"/>
      <c r="G7" s="356"/>
      <c r="H7" s="356"/>
      <c r="I7" s="356"/>
      <c r="J7" s="356"/>
      <c r="K7" s="357"/>
      <c r="L7" s="357"/>
      <c r="M7" s="357"/>
      <c r="N7" s="357"/>
      <c r="O7" s="357"/>
      <c r="P7" s="357"/>
      <c r="Q7" s="721"/>
      <c r="R7" s="722"/>
      <c r="S7" s="721"/>
      <c r="T7" s="723"/>
      <c r="U7" s="724"/>
      <c r="V7" s="724"/>
      <c r="W7" s="724"/>
    </row>
    <row r="8" spans="1:23">
      <c r="A8" s="128" t="s">
        <v>768</v>
      </c>
      <c r="B8" s="129">
        <v>106.72699999999998</v>
      </c>
      <c r="C8" s="130">
        <v>109.47799999999995</v>
      </c>
      <c r="D8" s="130">
        <v>83.59499999999997</v>
      </c>
      <c r="E8" s="130">
        <v>92.242000000000019</v>
      </c>
      <c r="F8" s="130">
        <v>177.31399999999996</v>
      </c>
      <c r="G8" s="130">
        <v>139.97899999999993</v>
      </c>
      <c r="H8" s="130">
        <v>111.28000000000003</v>
      </c>
      <c r="I8" s="130">
        <v>96.31800000000004</v>
      </c>
      <c r="J8" s="130">
        <v>141.04099999999994</v>
      </c>
      <c r="K8" s="130">
        <v>155.12700000000001</v>
      </c>
      <c r="L8" s="130">
        <v>134.12400000000002</v>
      </c>
      <c r="M8" s="130">
        <v>217.76099999999997</v>
      </c>
      <c r="N8" s="130">
        <v>194</v>
      </c>
      <c r="O8" s="130">
        <v>191.60000000000002</v>
      </c>
      <c r="P8" s="130">
        <v>128.53800000000001</v>
      </c>
      <c r="Q8" s="962">
        <v>168.93039999999985</v>
      </c>
      <c r="R8" s="725">
        <v>219.77590000000021</v>
      </c>
      <c r="S8" s="493">
        <v>268.95210000000003</v>
      </c>
      <c r="T8" s="493">
        <v>224.75609999999995</v>
      </c>
      <c r="U8" s="961">
        <v>265.89319999999998</v>
      </c>
      <c r="V8" s="495">
        <v>207.59320000000008</v>
      </c>
      <c r="W8" s="495">
        <v>202.01389999999998</v>
      </c>
    </row>
    <row r="9" spans="1:23">
      <c r="A9" s="131" t="s">
        <v>769</v>
      </c>
      <c r="B9" s="132">
        <v>0.10625787149733923</v>
      </c>
      <c r="C9" s="133">
        <v>0.18709966298202793</v>
      </c>
      <c r="D9" s="133">
        <v>0.18939333866505953</v>
      </c>
      <c r="E9" s="133">
        <v>0.17218162303420601</v>
      </c>
      <c r="F9" s="133">
        <v>0.16583723420672367</v>
      </c>
      <c r="G9" s="133">
        <v>0.21100654670652264</v>
      </c>
      <c r="H9" s="133">
        <v>0.20135782631982749</v>
      </c>
      <c r="I9" s="133">
        <v>0.19735192151655978</v>
      </c>
      <c r="J9" s="133">
        <v>0.2669643431747028</v>
      </c>
      <c r="K9" s="133">
        <v>0.23445016571880248</v>
      </c>
      <c r="L9" s="133">
        <v>0.24481883727297621</v>
      </c>
      <c r="M9" s="133">
        <v>0.28248915179700723</v>
      </c>
      <c r="N9" s="133">
        <v>0.25162127107652399</v>
      </c>
      <c r="O9" s="133">
        <v>0.24928441321883946</v>
      </c>
      <c r="P9" s="133">
        <v>0.21803174689333005</v>
      </c>
      <c r="Q9" s="726">
        <v>0.23813651464431057</v>
      </c>
      <c r="R9" s="518">
        <v>0.32378270943326087</v>
      </c>
      <c r="S9" s="496">
        <v>0.36800483280505886</v>
      </c>
      <c r="T9" s="496">
        <v>0.39684268347009233</v>
      </c>
      <c r="U9" s="497">
        <v>0.391712281665275</v>
      </c>
      <c r="V9" s="497">
        <v>0.43421527659540654</v>
      </c>
      <c r="W9" s="497">
        <v>0.42519046485484846</v>
      </c>
    </row>
    <row r="10" spans="1:23">
      <c r="A10" s="134" t="s">
        <v>770</v>
      </c>
      <c r="B10" s="135"/>
      <c r="C10" s="136"/>
      <c r="D10" s="137"/>
      <c r="E10" s="137"/>
      <c r="F10" s="138"/>
      <c r="G10" s="138"/>
      <c r="H10" s="139"/>
      <c r="I10" s="139"/>
      <c r="J10" s="140"/>
      <c r="K10" s="140"/>
      <c r="L10" s="140"/>
      <c r="M10" s="141"/>
      <c r="N10" s="141"/>
      <c r="O10" s="141"/>
      <c r="P10" s="142">
        <v>417.7</v>
      </c>
      <c r="Q10" s="498"/>
      <c r="R10" s="499"/>
      <c r="S10" s="498"/>
      <c r="T10" s="498"/>
      <c r="U10" s="646"/>
      <c r="V10" s="646"/>
      <c r="W10" s="646">
        <v>227.2483</v>
      </c>
    </row>
    <row r="11" spans="1:23">
      <c r="A11" s="143" t="s">
        <v>771</v>
      </c>
      <c r="B11" s="135"/>
      <c r="C11" s="136"/>
      <c r="D11" s="137"/>
      <c r="E11" s="137"/>
      <c r="F11" s="138"/>
      <c r="G11" s="138"/>
      <c r="H11" s="139"/>
      <c r="I11" s="139"/>
      <c r="J11" s="144"/>
      <c r="K11" s="144"/>
      <c r="L11" s="144"/>
      <c r="M11" s="144"/>
      <c r="N11" s="144">
        <v>0</v>
      </c>
      <c r="O11" s="144">
        <v>0</v>
      </c>
      <c r="P11" s="144">
        <v>0.70852090959361391</v>
      </c>
      <c r="Q11" s="501"/>
      <c r="R11" s="502"/>
      <c r="S11" s="501"/>
      <c r="T11" s="501"/>
      <c r="U11" s="503"/>
      <c r="V11" s="503"/>
      <c r="W11" s="503">
        <v>0.47830278171192214</v>
      </c>
    </row>
    <row r="12" spans="1:23">
      <c r="A12" s="250" t="s">
        <v>772</v>
      </c>
      <c r="B12" s="358"/>
      <c r="C12" s="359"/>
      <c r="D12" s="359"/>
      <c r="E12" s="359"/>
      <c r="F12" s="359"/>
      <c r="G12" s="359"/>
      <c r="H12" s="359"/>
      <c r="I12" s="359"/>
      <c r="J12" s="169"/>
      <c r="K12" s="169"/>
      <c r="L12" s="169"/>
      <c r="M12" s="151"/>
      <c r="N12" s="151">
        <v>0</v>
      </c>
      <c r="O12" s="151">
        <v>0</v>
      </c>
      <c r="P12" s="151">
        <v>0.9060737527114967</v>
      </c>
      <c r="Q12" s="504"/>
      <c r="R12" s="505"/>
      <c r="S12" s="504"/>
      <c r="T12" s="504"/>
      <c r="U12" s="506"/>
      <c r="V12" s="506"/>
      <c r="W12" s="506">
        <v>0.83210655437568648</v>
      </c>
    </row>
    <row r="13" spans="1:23" ht="35.1" customHeight="1">
      <c r="A13" s="360"/>
      <c r="B13" s="361"/>
      <c r="C13" s="362"/>
      <c r="D13" s="362"/>
      <c r="E13" s="362"/>
      <c r="F13" s="362"/>
      <c r="G13" s="362"/>
      <c r="H13" s="362"/>
      <c r="I13" s="362"/>
      <c r="J13" s="362"/>
      <c r="K13" s="362"/>
      <c r="L13" s="362"/>
      <c r="M13" s="362"/>
      <c r="N13" s="362"/>
      <c r="O13" s="362"/>
      <c r="P13" s="362"/>
      <c r="Q13" s="727"/>
      <c r="R13" s="728"/>
      <c r="S13" s="727"/>
      <c r="T13" s="727"/>
      <c r="U13" s="650"/>
      <c r="V13" s="650"/>
      <c r="W13" s="650"/>
    </row>
    <row r="14" spans="1:23" ht="17.399999999999999">
      <c r="A14" s="363" t="s">
        <v>773</v>
      </c>
      <c r="B14" s="364"/>
      <c r="C14" s="365"/>
      <c r="D14" s="366"/>
      <c r="E14" s="366"/>
      <c r="F14" s="366"/>
      <c r="G14" s="366"/>
      <c r="H14" s="366"/>
      <c r="I14" s="366"/>
      <c r="J14" s="366"/>
      <c r="K14" s="366"/>
      <c r="L14" s="366"/>
      <c r="M14" s="366"/>
      <c r="N14" s="366"/>
      <c r="O14" s="366"/>
      <c r="P14" s="366"/>
      <c r="Q14" s="729"/>
      <c r="R14" s="730"/>
      <c r="S14" s="729"/>
      <c r="T14" s="729"/>
      <c r="U14" s="731"/>
      <c r="V14" s="731"/>
      <c r="W14" s="731"/>
    </row>
    <row r="15" spans="1:23">
      <c r="A15" s="314" t="s">
        <v>774</v>
      </c>
      <c r="B15" s="367">
        <v>102.626</v>
      </c>
      <c r="C15" s="368">
        <v>62.100999999999999</v>
      </c>
      <c r="D15" s="368">
        <v>58.63</v>
      </c>
      <c r="E15" s="368">
        <v>43.872</v>
      </c>
      <c r="F15" s="368">
        <v>34.342999999999996</v>
      </c>
      <c r="G15" s="368">
        <v>81.963000000000008</v>
      </c>
      <c r="H15" s="368">
        <v>49.773000000000003</v>
      </c>
      <c r="I15" s="368">
        <v>59.866999999999997</v>
      </c>
      <c r="J15" s="368">
        <v>38.138999999999996</v>
      </c>
      <c r="K15" s="368">
        <v>58.658000000000001</v>
      </c>
      <c r="L15" s="368">
        <v>66.378</v>
      </c>
      <c r="M15" s="368">
        <v>76.400000000000006</v>
      </c>
      <c r="N15" s="368">
        <v>76.400000000000006</v>
      </c>
      <c r="O15" s="368">
        <v>76</v>
      </c>
      <c r="P15" s="368">
        <v>156</v>
      </c>
      <c r="Q15" s="732">
        <v>86.524520999999993</v>
      </c>
      <c r="R15" s="733">
        <v>58.346229999999998</v>
      </c>
      <c r="S15" s="732">
        <v>38</v>
      </c>
      <c r="T15" s="734">
        <v>58.045830000000009</v>
      </c>
      <c r="U15" s="735">
        <v>56.924409999999995</v>
      </c>
      <c r="V15" s="735">
        <v>59.363959999999999</v>
      </c>
      <c r="W15" s="735">
        <v>59.363959999999999</v>
      </c>
    </row>
    <row r="16" spans="1:23">
      <c r="A16" s="316" t="s">
        <v>775</v>
      </c>
      <c r="B16" s="259">
        <v>897.68799999999999</v>
      </c>
      <c r="C16" s="260">
        <v>475.654</v>
      </c>
      <c r="D16" s="260">
        <v>357.78800000000001</v>
      </c>
      <c r="E16" s="260">
        <v>443.483</v>
      </c>
      <c r="F16" s="260">
        <v>891.89099999999996</v>
      </c>
      <c r="G16" s="260">
        <v>523.40800000000002</v>
      </c>
      <c r="H16" s="260">
        <v>441.36799999999999</v>
      </c>
      <c r="I16" s="260">
        <v>391.73399999999998</v>
      </c>
      <c r="J16" s="260">
        <v>387.27300000000002</v>
      </c>
      <c r="K16" s="844">
        <v>506.536</v>
      </c>
      <c r="L16" s="167">
        <v>413.726</v>
      </c>
      <c r="M16" s="167">
        <v>553.10400000000004</v>
      </c>
      <c r="N16" s="167">
        <v>577</v>
      </c>
      <c r="O16" s="167">
        <v>577</v>
      </c>
      <c r="P16" s="167">
        <v>461</v>
      </c>
      <c r="Q16" s="847">
        <v>540.4543000000001</v>
      </c>
      <c r="R16" s="736">
        <v>459</v>
      </c>
      <c r="S16" s="737">
        <v>461.88640000000004</v>
      </c>
      <c r="T16" s="737">
        <v>341.60460000000012</v>
      </c>
      <c r="U16" s="840">
        <v>412.904</v>
      </c>
      <c r="V16" s="582">
        <v>270.495</v>
      </c>
      <c r="W16" s="582">
        <v>273.10000000000002</v>
      </c>
    </row>
    <row r="17" spans="1:23">
      <c r="A17" s="318" t="s">
        <v>776</v>
      </c>
      <c r="B17" s="369">
        <v>0.89374212850266077</v>
      </c>
      <c r="C17" s="370">
        <v>0.81290033701797204</v>
      </c>
      <c r="D17" s="370">
        <v>0.81060666133494041</v>
      </c>
      <c r="E17" s="370">
        <v>0.82781837696579397</v>
      </c>
      <c r="F17" s="370">
        <v>0.83416276579327631</v>
      </c>
      <c r="G17" s="370">
        <v>0.78899345329347736</v>
      </c>
      <c r="H17" s="370">
        <v>0.79864217368017254</v>
      </c>
      <c r="I17" s="370">
        <v>0.80264807848344022</v>
      </c>
      <c r="J17" s="370">
        <v>0.73303565682529714</v>
      </c>
      <c r="K17" s="370">
        <v>0.76554983428119749</v>
      </c>
      <c r="L17" s="370">
        <v>0.75518116272702374</v>
      </c>
      <c r="M17" s="370">
        <v>0.71751084820299282</v>
      </c>
      <c r="N17" s="370">
        <v>0.74837872892347601</v>
      </c>
      <c r="O17" s="370">
        <v>0.75071558678116057</v>
      </c>
      <c r="P17" s="370">
        <v>0.78196825310666995</v>
      </c>
      <c r="Q17" s="738">
        <v>0.76186348535568948</v>
      </c>
      <c r="R17" s="739">
        <v>0.67621729056673907</v>
      </c>
      <c r="S17" s="738">
        <v>0.6319951671949412</v>
      </c>
      <c r="T17" s="738">
        <v>0.60315731652990767</v>
      </c>
      <c r="U17" s="740">
        <v>0.60828771833472506</v>
      </c>
      <c r="V17" s="740">
        <v>0.5657847234045934</v>
      </c>
      <c r="W17" s="740">
        <v>0.57480953514515154</v>
      </c>
    </row>
    <row r="18" spans="1:23">
      <c r="A18" s="319" t="s">
        <v>777</v>
      </c>
      <c r="B18" s="371"/>
      <c r="C18" s="372"/>
      <c r="D18" s="283">
        <v>6</v>
      </c>
      <c r="E18" s="283"/>
      <c r="F18" s="372"/>
      <c r="G18" s="372"/>
      <c r="H18" s="372"/>
      <c r="I18" s="372"/>
      <c r="J18" s="283">
        <v>2</v>
      </c>
      <c r="K18" s="283"/>
      <c r="L18" s="283">
        <v>6</v>
      </c>
      <c r="M18" s="283"/>
      <c r="N18" s="283"/>
      <c r="O18" s="283"/>
      <c r="P18" s="283"/>
      <c r="Q18" s="741"/>
      <c r="R18" s="742"/>
      <c r="S18" s="741"/>
      <c r="T18" s="741">
        <v>20.286849999999774</v>
      </c>
      <c r="U18" s="743">
        <v>32</v>
      </c>
      <c r="V18" s="743"/>
      <c r="W18" s="743"/>
    </row>
    <row r="19" spans="1:23">
      <c r="A19" s="174" t="s">
        <v>778</v>
      </c>
      <c r="B19" s="166">
        <v>7.9529999999999994</v>
      </c>
      <c r="C19" s="163">
        <v>35.430999999999997</v>
      </c>
      <c r="D19" s="163">
        <v>12.190999999999999</v>
      </c>
      <c r="E19" s="163">
        <v>14.013</v>
      </c>
      <c r="F19" s="163">
        <v>7.9269999999999996</v>
      </c>
      <c r="G19" s="163">
        <v>5.5620000000000003</v>
      </c>
      <c r="H19" s="163">
        <v>15.684000000000001</v>
      </c>
      <c r="I19" s="163">
        <v>11.058</v>
      </c>
      <c r="J19" s="163">
        <v>6.8090000000000002</v>
      </c>
      <c r="K19" s="163">
        <v>9.277000000000001</v>
      </c>
      <c r="L19" s="163">
        <v>77</v>
      </c>
      <c r="M19" s="163">
        <v>55</v>
      </c>
      <c r="N19" s="163">
        <v>56.099999999999994</v>
      </c>
      <c r="O19" s="163">
        <v>56.099999999999994</v>
      </c>
      <c r="P19" s="163">
        <v>25</v>
      </c>
      <c r="Q19" s="744">
        <v>18.717300000000002</v>
      </c>
      <c r="R19" s="745">
        <v>47</v>
      </c>
      <c r="S19" s="744">
        <v>56.849699999999991</v>
      </c>
      <c r="T19" s="744">
        <v>36.8155</v>
      </c>
      <c r="U19" s="669">
        <v>21.410999999999998</v>
      </c>
      <c r="V19" s="669">
        <v>50</v>
      </c>
      <c r="W19" s="669">
        <v>50</v>
      </c>
    </row>
    <row r="20" spans="1:23" ht="15.6">
      <c r="A20" s="270" t="s">
        <v>817</v>
      </c>
      <c r="B20" s="171">
        <v>5.9390000000000001</v>
      </c>
      <c r="C20" s="172">
        <v>7.5049999999999999</v>
      </c>
      <c r="D20" s="172">
        <v>8.343</v>
      </c>
      <c r="E20" s="172">
        <v>6.7679999999999998</v>
      </c>
      <c r="F20" s="172">
        <v>5.3879999999999999</v>
      </c>
      <c r="G20" s="172">
        <v>3.7210000000000001</v>
      </c>
      <c r="H20" s="172">
        <v>6.2080000000000002</v>
      </c>
      <c r="I20" s="172">
        <v>6.4219999999999997</v>
      </c>
      <c r="J20" s="172">
        <v>4.2480000000000002</v>
      </c>
      <c r="K20" s="172">
        <v>7.7690000000000001</v>
      </c>
      <c r="L20" s="172">
        <v>28</v>
      </c>
      <c r="M20" s="172">
        <v>45</v>
      </c>
      <c r="N20" s="172">
        <v>46.8</v>
      </c>
      <c r="O20" s="172">
        <v>46.8</v>
      </c>
      <c r="P20" s="172">
        <v>20</v>
      </c>
      <c r="Q20" s="746">
        <v>16.737800000000004</v>
      </c>
      <c r="R20" s="747">
        <v>31</v>
      </c>
      <c r="S20" s="746">
        <v>32.695099999999996</v>
      </c>
      <c r="T20" s="746">
        <v>28.943199999999997</v>
      </c>
      <c r="U20" s="673">
        <v>17.757999999999999</v>
      </c>
      <c r="V20" s="673">
        <v>45</v>
      </c>
      <c r="W20" s="673">
        <v>45</v>
      </c>
    </row>
    <row r="21" spans="1:23">
      <c r="A21" s="270" t="s">
        <v>780</v>
      </c>
      <c r="B21" s="171">
        <v>2.0139999999999998</v>
      </c>
      <c r="C21" s="172">
        <v>27.925999999999998</v>
      </c>
      <c r="D21" s="172">
        <v>3.8479999999999999</v>
      </c>
      <c r="E21" s="172">
        <v>7.2450000000000001</v>
      </c>
      <c r="F21" s="172">
        <v>2.5390000000000001</v>
      </c>
      <c r="G21" s="172">
        <v>1.841</v>
      </c>
      <c r="H21" s="172">
        <v>9.4760000000000009</v>
      </c>
      <c r="I21" s="172">
        <v>4.6360000000000001</v>
      </c>
      <c r="J21" s="172">
        <v>2.5609999999999999</v>
      </c>
      <c r="K21" s="172">
        <v>1.508</v>
      </c>
      <c r="L21" s="172">
        <v>49</v>
      </c>
      <c r="M21" s="172">
        <v>10</v>
      </c>
      <c r="N21" s="172">
        <v>9.3000000000000007</v>
      </c>
      <c r="O21" s="172">
        <v>9.3000000000000007</v>
      </c>
      <c r="P21" s="172">
        <v>5</v>
      </c>
      <c r="Q21" s="746">
        <v>1.9794999999999998</v>
      </c>
      <c r="R21" s="747">
        <v>16</v>
      </c>
      <c r="S21" s="746">
        <v>24.154599999999995</v>
      </c>
      <c r="T21" s="746">
        <v>7.872300000000001</v>
      </c>
      <c r="U21" s="673">
        <v>3.653</v>
      </c>
      <c r="V21" s="673">
        <v>5</v>
      </c>
      <c r="W21" s="673">
        <v>5</v>
      </c>
    </row>
    <row r="22" spans="1:23" ht="18.600000000000001">
      <c r="A22" s="181" t="s">
        <v>831</v>
      </c>
      <c r="B22" s="182">
        <v>1008.2669999999999</v>
      </c>
      <c r="C22" s="183">
        <v>573.18600000000004</v>
      </c>
      <c r="D22" s="183">
        <v>434.60899999999998</v>
      </c>
      <c r="E22" s="183">
        <v>501.36799999999999</v>
      </c>
      <c r="F22" s="183">
        <v>934.16099999999994</v>
      </c>
      <c r="G22" s="183">
        <v>610.93299999999999</v>
      </c>
      <c r="H22" s="183">
        <v>506.82500000000005</v>
      </c>
      <c r="I22" s="183">
        <v>462.65899999999999</v>
      </c>
      <c r="J22" s="183">
        <v>434.22100000000006</v>
      </c>
      <c r="K22" s="183">
        <v>574.471</v>
      </c>
      <c r="L22" s="183">
        <v>563.10400000000004</v>
      </c>
      <c r="M22" s="183">
        <v>684.50400000000002</v>
      </c>
      <c r="N22" s="183">
        <v>709.5</v>
      </c>
      <c r="O22" s="183">
        <v>709.1</v>
      </c>
      <c r="P22" s="183">
        <v>642</v>
      </c>
      <c r="Q22" s="748">
        <v>645.69612100000018</v>
      </c>
      <c r="R22" s="749">
        <v>564.34622999999999</v>
      </c>
      <c r="S22" s="698">
        <v>556.73610000000008</v>
      </c>
      <c r="T22" s="698">
        <v>456.75277999999992</v>
      </c>
      <c r="U22" s="677">
        <v>523.23940999999991</v>
      </c>
      <c r="V22" s="677">
        <v>379.85896000000002</v>
      </c>
      <c r="W22" s="677">
        <v>382.46396000000004</v>
      </c>
    </row>
    <row r="23" spans="1:23">
      <c r="A23" s="272"/>
      <c r="B23" s="185"/>
      <c r="C23" s="374"/>
      <c r="D23" s="187"/>
      <c r="E23" s="188"/>
      <c r="F23" s="189"/>
      <c r="G23" s="189"/>
      <c r="H23" s="153"/>
      <c r="I23" s="153"/>
      <c r="J23" s="153"/>
      <c r="K23" s="153"/>
      <c r="L23" s="153"/>
      <c r="M23" s="153"/>
      <c r="N23" s="153"/>
      <c r="O23" s="153"/>
      <c r="P23" s="153"/>
      <c r="Q23" s="750"/>
      <c r="R23" s="751"/>
      <c r="S23" s="750"/>
      <c r="T23" s="750"/>
      <c r="U23" s="752"/>
      <c r="V23" s="752"/>
      <c r="W23" s="752"/>
    </row>
    <row r="24" spans="1:23" ht="18.75" customHeight="1">
      <c r="A24" s="375" t="s">
        <v>782</v>
      </c>
      <c r="B24" s="376"/>
      <c r="C24" s="377"/>
      <c r="D24" s="378"/>
      <c r="E24" s="379"/>
      <c r="F24" s="379"/>
      <c r="G24" s="379"/>
      <c r="H24" s="379"/>
      <c r="I24" s="379"/>
      <c r="J24" s="379"/>
      <c r="K24" s="379"/>
      <c r="L24" s="379"/>
      <c r="M24" s="379"/>
      <c r="N24" s="379"/>
      <c r="O24" s="379"/>
      <c r="P24" s="379"/>
      <c r="Q24" s="753"/>
      <c r="R24" s="754"/>
      <c r="S24" s="753"/>
      <c r="T24" s="753"/>
      <c r="U24" s="755"/>
      <c r="V24" s="755"/>
      <c r="W24" s="755"/>
    </row>
    <row r="25" spans="1:23" ht="17.399999999999999">
      <c r="A25" s="278"/>
      <c r="B25" s="185"/>
      <c r="C25" s="374"/>
      <c r="D25" s="187"/>
      <c r="E25" s="186"/>
      <c r="F25" s="196"/>
      <c r="G25" s="196"/>
      <c r="H25" s="196"/>
      <c r="I25" s="196"/>
      <c r="J25" s="196"/>
      <c r="K25" s="196"/>
      <c r="L25" s="196"/>
      <c r="M25" s="196"/>
      <c r="N25" s="196"/>
      <c r="O25" s="196"/>
      <c r="P25" s="196"/>
      <c r="Q25" s="541"/>
      <c r="R25" s="542"/>
      <c r="S25" s="541"/>
      <c r="T25" s="541"/>
      <c r="U25" s="543"/>
      <c r="V25" s="543"/>
      <c r="W25" s="543"/>
    </row>
    <row r="26" spans="1:23">
      <c r="A26" s="174" t="s">
        <v>783</v>
      </c>
      <c r="B26" s="119">
        <v>490.27800000000002</v>
      </c>
      <c r="C26" s="120">
        <v>270.47899999999998</v>
      </c>
      <c r="D26" s="120">
        <v>136.77699999999999</v>
      </c>
      <c r="E26" s="120">
        <v>260.49700000000001</v>
      </c>
      <c r="F26" s="120">
        <v>482.30900000000003</v>
      </c>
      <c r="G26" s="120">
        <v>201.30700000000002</v>
      </c>
      <c r="H26" s="120">
        <v>238.089</v>
      </c>
      <c r="I26" s="120">
        <v>214.30599999999998</v>
      </c>
      <c r="J26" s="120">
        <v>181.953</v>
      </c>
      <c r="K26" s="120">
        <v>174.88900000000001</v>
      </c>
      <c r="L26" s="120">
        <v>181.6</v>
      </c>
      <c r="M26" s="120">
        <v>212</v>
      </c>
      <c r="N26" s="120">
        <v>256.57</v>
      </c>
      <c r="O26" s="120">
        <v>256.57</v>
      </c>
      <c r="P26" s="120">
        <v>300</v>
      </c>
      <c r="Q26" s="666">
        <v>312.77719100000019</v>
      </c>
      <c r="R26" s="667">
        <v>332.34622999999999</v>
      </c>
      <c r="S26" s="666">
        <v>263.86306999999999</v>
      </c>
      <c r="T26" s="666">
        <v>227.25977</v>
      </c>
      <c r="U26" s="669">
        <v>244.05457999999999</v>
      </c>
      <c r="V26" s="669">
        <v>212</v>
      </c>
      <c r="W26" s="669">
        <v>212</v>
      </c>
    </row>
    <row r="27" spans="1:23" ht="16.8">
      <c r="A27" s="284" t="s">
        <v>832</v>
      </c>
      <c r="B27" s="171">
        <v>336.27800000000002</v>
      </c>
      <c r="C27" s="172">
        <v>112.479</v>
      </c>
      <c r="D27" s="172">
        <v>74.777000000000001</v>
      </c>
      <c r="E27" s="172">
        <v>103.497</v>
      </c>
      <c r="F27" s="172">
        <v>276.30900000000003</v>
      </c>
      <c r="G27" s="172">
        <v>65.307000000000002</v>
      </c>
      <c r="H27" s="172">
        <v>65.088999999999999</v>
      </c>
      <c r="I27" s="172">
        <v>64.305999999999997</v>
      </c>
      <c r="J27" s="172">
        <v>41.953000000000003</v>
      </c>
      <c r="K27" s="845">
        <v>26.888999999999999</v>
      </c>
      <c r="L27" s="172">
        <v>26.6</v>
      </c>
      <c r="M27" s="173">
        <v>60</v>
      </c>
      <c r="N27" s="173">
        <v>75.569999999999993</v>
      </c>
      <c r="O27" s="173">
        <v>75.569999999999993</v>
      </c>
      <c r="P27" s="173">
        <v>140</v>
      </c>
      <c r="Q27" s="593">
        <v>100.42514100000002</v>
      </c>
      <c r="R27" s="520">
        <v>90</v>
      </c>
      <c r="S27" s="756">
        <v>66.132444000000007</v>
      </c>
      <c r="T27" s="746">
        <v>56.842270000000013</v>
      </c>
      <c r="U27" s="849">
        <v>83.637079999999997</v>
      </c>
      <c r="V27" s="673">
        <v>55</v>
      </c>
      <c r="W27" s="673">
        <v>55</v>
      </c>
    </row>
    <row r="28" spans="1:23" ht="14.25" customHeight="1">
      <c r="A28" s="284" t="s">
        <v>833</v>
      </c>
      <c r="B28" s="380">
        <v>30</v>
      </c>
      <c r="C28" s="173">
        <v>80</v>
      </c>
      <c r="D28" s="173">
        <v>50</v>
      </c>
      <c r="E28" s="173">
        <v>90</v>
      </c>
      <c r="F28" s="173">
        <v>100</v>
      </c>
      <c r="G28" s="173">
        <v>100</v>
      </c>
      <c r="H28" s="173">
        <v>120</v>
      </c>
      <c r="I28" s="173">
        <v>120</v>
      </c>
      <c r="J28" s="173">
        <v>120</v>
      </c>
      <c r="K28" s="846">
        <v>120</v>
      </c>
      <c r="L28" s="173">
        <v>130</v>
      </c>
      <c r="M28" s="173">
        <v>130</v>
      </c>
      <c r="N28" s="173">
        <v>130</v>
      </c>
      <c r="O28" s="173">
        <v>130</v>
      </c>
      <c r="P28" s="173">
        <v>140</v>
      </c>
      <c r="Q28" s="519">
        <v>140</v>
      </c>
      <c r="R28" s="520">
        <v>150</v>
      </c>
      <c r="S28" s="756">
        <v>150</v>
      </c>
      <c r="T28" s="746">
        <v>150</v>
      </c>
      <c r="U28" s="665">
        <v>140</v>
      </c>
      <c r="V28" s="673">
        <v>140</v>
      </c>
      <c r="W28" s="673">
        <v>140</v>
      </c>
    </row>
    <row r="29" spans="1:23">
      <c r="A29" s="284" t="s">
        <v>786</v>
      </c>
      <c r="B29" s="380">
        <v>30</v>
      </c>
      <c r="C29" s="173">
        <v>12</v>
      </c>
      <c r="D29" s="173">
        <v>12</v>
      </c>
      <c r="E29" s="173">
        <v>29</v>
      </c>
      <c r="F29" s="173">
        <v>25</v>
      </c>
      <c r="G29" s="173">
        <v>20</v>
      </c>
      <c r="H29" s="173">
        <v>15</v>
      </c>
      <c r="I29" s="173">
        <v>18</v>
      </c>
      <c r="J29" s="173">
        <v>20</v>
      </c>
      <c r="K29" s="846">
        <v>25</v>
      </c>
      <c r="L29" s="173">
        <v>25</v>
      </c>
      <c r="M29" s="173">
        <v>22</v>
      </c>
      <c r="N29" s="173">
        <v>22</v>
      </c>
      <c r="O29" s="173">
        <v>22</v>
      </c>
      <c r="P29" s="173">
        <v>20</v>
      </c>
      <c r="Q29" s="848">
        <v>21.336200000000002</v>
      </c>
      <c r="R29" s="747">
        <v>20.3916</v>
      </c>
      <c r="S29" s="746">
        <v>16.514800000000001</v>
      </c>
      <c r="T29" s="746">
        <v>20.4175</v>
      </c>
      <c r="U29" s="665">
        <v>17.831199999999999</v>
      </c>
      <c r="V29" s="650">
        <v>17</v>
      </c>
      <c r="W29" s="650">
        <v>17</v>
      </c>
    </row>
    <row r="30" spans="1:23" ht="14.25" customHeight="1">
      <c r="A30" s="284" t="s">
        <v>834</v>
      </c>
      <c r="B30" s="171">
        <v>94</v>
      </c>
      <c r="C30" s="172">
        <v>66</v>
      </c>
      <c r="D30" s="172"/>
      <c r="E30" s="172">
        <v>38</v>
      </c>
      <c r="F30" s="172">
        <v>81</v>
      </c>
      <c r="G30" s="172">
        <v>16</v>
      </c>
      <c r="H30" s="172">
        <v>38</v>
      </c>
      <c r="I30" s="172">
        <v>12</v>
      </c>
      <c r="J30" s="172"/>
      <c r="K30" s="172">
        <v>3</v>
      </c>
      <c r="L30" s="172"/>
      <c r="M30" s="173"/>
      <c r="N30" s="173">
        <v>29</v>
      </c>
      <c r="O30" s="173">
        <v>29</v>
      </c>
      <c r="P30" s="173"/>
      <c r="Q30" s="859">
        <v>51.015850000000114</v>
      </c>
      <c r="R30" s="685">
        <v>71.954630000000009</v>
      </c>
      <c r="S30" s="684">
        <v>31.215825999999993</v>
      </c>
      <c r="T30" s="741"/>
      <c r="U30" s="850">
        <v>2.77997000000002</v>
      </c>
      <c r="V30" s="673">
        <v>30</v>
      </c>
      <c r="W30" s="673"/>
    </row>
    <row r="31" spans="1:23">
      <c r="A31" s="284"/>
      <c r="B31" s="381"/>
      <c r="C31" s="382"/>
      <c r="D31" s="382"/>
      <c r="E31" s="382"/>
      <c r="F31" s="382"/>
      <c r="G31" s="383"/>
      <c r="H31" s="383"/>
      <c r="I31" s="383"/>
      <c r="J31" s="383"/>
      <c r="K31" s="383"/>
      <c r="L31" s="383"/>
      <c r="M31" s="383"/>
      <c r="N31" s="383"/>
      <c r="O31" s="383"/>
      <c r="P31" s="383"/>
      <c r="Q31" s="757"/>
      <c r="R31" s="758"/>
      <c r="S31" s="757"/>
      <c r="T31" s="759"/>
      <c r="U31" s="760"/>
      <c r="V31" s="760"/>
      <c r="W31" s="761"/>
    </row>
    <row r="32" spans="1:23">
      <c r="A32" s="174" t="s">
        <v>789</v>
      </c>
      <c r="B32" s="119">
        <v>455.79200000000003</v>
      </c>
      <c r="C32" s="120">
        <v>243.59100000000001</v>
      </c>
      <c r="D32" s="120">
        <v>254.20299999999997</v>
      </c>
      <c r="E32" s="120">
        <v>206.20099999999999</v>
      </c>
      <c r="F32" s="120">
        <v>369.83500000000004</v>
      </c>
      <c r="G32" s="120">
        <v>359.46100000000001</v>
      </c>
      <c r="H32" s="120">
        <v>209.04700000000003</v>
      </c>
      <c r="I32" s="120">
        <v>210.58</v>
      </c>
      <c r="J32" s="120">
        <v>194.05099999999999</v>
      </c>
      <c r="K32" s="120">
        <v>333.61799999999999</v>
      </c>
      <c r="L32" s="120">
        <v>304.7</v>
      </c>
      <c r="M32" s="120">
        <v>300</v>
      </c>
      <c r="N32" s="120">
        <v>297.2</v>
      </c>
      <c r="O32" s="120">
        <v>297.2</v>
      </c>
      <c r="P32" s="120">
        <v>225</v>
      </c>
      <c r="Q32" s="666">
        <v>274.5727</v>
      </c>
      <c r="R32" s="667">
        <v>194</v>
      </c>
      <c r="S32" s="666">
        <v>234.82720000000006</v>
      </c>
      <c r="T32" s="666">
        <v>172.56859999999995</v>
      </c>
      <c r="U32" s="669">
        <v>219.45099999999999</v>
      </c>
      <c r="V32" s="669">
        <v>130</v>
      </c>
      <c r="W32" s="669">
        <v>120</v>
      </c>
    </row>
    <row r="33" spans="1:23">
      <c r="A33" s="284" t="s">
        <v>790</v>
      </c>
      <c r="B33" s="171">
        <v>251.178</v>
      </c>
      <c r="C33" s="172">
        <v>159.68899999999999</v>
      </c>
      <c r="D33" s="172">
        <v>159.72399999999999</v>
      </c>
      <c r="E33" s="172">
        <v>132.03299999999999</v>
      </c>
      <c r="F33" s="172">
        <v>213.38200000000001</v>
      </c>
      <c r="G33" s="172">
        <v>128.01300000000001</v>
      </c>
      <c r="H33" s="172">
        <v>150.27600000000001</v>
      </c>
      <c r="I33" s="172">
        <v>161.13900000000001</v>
      </c>
      <c r="J33" s="172">
        <v>144.773</v>
      </c>
      <c r="K33" s="172">
        <v>117.952</v>
      </c>
      <c r="L33" s="172">
        <v>120</v>
      </c>
      <c r="M33" s="173">
        <v>170</v>
      </c>
      <c r="N33" s="173">
        <v>175.6</v>
      </c>
      <c r="O33" s="173">
        <v>175.6</v>
      </c>
      <c r="P33" s="173">
        <v>210</v>
      </c>
      <c r="Q33" s="756">
        <v>216.91240000000002</v>
      </c>
      <c r="R33" s="520">
        <v>148</v>
      </c>
      <c r="S33" s="756">
        <v>157.15350000000004</v>
      </c>
      <c r="T33" s="746">
        <v>148.58749999999995</v>
      </c>
      <c r="U33" s="673">
        <v>162.45699999999999</v>
      </c>
      <c r="V33" s="673">
        <v>100</v>
      </c>
      <c r="W33" s="762">
        <v>100</v>
      </c>
    </row>
    <row r="34" spans="1:23">
      <c r="A34" s="284" t="s">
        <v>780</v>
      </c>
      <c r="B34" s="171">
        <v>204.614</v>
      </c>
      <c r="C34" s="172">
        <v>83.902000000000001</v>
      </c>
      <c r="D34" s="172">
        <v>94.478999999999999</v>
      </c>
      <c r="E34" s="172">
        <v>74.168000000000006</v>
      </c>
      <c r="F34" s="172">
        <v>156.453</v>
      </c>
      <c r="G34" s="172">
        <v>231.44800000000001</v>
      </c>
      <c r="H34" s="172">
        <v>58.771000000000001</v>
      </c>
      <c r="I34" s="172">
        <v>49.441000000000003</v>
      </c>
      <c r="J34" s="172">
        <v>49.277999999999999</v>
      </c>
      <c r="K34" s="172">
        <v>215.666</v>
      </c>
      <c r="L34" s="172">
        <v>184.7</v>
      </c>
      <c r="M34" s="173">
        <v>130</v>
      </c>
      <c r="N34" s="173">
        <v>121.6</v>
      </c>
      <c r="O34" s="173">
        <v>121.6</v>
      </c>
      <c r="P34" s="173">
        <v>15</v>
      </c>
      <c r="Q34" s="756">
        <v>57.660299999999999</v>
      </c>
      <c r="R34" s="520">
        <v>46</v>
      </c>
      <c r="S34" s="756">
        <v>77.673700000000011</v>
      </c>
      <c r="T34" s="746">
        <v>23.981099999999994</v>
      </c>
      <c r="U34" s="673">
        <v>56.994</v>
      </c>
      <c r="V34" s="650">
        <v>30</v>
      </c>
      <c r="W34" s="763">
        <v>20</v>
      </c>
    </row>
    <row r="35" spans="1:23" ht="18.600000000000001">
      <c r="A35" s="181" t="s">
        <v>791</v>
      </c>
      <c r="B35" s="182">
        <v>946.07</v>
      </c>
      <c r="C35" s="183">
        <v>514.06999999999994</v>
      </c>
      <c r="D35" s="183">
        <v>390.97999999999996</v>
      </c>
      <c r="E35" s="183">
        <v>466.69799999999998</v>
      </c>
      <c r="F35" s="183">
        <v>852.14400000000001</v>
      </c>
      <c r="G35" s="183">
        <v>560.76800000000003</v>
      </c>
      <c r="H35" s="183">
        <v>447.13600000000002</v>
      </c>
      <c r="I35" s="183">
        <v>424.88599999999997</v>
      </c>
      <c r="J35" s="183">
        <v>376.00400000000002</v>
      </c>
      <c r="K35" s="183">
        <v>508.50700000000001</v>
      </c>
      <c r="L35" s="183">
        <v>486.29999999999995</v>
      </c>
      <c r="M35" s="183">
        <v>512</v>
      </c>
      <c r="N35" s="183">
        <v>553.77</v>
      </c>
      <c r="O35" s="183">
        <v>553.77</v>
      </c>
      <c r="P35" s="183">
        <v>525</v>
      </c>
      <c r="Q35" s="698">
        <v>587.34989100000018</v>
      </c>
      <c r="R35" s="749">
        <v>526.34622999999999</v>
      </c>
      <c r="S35" s="698">
        <v>498.69027000000006</v>
      </c>
      <c r="T35" s="698">
        <v>399.82836999999995</v>
      </c>
      <c r="U35" s="677">
        <v>463.50558000000001</v>
      </c>
      <c r="V35" s="677">
        <v>342</v>
      </c>
      <c r="W35" s="677">
        <v>332</v>
      </c>
    </row>
    <row r="36" spans="1:23">
      <c r="A36" s="285"/>
      <c r="B36" s="203"/>
      <c r="C36" s="384"/>
      <c r="D36" s="204"/>
      <c r="E36" s="204"/>
      <c r="F36" s="204"/>
      <c r="G36" s="204"/>
      <c r="H36" s="385"/>
      <c r="I36" s="385"/>
      <c r="J36" s="385"/>
      <c r="K36" s="385"/>
      <c r="L36" s="385"/>
      <c r="M36" s="385"/>
      <c r="N36" s="385"/>
      <c r="O36" s="385"/>
      <c r="P36" s="385"/>
      <c r="Q36" s="764"/>
      <c r="R36" s="765"/>
      <c r="S36" s="764"/>
      <c r="T36" s="764"/>
      <c r="U36" s="766"/>
      <c r="V36" s="766"/>
      <c r="W36" s="766"/>
    </row>
    <row r="37" spans="1:23" ht="19.2">
      <c r="A37" s="386" t="s">
        <v>835</v>
      </c>
      <c r="B37" s="387">
        <v>62.100999999999999</v>
      </c>
      <c r="C37" s="387">
        <v>58.63</v>
      </c>
      <c r="D37" s="387">
        <v>43.872</v>
      </c>
      <c r="E37" s="387">
        <v>34.342999999999996</v>
      </c>
      <c r="F37" s="387">
        <v>81.963000000000008</v>
      </c>
      <c r="G37" s="387">
        <v>49.773000000000003</v>
      </c>
      <c r="H37" s="387">
        <v>59.866999999999997</v>
      </c>
      <c r="I37" s="387">
        <v>38.138999999999996</v>
      </c>
      <c r="J37" s="387">
        <v>58.658000000000001</v>
      </c>
      <c r="K37" s="387">
        <v>66.378</v>
      </c>
      <c r="L37" s="387">
        <v>76.400000000000006</v>
      </c>
      <c r="M37" s="388">
        <v>172.50400000000002</v>
      </c>
      <c r="N37" s="388">
        <v>156</v>
      </c>
      <c r="O37" s="388">
        <v>156</v>
      </c>
      <c r="P37" s="388">
        <v>86</v>
      </c>
      <c r="Q37" s="767">
        <v>58.346229999999998</v>
      </c>
      <c r="R37" s="768">
        <v>38</v>
      </c>
      <c r="S37" s="767">
        <v>58.045830000000009</v>
      </c>
      <c r="T37" s="767">
        <v>56.924409999999995</v>
      </c>
      <c r="U37" s="769">
        <v>59.363959999999999</v>
      </c>
      <c r="V37" s="769">
        <v>37.858960000000025</v>
      </c>
      <c r="W37" s="769">
        <v>50.463960000000043</v>
      </c>
    </row>
    <row r="38" spans="1:23">
      <c r="A38" s="284" t="s">
        <v>793</v>
      </c>
      <c r="B38" s="171">
        <v>52.29</v>
      </c>
      <c r="C38" s="172">
        <v>52.966000000000001</v>
      </c>
      <c r="D38" s="172">
        <v>41.045000000000002</v>
      </c>
      <c r="E38" s="172">
        <v>31.515999999999998</v>
      </c>
      <c r="F38" s="172">
        <v>75.888000000000005</v>
      </c>
      <c r="G38" s="172">
        <v>46.612000000000002</v>
      </c>
      <c r="H38" s="172">
        <v>57.189</v>
      </c>
      <c r="I38" s="172">
        <v>36.021999999999998</v>
      </c>
      <c r="J38" s="845">
        <v>57.042000000000002</v>
      </c>
      <c r="K38" s="845">
        <v>65.078000000000003</v>
      </c>
      <c r="L38" s="172">
        <v>74.2</v>
      </c>
      <c r="M38" s="173"/>
      <c r="N38" s="173">
        <v>9.5</v>
      </c>
      <c r="O38" s="173">
        <v>9.5</v>
      </c>
      <c r="P38" s="846">
        <v>82</v>
      </c>
      <c r="Q38" s="593">
        <v>53.097699999999996</v>
      </c>
      <c r="R38" s="520">
        <v>34</v>
      </c>
      <c r="S38" s="756">
        <v>54.594800000000006</v>
      </c>
      <c r="T38" s="519">
        <v>53.862199999999994</v>
      </c>
      <c r="U38" s="665">
        <v>57.442599999999999</v>
      </c>
      <c r="V38" s="770"/>
      <c r="W38" s="770"/>
    </row>
    <row r="39" spans="1:23" ht="15" thickBot="1">
      <c r="A39" s="333" t="s">
        <v>794</v>
      </c>
      <c r="B39" s="389">
        <v>9.8109999999999999</v>
      </c>
      <c r="C39" s="390">
        <v>5.6639999999999997</v>
      </c>
      <c r="D39" s="390">
        <v>2.827</v>
      </c>
      <c r="E39" s="390">
        <v>2.827</v>
      </c>
      <c r="F39" s="390">
        <v>6.0750000000000002</v>
      </c>
      <c r="G39" s="390">
        <v>3.161</v>
      </c>
      <c r="H39" s="390">
        <v>2.6779999999999999</v>
      </c>
      <c r="I39" s="390">
        <v>2.117</v>
      </c>
      <c r="J39" s="390">
        <v>1.6160000000000001</v>
      </c>
      <c r="K39" s="390">
        <v>1.3</v>
      </c>
      <c r="L39" s="390">
        <v>2.2000000000000002</v>
      </c>
      <c r="M39" s="391"/>
      <c r="N39" s="391"/>
      <c r="O39" s="391"/>
      <c r="P39" s="391"/>
      <c r="Q39" s="771">
        <v>4.9942269999999995</v>
      </c>
      <c r="R39" s="771">
        <v>4</v>
      </c>
      <c r="S39" s="772">
        <v>3.4510300000000003</v>
      </c>
      <c r="T39" s="772">
        <v>3.0622099999999999</v>
      </c>
      <c r="U39" s="773">
        <v>1.92136</v>
      </c>
      <c r="V39" s="774"/>
      <c r="W39" s="773"/>
    </row>
    <row r="40" spans="1:23">
      <c r="A40" s="392" t="s">
        <v>796</v>
      </c>
      <c r="Q40" s="373"/>
      <c r="R40" s="328"/>
      <c r="S40" s="322"/>
    </row>
    <row r="41" spans="1:23" ht="16.2">
      <c r="A41" s="219" t="s">
        <v>836</v>
      </c>
    </row>
    <row r="42" spans="1:23" ht="16.2">
      <c r="A42" s="219" t="s">
        <v>837</v>
      </c>
    </row>
    <row r="43" spans="1:23" ht="16.2">
      <c r="A43" s="219" t="s">
        <v>838</v>
      </c>
    </row>
    <row r="44" spans="1:23" ht="16.2">
      <c r="A44" s="220" t="s">
        <v>839</v>
      </c>
    </row>
    <row r="46" spans="1:23" s="226" customFormat="1" ht="13.2"/>
    <row r="50" spans="1:16">
      <c r="B50" s="393"/>
      <c r="C50" s="393"/>
      <c r="D50" s="393"/>
      <c r="E50" s="394"/>
      <c r="F50" s="394"/>
      <c r="G50" s="394"/>
      <c r="H50" s="394"/>
      <c r="I50" s="394"/>
      <c r="J50" s="394"/>
      <c r="K50" s="394"/>
      <c r="L50" s="394"/>
      <c r="M50" s="394"/>
      <c r="N50" s="394"/>
      <c r="O50" s="394"/>
      <c r="P50" s="394"/>
    </row>
    <row r="51" spans="1:16">
      <c r="B51" s="395"/>
      <c r="C51" s="395"/>
      <c r="D51" s="395"/>
      <c r="E51" s="395"/>
      <c r="F51" s="395"/>
      <c r="G51" s="395"/>
      <c r="H51" s="395"/>
      <c r="I51" s="395"/>
      <c r="J51" s="395"/>
      <c r="K51" s="395"/>
      <c r="L51" s="395"/>
      <c r="M51" s="395"/>
      <c r="N51" s="395"/>
      <c r="O51" s="395"/>
      <c r="P51" s="395"/>
    </row>
    <row r="52" spans="1:16">
      <c r="B52" s="221"/>
      <c r="C52" s="221"/>
      <c r="D52" s="221"/>
      <c r="E52" s="221"/>
      <c r="F52" s="221"/>
      <c r="G52" s="221"/>
      <c r="H52" s="221"/>
      <c r="I52" s="221"/>
      <c r="J52" s="221"/>
      <c r="K52" s="221"/>
      <c r="L52" s="221"/>
      <c r="M52" s="221"/>
      <c r="N52" s="221"/>
      <c r="O52" s="221"/>
      <c r="P52" s="221"/>
    </row>
    <row r="53" spans="1:16">
      <c r="B53" s="221"/>
      <c r="C53" s="221"/>
      <c r="D53" s="221"/>
      <c r="E53" s="221"/>
      <c r="F53" s="221"/>
      <c r="G53" s="221"/>
      <c r="H53" s="221"/>
      <c r="I53" s="221"/>
      <c r="J53" s="221"/>
      <c r="K53" s="221"/>
      <c r="L53" s="221"/>
      <c r="M53" s="221"/>
      <c r="N53" s="221"/>
      <c r="O53" s="221"/>
      <c r="P53" s="221"/>
    </row>
    <row r="54" spans="1:16">
      <c r="B54" s="339"/>
      <c r="C54" s="339"/>
      <c r="D54" s="339"/>
      <c r="E54" s="339"/>
      <c r="F54" s="339"/>
      <c r="G54" s="339"/>
      <c r="H54" s="339"/>
      <c r="I54" s="339"/>
      <c r="J54" s="339"/>
      <c r="K54" s="339"/>
      <c r="L54" s="339"/>
      <c r="M54" s="339"/>
      <c r="N54" s="339"/>
      <c r="O54" s="339"/>
      <c r="P54" s="339"/>
    </row>
    <row r="55" spans="1:16">
      <c r="B55" s="339"/>
      <c r="C55" s="339"/>
      <c r="D55" s="339"/>
      <c r="E55" s="339"/>
      <c r="F55" s="339"/>
      <c r="G55" s="339"/>
      <c r="H55" s="339"/>
      <c r="I55" s="339"/>
      <c r="J55" s="339"/>
      <c r="K55" s="339"/>
      <c r="L55" s="339"/>
      <c r="M55" s="339"/>
      <c r="N55" s="339"/>
      <c r="O55" s="339"/>
      <c r="P55" s="339"/>
    </row>
    <row r="56" spans="1:16">
      <c r="B56" s="339"/>
      <c r="C56" s="339"/>
      <c r="D56" s="339"/>
      <c r="E56" s="339"/>
      <c r="F56" s="339"/>
      <c r="G56" s="339"/>
      <c r="H56" s="339"/>
      <c r="I56" s="339"/>
      <c r="J56" s="339"/>
      <c r="K56" s="339"/>
      <c r="L56" s="339"/>
      <c r="M56" s="339"/>
      <c r="N56" s="339"/>
      <c r="O56" s="339"/>
      <c r="P56" s="339"/>
    </row>
    <row r="57" spans="1:16">
      <c r="B57" s="221"/>
      <c r="C57" s="221"/>
      <c r="D57" s="221"/>
      <c r="E57" s="221"/>
      <c r="F57" s="221"/>
      <c r="G57" s="221"/>
      <c r="H57" s="221"/>
      <c r="I57" s="221"/>
      <c r="J57" s="221"/>
      <c r="K57" s="221"/>
      <c r="L57" s="221"/>
      <c r="M57" s="221"/>
      <c r="N57" s="221"/>
      <c r="O57" s="221"/>
      <c r="P57" s="221"/>
    </row>
    <row r="58" spans="1:16">
      <c r="B58" s="339"/>
      <c r="C58" s="339"/>
      <c r="D58" s="339"/>
      <c r="E58" s="339"/>
      <c r="F58" s="339"/>
      <c r="G58" s="339"/>
      <c r="H58" s="339"/>
      <c r="I58" s="339"/>
      <c r="J58" s="339"/>
      <c r="K58" s="339"/>
      <c r="L58" s="339"/>
      <c r="M58" s="339"/>
      <c r="N58" s="339"/>
      <c r="O58" s="339"/>
      <c r="P58" s="339"/>
    </row>
    <row r="60" spans="1:16">
      <c r="A60" s="396"/>
      <c r="B60" s="397"/>
      <c r="C60" s="397"/>
      <c r="D60" s="397"/>
      <c r="E60" s="397"/>
      <c r="F60" s="397"/>
      <c r="G60" s="397"/>
      <c r="H60" s="397"/>
      <c r="I60" s="397"/>
      <c r="J60" s="397"/>
      <c r="K60" s="397"/>
      <c r="L60" s="397"/>
      <c r="M60" s="397"/>
      <c r="N60" s="397"/>
      <c r="O60" s="397"/>
      <c r="P60" s="397"/>
    </row>
    <row r="61" spans="1:16">
      <c r="A61" s="396"/>
      <c r="B61" s="398"/>
      <c r="C61" s="398"/>
      <c r="D61" s="398"/>
      <c r="E61" s="398"/>
      <c r="F61" s="398"/>
      <c r="G61" s="398"/>
      <c r="H61" s="398"/>
      <c r="I61" s="398"/>
      <c r="J61" s="398"/>
      <c r="K61" s="398"/>
      <c r="L61" s="398"/>
      <c r="M61" s="398"/>
      <c r="N61" s="398"/>
      <c r="O61" s="398"/>
      <c r="P61" s="398"/>
    </row>
    <row r="62" spans="1:16">
      <c r="A62" s="396"/>
      <c r="B62" s="397"/>
      <c r="C62" s="397"/>
      <c r="D62" s="397"/>
      <c r="E62" s="397"/>
      <c r="F62" s="397"/>
      <c r="G62" s="397"/>
      <c r="H62" s="397"/>
      <c r="I62" s="397"/>
      <c r="J62" s="397"/>
      <c r="K62" s="397"/>
      <c r="L62" s="397"/>
      <c r="M62" s="397"/>
      <c r="N62" s="397"/>
      <c r="O62" s="397"/>
      <c r="P62" s="397"/>
    </row>
  </sheetData>
  <mergeCells count="1">
    <mergeCell ref="B1:P1"/>
  </mergeCells>
  <conditionalFormatting sqref="B61:P61">
    <cfRule type="cellIs" dxfId="3" priority="2" operator="lessThan">
      <formula>0</formula>
    </cfRule>
  </conditionalFormatting>
  <conditionalFormatting sqref="U7:W7">
    <cfRule type="expression" dxfId="2" priority="1" stopIfTrue="1">
      <formula>ISERROR(U7)</formula>
    </cfRule>
  </conditionalFormatting>
  <pageMargins left="0.7" right="0.7" top="0.75" bottom="0.75" header="0.3" footer="0.3"/>
  <pageSetup paperSize="9" scale="43"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F2306-B5D8-4C82-9E1E-3716F0BC889E}">
  <sheetPr>
    <tabColor rgb="FF92D050"/>
  </sheetPr>
  <dimension ref="A1:S34"/>
  <sheetViews>
    <sheetView tabSelected="1" workbookViewId="0">
      <pane xSplit="2" ySplit="1" topLeftCell="J5" activePane="bottomRight" state="frozen"/>
      <selection activeCell="B15" sqref="B15"/>
      <selection pane="topRight" activeCell="B15" sqref="B15"/>
      <selection pane="bottomLeft" activeCell="B15" sqref="B15"/>
      <selection pane="bottomRight" activeCell="K26" sqref="K26"/>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30.21875" style="2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Secteurs!$B$2</f>
        <v>Récolte</v>
      </c>
      <c r="B2" t="str">
        <f>Produits!$B$2</f>
        <v>Graines récoltées</v>
      </c>
      <c r="C2" s="100">
        <f>'Bilans Féverole - FAM'!K6</f>
        <v>253.017</v>
      </c>
      <c r="E2" t="str">
        <f>Etiquettes!$C$3</f>
        <v>kt</v>
      </c>
      <c r="F2" s="21" t="str">
        <f>Etiquettes!$M$6</f>
        <v>Féverole</v>
      </c>
      <c r="G2" s="21" t="str">
        <f>Etiquettes!$H$5</f>
        <v>2015-16</v>
      </c>
      <c r="H2" t="str">
        <f>Etiquettes!$C$4</f>
        <v>France entière</v>
      </c>
      <c r="I2" s="101" t="s">
        <v>722</v>
      </c>
      <c r="J2" s="101"/>
      <c r="K2" t="s">
        <v>741</v>
      </c>
      <c r="L2" s="101" t="s">
        <v>1485</v>
      </c>
      <c r="M2" s="21" t="str">
        <f>Etiquettes!$H$11</f>
        <v>Volume</v>
      </c>
      <c r="N2" s="21" t="str">
        <f t="shared" ref="N2:N25" si="0">_xlfn.CONCAT(I2,IF(ISBLANK(C2),"",_xlfn.CONCAT(" = ",MROUND(C2,1)," ",E2))," (",K2,")")</f>
        <v>Récolte = 253 kt (Bilans par campagne - FranceAgriMer)</v>
      </c>
      <c r="O2" t="str">
        <f>Etiquettes!$H$15</f>
        <v>Fiable</v>
      </c>
      <c r="P2" s="976" t="s">
        <v>1468</v>
      </c>
      <c r="Q2" s="976" t="str">
        <f>Etiquettes!$H$17</f>
        <v>Donnée collectée (valeur du flux ou coefficient)</v>
      </c>
    </row>
    <row r="3" spans="1:19">
      <c r="A3" t="str">
        <f>Secteurs!$B$3</f>
        <v>Ferme</v>
      </c>
      <c r="B3" t="str">
        <f>Produits!$B$4</f>
        <v>Graines autoconsommées</v>
      </c>
      <c r="C3" s="858">
        <f>'Bilans Féverole - FAM'!K8</f>
        <v>62.038999999999987</v>
      </c>
      <c r="E3" t="str">
        <f>Etiquettes!$C$3</f>
        <v>kt</v>
      </c>
      <c r="F3" s="21" t="str">
        <f>Etiquettes!$M$6</f>
        <v>Féverole</v>
      </c>
      <c r="G3" s="21" t="str">
        <f>Etiquettes!$H$5</f>
        <v>2015-16</v>
      </c>
      <c r="H3" t="str">
        <f>Etiquettes!$C$4</f>
        <v>France entière</v>
      </c>
      <c r="I3" s="21" t="s">
        <v>742</v>
      </c>
      <c r="J3" s="101"/>
      <c r="K3" t="s">
        <v>741</v>
      </c>
      <c r="L3" s="101" t="s">
        <v>1485</v>
      </c>
      <c r="M3" s="21" t="str">
        <f>Etiquettes!$H$11</f>
        <v>Volume</v>
      </c>
      <c r="N3" s="21" t="str">
        <f t="shared" si="0"/>
        <v>Autoconsommation à la ferme = 62 kt (Bilans par campagne - FranceAgriMer)</v>
      </c>
      <c r="O3" t="str">
        <f>Etiquettes!$K$15</f>
        <v>Approximative</v>
      </c>
      <c r="P3" s="976" t="s">
        <v>1468</v>
      </c>
      <c r="Q3" s="976" t="str">
        <f>Etiquettes!$H$17</f>
        <v>Donnée collectée (valeur du flux ou coefficient)</v>
      </c>
    </row>
    <row r="4" spans="1:19">
      <c r="A4" t="str">
        <f>Produits!$B$2</f>
        <v>Graines récoltées</v>
      </c>
      <c r="B4" t="str">
        <f>Secteurs!$B$4</f>
        <v>OS</v>
      </c>
      <c r="C4" s="100">
        <f>'Bilans Féverole - FAM'!K16</f>
        <v>190.97800000000001</v>
      </c>
      <c r="E4" t="str">
        <f>Etiquettes!$C$3</f>
        <v>kt</v>
      </c>
      <c r="F4" s="21" t="str">
        <f>Etiquettes!$M$6</f>
        <v>Féverole</v>
      </c>
      <c r="G4" s="21" t="str">
        <f>Etiquettes!$H$5</f>
        <v>2015-16</v>
      </c>
      <c r="H4" t="str">
        <f>Etiquettes!$C$4</f>
        <v>France entière</v>
      </c>
      <c r="I4" s="21" t="s">
        <v>743</v>
      </c>
      <c r="J4" s="101"/>
      <c r="K4" t="s">
        <v>741</v>
      </c>
      <c r="L4" s="101" t="s">
        <v>1485</v>
      </c>
      <c r="M4" s="21" t="str">
        <f>Etiquettes!$H$11</f>
        <v>Volume</v>
      </c>
      <c r="N4" s="21" t="str">
        <f t="shared" si="0"/>
        <v>Collecte = 191 kt (Bilans par campagne - FranceAgriMer)</v>
      </c>
      <c r="O4" t="str">
        <f>Etiquettes!$I$15</f>
        <v>Robuste</v>
      </c>
      <c r="P4" s="976" t="s">
        <v>1468</v>
      </c>
      <c r="Q4" s="976" t="str">
        <f>Etiquettes!$H$17</f>
        <v>Donnée collectée (valeur du flux ou coefficient)</v>
      </c>
    </row>
    <row r="5" spans="1:19">
      <c r="A5" t="str">
        <f>Produits!$B$7</f>
        <v>Stock initial collecteurs</v>
      </c>
      <c r="B5" t="str">
        <f>Secteurs!$B$4</f>
        <v>OS</v>
      </c>
      <c r="C5" s="100">
        <f>'Bilans Féverole - FAM'!J38</f>
        <v>33.734000000000002</v>
      </c>
      <c r="E5" t="str">
        <f>Etiquettes!$C$3</f>
        <v>kt</v>
      </c>
      <c r="F5" s="21" t="str">
        <f>Etiquettes!$M$6</f>
        <v>Féverole</v>
      </c>
      <c r="G5" s="21" t="str">
        <f>Etiquettes!$H$5</f>
        <v>2015-16</v>
      </c>
      <c r="H5" t="str">
        <f>Etiquettes!$C$4</f>
        <v>France entière</v>
      </c>
      <c r="I5" s="21" t="s">
        <v>712</v>
      </c>
      <c r="J5" s="101"/>
      <c r="K5" t="s">
        <v>741</v>
      </c>
      <c r="L5" s="101" t="s">
        <v>1485</v>
      </c>
      <c r="M5" s="21" t="str">
        <f>Etiquettes!$H$11</f>
        <v>Volume</v>
      </c>
      <c r="N5" s="21" t="str">
        <f t="shared" si="0"/>
        <v>Stock initial collecteurs = 34 kt (Bilans par campagne - FranceAgriMer)</v>
      </c>
      <c r="O5" t="str">
        <f>Etiquettes!$I$15</f>
        <v>Robuste</v>
      </c>
      <c r="P5" s="976" t="s">
        <v>1468</v>
      </c>
      <c r="Q5" s="976" t="str">
        <f>Etiquettes!$H$17</f>
        <v>Donnée collectée (valeur du flux ou coefficient)</v>
      </c>
    </row>
    <row r="6" spans="1:19">
      <c r="A6" t="str">
        <f>Secteurs!$B$4</f>
        <v>OS</v>
      </c>
      <c r="B6" t="str">
        <f>Produits!$B$10</f>
        <v>Stock final collecteurs</v>
      </c>
      <c r="C6" s="100">
        <f>'Bilans Féverole - FAM'!K38</f>
        <v>59.219000000000001</v>
      </c>
      <c r="E6" t="str">
        <f>Etiquettes!$C$3</f>
        <v>kt</v>
      </c>
      <c r="F6" s="21" t="str">
        <f>Etiquettes!$M$6</f>
        <v>Féverole</v>
      </c>
      <c r="G6" s="21" t="str">
        <f>Etiquettes!$H$5</f>
        <v>2015-16</v>
      </c>
      <c r="H6" t="str">
        <f>Etiquettes!$C$4</f>
        <v>France entière</v>
      </c>
      <c r="I6" s="21" t="s">
        <v>715</v>
      </c>
      <c r="J6" s="101"/>
      <c r="K6" t="s">
        <v>741</v>
      </c>
      <c r="L6" s="101" t="s">
        <v>1485</v>
      </c>
      <c r="M6" s="21" t="str">
        <f>Etiquettes!$H$11</f>
        <v>Volume</v>
      </c>
      <c r="N6" s="21" t="str">
        <f t="shared" si="0"/>
        <v>Stock final collecteurs = 59 kt (Bilans par campagne - FranceAgriMer)</v>
      </c>
      <c r="O6" t="str">
        <f>Etiquettes!$I$15</f>
        <v>Robuste</v>
      </c>
      <c r="P6" s="976" t="s">
        <v>1468</v>
      </c>
      <c r="Q6" s="976" t="str">
        <f>Etiquettes!$H$17</f>
        <v>Donnée collectée (valeur du flux ou coefficient)</v>
      </c>
    </row>
    <row r="7" spans="1:19">
      <c r="A7" t="str">
        <f>Produits!$B$11</f>
        <v>Graines collectées</v>
      </c>
      <c r="B7" t="str">
        <f>Secteurs!$B$24</f>
        <v>FAB</v>
      </c>
      <c r="C7" s="100">
        <f>'Bilans Féverole - FAM'!K27</f>
        <v>29.259</v>
      </c>
      <c r="E7" t="str">
        <f>Etiquettes!$C$3</f>
        <v>kt</v>
      </c>
      <c r="F7" s="21" t="str">
        <f>Etiquettes!$M$6</f>
        <v>Féverole</v>
      </c>
      <c r="G7" s="21" t="str">
        <f>Etiquettes!$H$5</f>
        <v>2015-16</v>
      </c>
      <c r="H7" t="str">
        <f>Etiquettes!$C$4</f>
        <v>France entière</v>
      </c>
      <c r="I7" s="21" t="s">
        <v>1011</v>
      </c>
      <c r="J7" s="101"/>
      <c r="K7" t="s">
        <v>741</v>
      </c>
      <c r="L7" s="101" t="s">
        <v>1485</v>
      </c>
      <c r="M7" s="21" t="str">
        <f>Etiquettes!$H$11</f>
        <v>Volume</v>
      </c>
      <c r="N7" s="21" t="str">
        <f t="shared" si="0"/>
        <v>Consommation de graines par les FAB = 29 kt (Bilans par campagne - FranceAgriMer)</v>
      </c>
      <c r="O7" t="str">
        <f>Etiquettes!$J$15</f>
        <v>Probable</v>
      </c>
      <c r="P7" s="976" t="s">
        <v>1468</v>
      </c>
      <c r="Q7" s="976" t="str">
        <f>Etiquettes!$H$17</f>
        <v>Donnée collectée (valeur du flux ou coefficient)</v>
      </c>
    </row>
    <row r="8" spans="1:19">
      <c r="A8" t="str">
        <f>Produits!$B$11</f>
        <v>Graines collectées</v>
      </c>
      <c r="B8" t="str">
        <f>Secteurs!$B$10</f>
        <v>Meunerie</v>
      </c>
      <c r="C8" s="100">
        <f>'Bilans Féverole - FAM'!K28</f>
        <v>10</v>
      </c>
      <c r="E8" t="str">
        <f>Etiquettes!$C$3</f>
        <v>kt</v>
      </c>
      <c r="F8" s="21" t="str">
        <f>Etiquettes!$M$6</f>
        <v>Féverole</v>
      </c>
      <c r="G8" s="21" t="str">
        <f>Etiquettes!$H$5</f>
        <v>2015-16</v>
      </c>
      <c r="H8" t="str">
        <f>Etiquettes!$C$4</f>
        <v>France entière</v>
      </c>
      <c r="I8" s="21" t="s">
        <v>1008</v>
      </c>
      <c r="J8" s="101"/>
      <c r="K8" t="s">
        <v>741</v>
      </c>
      <c r="L8" s="101" t="s">
        <v>1485</v>
      </c>
      <c r="M8" s="21" t="str">
        <f>Etiquettes!$H$11</f>
        <v>Volume</v>
      </c>
      <c r="N8" s="21" t="str">
        <f t="shared" si="0"/>
        <v>Consommation de graines en alimentation humaine = 10 kt (Bilans par campagne - FranceAgriMer)</v>
      </c>
      <c r="O8" t="str">
        <f>Etiquettes!$J$15</f>
        <v>Probable</v>
      </c>
      <c r="P8" s="976" t="s">
        <v>1468</v>
      </c>
      <c r="Q8" s="976" t="str">
        <f>Etiquettes!$H$17</f>
        <v>Donnée collectée (valeur du flux ou coefficient)</v>
      </c>
    </row>
    <row r="9" spans="1:19">
      <c r="A9" t="str">
        <f>Produits!$B$11</f>
        <v>Graines collectées</v>
      </c>
      <c r="B9" t="str">
        <f>Secteurs!$B$44</f>
        <v>Semences certifiées</v>
      </c>
      <c r="C9" s="100">
        <f>'Bilans Féverole - FAM'!K29</f>
        <v>8</v>
      </c>
      <c r="E9" t="str">
        <f>Etiquettes!$C$3</f>
        <v>kt</v>
      </c>
      <c r="F9" s="21" t="str">
        <f>Etiquettes!$M$6</f>
        <v>Féverole</v>
      </c>
      <c r="G9" s="21" t="str">
        <f>Etiquettes!$H$5</f>
        <v>2015-16</v>
      </c>
      <c r="H9" t="str">
        <f>Etiquettes!$C$4</f>
        <v>France entière</v>
      </c>
      <c r="I9" s="21" t="s">
        <v>744</v>
      </c>
      <c r="J9" s="101"/>
      <c r="K9" t="s">
        <v>741</v>
      </c>
      <c r="L9" s="101" t="s">
        <v>1485</v>
      </c>
      <c r="M9" s="21" t="str">
        <f>Etiquettes!$H$11</f>
        <v>Volume</v>
      </c>
      <c r="N9" s="21" t="str">
        <f t="shared" si="0"/>
        <v>Production de semences certifiées = 8 kt (Bilans par campagne - FranceAgriMer)</v>
      </c>
      <c r="O9" t="str">
        <f>Etiquettes!$J$15</f>
        <v>Probable</v>
      </c>
      <c r="P9" s="976" t="s">
        <v>1468</v>
      </c>
      <c r="Q9" s="976" t="str">
        <f>Etiquettes!$H$17</f>
        <v>Donnée collectée (valeur du flux ou coefficient)</v>
      </c>
    </row>
    <row r="10" spans="1:19">
      <c r="A10" t="str">
        <f>Secteurs!$B$2</f>
        <v>Récolte</v>
      </c>
      <c r="B10" t="str">
        <f>Produits!$B$2</f>
        <v>Graines récoltées</v>
      </c>
      <c r="C10" s="100">
        <f>'Bilans Féverole - FAM'!O6</f>
        <v>177.381</v>
      </c>
      <c r="E10" t="str">
        <f>Etiquettes!$C$3</f>
        <v>kt</v>
      </c>
      <c r="F10" s="21" t="str">
        <f>Etiquettes!$M$6</f>
        <v>Féverole</v>
      </c>
      <c r="G10" s="21" t="str">
        <f>Etiquettes!$I$5</f>
        <v>2019-20</v>
      </c>
      <c r="H10" t="str">
        <f>Etiquettes!$C$4</f>
        <v>France entière</v>
      </c>
      <c r="I10" s="101" t="s">
        <v>722</v>
      </c>
      <c r="J10" s="101"/>
      <c r="K10" t="s">
        <v>741</v>
      </c>
      <c r="L10" s="101" t="s">
        <v>1485</v>
      </c>
      <c r="M10" s="21" t="str">
        <f>Etiquettes!$H$11</f>
        <v>Volume</v>
      </c>
      <c r="N10" s="21" t="str">
        <f t="shared" si="0"/>
        <v>Récolte = 177 kt (Bilans par campagne - FranceAgriMer)</v>
      </c>
      <c r="O10" t="str">
        <f>Etiquettes!$H$15</f>
        <v>Fiable</v>
      </c>
      <c r="P10" s="976" t="s">
        <v>1468</v>
      </c>
      <c r="Q10" s="976" t="str">
        <f>Etiquettes!$H$17</f>
        <v>Donnée collectée (valeur du flux ou coefficient)</v>
      </c>
    </row>
    <row r="11" spans="1:19">
      <c r="A11" t="str">
        <f>Secteurs!$B$3</f>
        <v>Ferme</v>
      </c>
      <c r="B11" t="str">
        <f>Produits!$B$4</f>
        <v>Graines autoconsommées</v>
      </c>
      <c r="C11" s="858">
        <f>'Bilans Féverole - FAM'!O8</f>
        <v>81.213400000000007</v>
      </c>
      <c r="E11" t="str">
        <f>Etiquettes!$C$3</f>
        <v>kt</v>
      </c>
      <c r="F11" s="21" t="str">
        <f>Etiquettes!$M$6</f>
        <v>Féverole</v>
      </c>
      <c r="G11" s="21" t="str">
        <f>Etiquettes!$I$5</f>
        <v>2019-20</v>
      </c>
      <c r="H11" t="str">
        <f>Etiquettes!$C$4</f>
        <v>France entière</v>
      </c>
      <c r="I11" s="21" t="s">
        <v>742</v>
      </c>
      <c r="J11" s="101"/>
      <c r="K11" t="s">
        <v>741</v>
      </c>
      <c r="L11" s="101" t="s">
        <v>1485</v>
      </c>
      <c r="M11" s="21" t="str">
        <f>Etiquettes!$H$11</f>
        <v>Volume</v>
      </c>
      <c r="N11" s="21" t="str">
        <f t="shared" si="0"/>
        <v>Autoconsommation à la ferme = 81 kt (Bilans par campagne - FranceAgriMer)</v>
      </c>
      <c r="O11" t="str">
        <f>Etiquettes!$K$15</f>
        <v>Approximative</v>
      </c>
      <c r="P11" s="976" t="s">
        <v>1468</v>
      </c>
      <c r="Q11" s="976" t="str">
        <f>Etiquettes!$H$17</f>
        <v>Donnée collectée (valeur du flux ou coefficient)</v>
      </c>
    </row>
    <row r="12" spans="1:19">
      <c r="A12" t="str">
        <f>Produits!$B$2</f>
        <v>Graines récoltées</v>
      </c>
      <c r="B12" t="str">
        <f>Secteurs!$B$4</f>
        <v>OS</v>
      </c>
      <c r="C12" s="100">
        <f>'Bilans Féverole - FAM'!O16</f>
        <v>96.167599999999993</v>
      </c>
      <c r="E12" t="str">
        <f>Etiquettes!$C$3</f>
        <v>kt</v>
      </c>
      <c r="F12" s="21" t="str">
        <f>Etiquettes!$M$6</f>
        <v>Féverole</v>
      </c>
      <c r="G12" s="21" t="str">
        <f>Etiquettes!$I$5</f>
        <v>2019-20</v>
      </c>
      <c r="H12" t="str">
        <f>Etiquettes!$C$4</f>
        <v>France entière</v>
      </c>
      <c r="I12" s="21" t="s">
        <v>743</v>
      </c>
      <c r="J12" s="101"/>
      <c r="K12" t="s">
        <v>741</v>
      </c>
      <c r="L12" s="101" t="s">
        <v>1485</v>
      </c>
      <c r="M12" s="21" t="str">
        <f>Etiquettes!$H$11</f>
        <v>Volume</v>
      </c>
      <c r="N12" s="21" t="str">
        <f t="shared" si="0"/>
        <v>Collecte = 96 kt (Bilans par campagne - FranceAgriMer)</v>
      </c>
      <c r="O12" t="str">
        <f>Etiquettes!$I$15</f>
        <v>Robuste</v>
      </c>
      <c r="P12" s="976" t="s">
        <v>1468</v>
      </c>
      <c r="Q12" s="976" t="str">
        <f>Etiquettes!$H$17</f>
        <v>Donnée collectée (valeur du flux ou coefficient)</v>
      </c>
    </row>
    <row r="13" spans="1:19">
      <c r="A13" t="str">
        <f>Produits!$B$7</f>
        <v>Stock initial collecteurs</v>
      </c>
      <c r="B13" t="str">
        <f>Secteurs!$B$4</f>
        <v>OS</v>
      </c>
      <c r="C13" s="100">
        <f>'Bilans Féverole - FAM'!N38</f>
        <v>13</v>
      </c>
      <c r="E13" t="str">
        <f>Etiquettes!$C$3</f>
        <v>kt</v>
      </c>
      <c r="F13" s="21" t="str">
        <f>Etiquettes!$M$6</f>
        <v>Féverole</v>
      </c>
      <c r="G13" s="21" t="str">
        <f>Etiquettes!$I$5</f>
        <v>2019-20</v>
      </c>
      <c r="H13" t="str">
        <f>Etiquettes!$C$4</f>
        <v>France entière</v>
      </c>
      <c r="I13" s="21" t="s">
        <v>712</v>
      </c>
      <c r="J13" s="101"/>
      <c r="K13" t="s">
        <v>741</v>
      </c>
      <c r="L13" s="101" t="s">
        <v>1485</v>
      </c>
      <c r="M13" s="21" t="str">
        <f>Etiquettes!$H$11</f>
        <v>Volume</v>
      </c>
      <c r="N13" s="21" t="str">
        <f t="shared" si="0"/>
        <v>Stock initial collecteurs = 13 kt (Bilans par campagne - FranceAgriMer)</v>
      </c>
      <c r="O13" t="str">
        <f>Etiquettes!$I$15</f>
        <v>Robuste</v>
      </c>
      <c r="P13" s="976" t="s">
        <v>1468</v>
      </c>
      <c r="Q13" s="976" t="str">
        <f>Etiquettes!$H$17</f>
        <v>Donnée collectée (valeur du flux ou coefficient)</v>
      </c>
    </row>
    <row r="14" spans="1:19">
      <c r="A14" t="str">
        <f>Secteurs!$B$4</f>
        <v>OS</v>
      </c>
      <c r="B14" t="str">
        <f>Produits!$B$10</f>
        <v>Stock final collecteurs</v>
      </c>
      <c r="C14" s="100">
        <f>'Bilans Féverole - FAM'!O38</f>
        <v>13.879899999999999</v>
      </c>
      <c r="E14" t="str">
        <f>Etiquettes!$C$3</f>
        <v>kt</v>
      </c>
      <c r="F14" s="21" t="str">
        <f>Etiquettes!$M$6</f>
        <v>Féverole</v>
      </c>
      <c r="G14" s="21" t="str">
        <f>Etiquettes!$I$5</f>
        <v>2019-20</v>
      </c>
      <c r="H14" t="str">
        <f>Etiquettes!$C$4</f>
        <v>France entière</v>
      </c>
      <c r="I14" s="21" t="s">
        <v>715</v>
      </c>
      <c r="J14" s="101"/>
      <c r="K14" t="s">
        <v>741</v>
      </c>
      <c r="L14" s="101" t="s">
        <v>1485</v>
      </c>
      <c r="M14" s="21" t="str">
        <f>Etiquettes!$H$11</f>
        <v>Volume</v>
      </c>
      <c r="N14" s="21" t="str">
        <f t="shared" si="0"/>
        <v>Stock final collecteurs = 14 kt (Bilans par campagne - FranceAgriMer)</v>
      </c>
      <c r="O14" t="str">
        <f>Etiquettes!$I$15</f>
        <v>Robuste</v>
      </c>
      <c r="P14" s="976" t="s">
        <v>1468</v>
      </c>
      <c r="Q14" s="976" t="str">
        <f>Etiquettes!$H$17</f>
        <v>Donnée collectée (valeur du flux ou coefficient)</v>
      </c>
    </row>
    <row r="15" spans="1:19">
      <c r="A15" t="str">
        <f>Produits!$B$11</f>
        <v>Graines collectées</v>
      </c>
      <c r="B15" t="str">
        <f>Secteurs!$B$24</f>
        <v>FAB</v>
      </c>
      <c r="C15" s="100">
        <f>'Bilans Féverole - FAM'!O27</f>
        <v>22.280180999999999</v>
      </c>
      <c r="E15" t="str">
        <f>Etiquettes!$C$3</f>
        <v>kt</v>
      </c>
      <c r="F15" s="21" t="str">
        <f>Etiquettes!$M$6</f>
        <v>Féverole</v>
      </c>
      <c r="G15" s="21" t="str">
        <f>Etiquettes!$I$5</f>
        <v>2019-20</v>
      </c>
      <c r="H15" t="str">
        <f>Etiquettes!$C$4</f>
        <v>France entière</v>
      </c>
      <c r="I15" s="21" t="s">
        <v>1011</v>
      </c>
      <c r="J15" s="101"/>
      <c r="K15" t="s">
        <v>741</v>
      </c>
      <c r="L15" s="101" t="s">
        <v>1485</v>
      </c>
      <c r="M15" s="21" t="str">
        <f>Etiquettes!$H$11</f>
        <v>Volume</v>
      </c>
      <c r="N15" s="21" t="str">
        <f t="shared" si="0"/>
        <v>Consommation de graines par les FAB = 22 kt (Bilans par campagne - FranceAgriMer)</v>
      </c>
      <c r="O15" t="str">
        <f>Etiquettes!$J$15</f>
        <v>Probable</v>
      </c>
      <c r="P15" s="976" t="s">
        <v>1468</v>
      </c>
      <c r="Q15" s="976" t="str">
        <f>Etiquettes!$H$17</f>
        <v>Donnée collectée (valeur du flux ou coefficient)</v>
      </c>
    </row>
    <row r="16" spans="1:19">
      <c r="A16" t="str">
        <f>Produits!$B$11</f>
        <v>Graines collectées</v>
      </c>
      <c r="B16" t="str">
        <f>Secteurs!$B$10</f>
        <v>Meunerie</v>
      </c>
      <c r="C16" s="100">
        <f>'Bilans Féverole - FAM'!O28</f>
        <v>12</v>
      </c>
      <c r="E16" t="str">
        <f>Etiquettes!$C$3</f>
        <v>kt</v>
      </c>
      <c r="F16" s="21" t="str">
        <f>Etiquettes!$M$6</f>
        <v>Féverole</v>
      </c>
      <c r="G16" s="21" t="str">
        <f>Etiquettes!$I$5</f>
        <v>2019-20</v>
      </c>
      <c r="H16" t="str">
        <f>Etiquettes!$C$4</f>
        <v>France entière</v>
      </c>
      <c r="I16" s="21" t="s">
        <v>1008</v>
      </c>
      <c r="J16" s="101"/>
      <c r="K16" t="s">
        <v>741</v>
      </c>
      <c r="L16" s="101" t="s">
        <v>1485</v>
      </c>
      <c r="M16" s="21" t="str">
        <f>Etiquettes!$H$11</f>
        <v>Volume</v>
      </c>
      <c r="N16" s="21" t="str">
        <f t="shared" si="0"/>
        <v>Consommation de graines en alimentation humaine = 12 kt (Bilans par campagne - FranceAgriMer)</v>
      </c>
      <c r="O16" t="str">
        <f>Etiquettes!$J$15</f>
        <v>Probable</v>
      </c>
      <c r="P16" s="976" t="s">
        <v>1468</v>
      </c>
      <c r="Q16" s="976" t="str">
        <f>Etiquettes!$H$17</f>
        <v>Donnée collectée (valeur du flux ou coefficient)</v>
      </c>
    </row>
    <row r="17" spans="1:17">
      <c r="A17" t="str">
        <f>Produits!$B$11</f>
        <v>Graines collectées</v>
      </c>
      <c r="B17" t="str">
        <f>Secteurs!$B$44</f>
        <v>Semences certifiées</v>
      </c>
      <c r="C17" s="100">
        <f>'Bilans Féverole - FAM'!O29</f>
        <v>6.3375000000000004</v>
      </c>
      <c r="E17" t="str">
        <f>Etiquettes!$C$3</f>
        <v>kt</v>
      </c>
      <c r="F17" s="21" t="str">
        <f>Etiquettes!$M$6</f>
        <v>Féverole</v>
      </c>
      <c r="G17" s="21" t="str">
        <f>Etiquettes!$I$5</f>
        <v>2019-20</v>
      </c>
      <c r="H17" t="str">
        <f>Etiquettes!$C$4</f>
        <v>France entière</v>
      </c>
      <c r="I17" s="21" t="s">
        <v>744</v>
      </c>
      <c r="J17" s="101"/>
      <c r="K17" t="s">
        <v>741</v>
      </c>
      <c r="L17" s="101" t="s">
        <v>1485</v>
      </c>
      <c r="M17" s="21" t="str">
        <f>Etiquettes!$H$11</f>
        <v>Volume</v>
      </c>
      <c r="N17" s="21" t="str">
        <f t="shared" si="0"/>
        <v>Production de semences certifiées = 6 kt (Bilans par campagne - FranceAgriMer)</v>
      </c>
      <c r="O17" t="str">
        <f>Etiquettes!$J$15</f>
        <v>Probable</v>
      </c>
      <c r="P17" s="976" t="s">
        <v>1468</v>
      </c>
      <c r="Q17" s="976" t="str">
        <f>Etiquettes!$H$17</f>
        <v>Donnée collectée (valeur du flux ou coefficient)</v>
      </c>
    </row>
    <row r="18" spans="1:17">
      <c r="A18" t="str">
        <f>Secteurs!$B$2</f>
        <v>Récolte</v>
      </c>
      <c r="B18" t="str">
        <f>Produits!$B$2</f>
        <v>Graines récoltées</v>
      </c>
      <c r="C18" s="100">
        <f>'Bilans Féverole - FAM'!S6</f>
        <v>216.32309999999998</v>
      </c>
      <c r="E18" t="str">
        <f>Etiquettes!$C$3</f>
        <v>kt</v>
      </c>
      <c r="F18" s="21" t="str">
        <f>Etiquettes!$M$6</f>
        <v>Féverole</v>
      </c>
      <c r="G18" s="21" t="str">
        <f>Etiquettes!$J$5</f>
        <v>2023-24</v>
      </c>
      <c r="H18" t="str">
        <f>Etiquettes!$C$4</f>
        <v>France entière</v>
      </c>
      <c r="I18" s="101" t="s">
        <v>722</v>
      </c>
      <c r="J18" s="101"/>
      <c r="K18" t="s">
        <v>741</v>
      </c>
      <c r="L18" s="101" t="s">
        <v>1485</v>
      </c>
      <c r="M18" s="21" t="str">
        <f>Etiquettes!$H$11</f>
        <v>Volume</v>
      </c>
      <c r="N18" s="21" t="str">
        <f t="shared" si="0"/>
        <v>Récolte = 216 kt (Bilans par campagne - FranceAgriMer)</v>
      </c>
      <c r="O18" t="str">
        <f>Etiquettes!$H$15</f>
        <v>Fiable</v>
      </c>
      <c r="P18" s="976" t="s">
        <v>1468</v>
      </c>
      <c r="Q18" s="976" t="str">
        <f>Etiquettes!$H$17</f>
        <v>Donnée collectée (valeur du flux ou coefficient)</v>
      </c>
    </row>
    <row r="19" spans="1:17">
      <c r="A19" t="str">
        <f>Secteurs!$B$3</f>
        <v>Ferme</v>
      </c>
      <c r="B19" t="str">
        <f>Produits!$B$4</f>
        <v>Graines autoconsommées</v>
      </c>
      <c r="C19" s="858">
        <f>'Bilans Féverole - FAM'!S8</f>
        <v>70.019800000000004</v>
      </c>
      <c r="E19" t="str">
        <f>Etiquettes!$C$3</f>
        <v>kt</v>
      </c>
      <c r="F19" s="21" t="str">
        <f>Etiquettes!$M$6</f>
        <v>Féverole</v>
      </c>
      <c r="G19" s="21" t="str">
        <f>Etiquettes!$J$5</f>
        <v>2023-24</v>
      </c>
      <c r="H19" t="str">
        <f>Etiquettes!$C$4</f>
        <v>France entière</v>
      </c>
      <c r="I19" s="21" t="s">
        <v>742</v>
      </c>
      <c r="J19" s="101"/>
      <c r="K19" t="s">
        <v>741</v>
      </c>
      <c r="L19" s="101" t="s">
        <v>1485</v>
      </c>
      <c r="M19" s="21" t="str">
        <f>Etiquettes!$H$11</f>
        <v>Volume</v>
      </c>
      <c r="N19" s="21" t="str">
        <f t="shared" si="0"/>
        <v>Autoconsommation à la ferme = 70 kt (Bilans par campagne - FranceAgriMer)</v>
      </c>
      <c r="O19" t="str">
        <f>Etiquettes!$K$15</f>
        <v>Approximative</v>
      </c>
      <c r="P19" s="976" t="s">
        <v>1468</v>
      </c>
      <c r="Q19" s="976" t="str">
        <f>Etiquettes!$H$17</f>
        <v>Donnée collectée (valeur du flux ou coefficient)</v>
      </c>
    </row>
    <row r="20" spans="1:17">
      <c r="A20" t="str">
        <f>Produits!$B$2</f>
        <v>Graines récoltées</v>
      </c>
      <c r="B20" t="str">
        <f>Secteurs!$B$4</f>
        <v>OS</v>
      </c>
      <c r="C20" s="100">
        <f>'Bilans Féverole - FAM'!S16</f>
        <v>146.30329999999998</v>
      </c>
      <c r="E20" t="str">
        <f>Etiquettes!$C$3</f>
        <v>kt</v>
      </c>
      <c r="F20" s="21" t="str">
        <f>Etiquettes!$M$6</f>
        <v>Féverole</v>
      </c>
      <c r="G20" s="21" t="str">
        <f>Etiquettes!$J$5</f>
        <v>2023-24</v>
      </c>
      <c r="H20" t="str">
        <f>Etiquettes!$C$4</f>
        <v>France entière</v>
      </c>
      <c r="I20" s="21" t="s">
        <v>743</v>
      </c>
      <c r="J20" s="101"/>
      <c r="K20" t="s">
        <v>741</v>
      </c>
      <c r="L20" s="101" t="s">
        <v>1485</v>
      </c>
      <c r="M20" s="21" t="str">
        <f>Etiquettes!$H$11</f>
        <v>Volume</v>
      </c>
      <c r="N20" s="21" t="str">
        <f t="shared" si="0"/>
        <v>Collecte = 146 kt (Bilans par campagne - FranceAgriMer)</v>
      </c>
      <c r="O20" t="str">
        <f>Etiquettes!$I$15</f>
        <v>Robuste</v>
      </c>
      <c r="P20" s="976" t="s">
        <v>1468</v>
      </c>
      <c r="Q20" s="976" t="str">
        <f>Etiquettes!$H$17</f>
        <v>Donnée collectée (valeur du flux ou coefficient)</v>
      </c>
    </row>
    <row r="21" spans="1:17">
      <c r="A21" t="str">
        <f>Produits!$B$7</f>
        <v>Stock initial collecteurs</v>
      </c>
      <c r="B21" t="str">
        <f>Secteurs!$B$4</f>
        <v>OS</v>
      </c>
      <c r="C21" s="100">
        <f>'Bilans Féverole - FAM'!R38</f>
        <v>13.803000000000001</v>
      </c>
      <c r="E21" t="str">
        <f>Etiquettes!$C$3</f>
        <v>kt</v>
      </c>
      <c r="F21" s="21" t="str">
        <f>Etiquettes!$M$6</f>
        <v>Féverole</v>
      </c>
      <c r="G21" s="21" t="str">
        <f>Etiquettes!$J$5</f>
        <v>2023-24</v>
      </c>
      <c r="H21" t="str">
        <f>Etiquettes!$C$4</f>
        <v>France entière</v>
      </c>
      <c r="I21" s="21" t="s">
        <v>712</v>
      </c>
      <c r="J21" s="101"/>
      <c r="K21" t="s">
        <v>741</v>
      </c>
      <c r="L21" s="101" t="s">
        <v>1485</v>
      </c>
      <c r="M21" s="21" t="str">
        <f>Etiquettes!$H$11</f>
        <v>Volume</v>
      </c>
      <c r="N21" s="21" t="str">
        <f t="shared" si="0"/>
        <v>Stock initial collecteurs = 14 kt (Bilans par campagne - FranceAgriMer)</v>
      </c>
      <c r="O21" t="str">
        <f>Etiquettes!$I$15</f>
        <v>Robuste</v>
      </c>
      <c r="P21" s="976" t="s">
        <v>1468</v>
      </c>
      <c r="Q21" s="976" t="str">
        <f>Etiquettes!$H$17</f>
        <v>Donnée collectée (valeur du flux ou coefficient)</v>
      </c>
    </row>
    <row r="22" spans="1:17">
      <c r="A22" t="str">
        <f>Secteurs!$B$4</f>
        <v>OS</v>
      </c>
      <c r="B22" t="str">
        <f>Produits!$B$10</f>
        <v>Stock final collecteurs</v>
      </c>
      <c r="C22" s="100">
        <f>'Bilans Féverole - FAM'!S38</f>
        <v>18.491099999999999</v>
      </c>
      <c r="E22" t="str">
        <f>Etiquettes!$C$3</f>
        <v>kt</v>
      </c>
      <c r="F22" s="21" t="str">
        <f>Etiquettes!$M$6</f>
        <v>Féverole</v>
      </c>
      <c r="G22" s="21" t="str">
        <f>Etiquettes!$J$5</f>
        <v>2023-24</v>
      </c>
      <c r="H22" t="str">
        <f>Etiquettes!$C$4</f>
        <v>France entière</v>
      </c>
      <c r="I22" s="21" t="s">
        <v>715</v>
      </c>
      <c r="J22" s="101"/>
      <c r="K22" t="s">
        <v>741</v>
      </c>
      <c r="L22" s="101" t="s">
        <v>1485</v>
      </c>
      <c r="M22" s="21" t="str">
        <f>Etiquettes!$H$11</f>
        <v>Volume</v>
      </c>
      <c r="N22" s="21" t="str">
        <f t="shared" si="0"/>
        <v>Stock final collecteurs = 18 kt (Bilans par campagne - FranceAgriMer)</v>
      </c>
      <c r="O22" t="str">
        <f>Etiquettes!$I$15</f>
        <v>Robuste</v>
      </c>
      <c r="P22" s="976" t="s">
        <v>1468</v>
      </c>
      <c r="Q22" s="976" t="str">
        <f>Etiquettes!$H$17</f>
        <v>Donnée collectée (valeur du flux ou coefficient)</v>
      </c>
    </row>
    <row r="23" spans="1:17">
      <c r="A23" t="str">
        <f>Produits!$B$11</f>
        <v>Graines collectées</v>
      </c>
      <c r="B23" t="str">
        <f>Secteurs!$B$24</f>
        <v>FAB</v>
      </c>
      <c r="C23" s="100">
        <f>'Bilans Féverole - FAM'!S27</f>
        <v>32.952570000000001</v>
      </c>
      <c r="E23" t="str">
        <f>Etiquettes!$C$3</f>
        <v>kt</v>
      </c>
      <c r="F23" s="21" t="str">
        <f>Etiquettes!$M$6</f>
        <v>Féverole</v>
      </c>
      <c r="G23" s="21" t="str">
        <f>Etiquettes!$J$5</f>
        <v>2023-24</v>
      </c>
      <c r="H23" t="str">
        <f>Etiquettes!$C$4</f>
        <v>France entière</v>
      </c>
      <c r="I23" s="21" t="s">
        <v>1011</v>
      </c>
      <c r="J23" s="101"/>
      <c r="K23" t="s">
        <v>741</v>
      </c>
      <c r="L23" s="101" t="s">
        <v>1485</v>
      </c>
      <c r="M23" s="21" t="str">
        <f>Etiquettes!$H$11</f>
        <v>Volume</v>
      </c>
      <c r="N23" s="21" t="str">
        <f t="shared" si="0"/>
        <v>Consommation de graines par les FAB = 33 kt (Bilans par campagne - FranceAgriMer)</v>
      </c>
      <c r="O23" t="str">
        <f>Etiquettes!$J$15</f>
        <v>Probable</v>
      </c>
      <c r="P23" s="976" t="s">
        <v>1468</v>
      </c>
      <c r="Q23" s="976" t="str">
        <f>Etiquettes!$H$17</f>
        <v>Donnée collectée (valeur du flux ou coefficient)</v>
      </c>
    </row>
    <row r="24" spans="1:17">
      <c r="A24" t="str">
        <f>Produits!$B$11</f>
        <v>Graines collectées</v>
      </c>
      <c r="B24" t="str">
        <f>Secteurs!$B$10</f>
        <v>Meunerie</v>
      </c>
      <c r="C24" s="100">
        <f>'Bilans Féverole - FAM'!S28</f>
        <v>10</v>
      </c>
      <c r="E24" t="str">
        <f>Etiquettes!$C$3</f>
        <v>kt</v>
      </c>
      <c r="F24" s="21" t="str">
        <f>Etiquettes!$M$6</f>
        <v>Féverole</v>
      </c>
      <c r="G24" s="21" t="str">
        <f>Etiquettes!$J$5</f>
        <v>2023-24</v>
      </c>
      <c r="H24" t="str">
        <f>Etiquettes!$C$4</f>
        <v>France entière</v>
      </c>
      <c r="I24" s="21" t="s">
        <v>1008</v>
      </c>
      <c r="K24" t="s">
        <v>741</v>
      </c>
      <c r="L24" s="101" t="s">
        <v>1485</v>
      </c>
      <c r="M24" s="21" t="str">
        <f>Etiquettes!$H$11</f>
        <v>Volume</v>
      </c>
      <c r="N24" s="21" t="str">
        <f t="shared" si="0"/>
        <v>Consommation de graines en alimentation humaine = 10 kt (Bilans par campagne - FranceAgriMer)</v>
      </c>
      <c r="O24" t="str">
        <f>Etiquettes!$J$15</f>
        <v>Probable</v>
      </c>
      <c r="P24" s="976" t="s">
        <v>1468</v>
      </c>
      <c r="Q24" s="976" t="str">
        <f>Etiquettes!$H$17</f>
        <v>Donnée collectée (valeur du flux ou coefficient)</v>
      </c>
    </row>
    <row r="25" spans="1:17">
      <c r="A25" t="str">
        <f>Produits!$B$11</f>
        <v>Graines collectées</v>
      </c>
      <c r="B25" t="str">
        <f>Secteurs!$B$44</f>
        <v>Semences certifiées</v>
      </c>
      <c r="C25" s="100">
        <f>'Bilans Féverole - FAM'!S29</f>
        <v>7.3357999999999999</v>
      </c>
      <c r="E25" t="str">
        <f>Etiquettes!$C$3</f>
        <v>kt</v>
      </c>
      <c r="F25" s="21" t="str">
        <f>Etiquettes!$M$6</f>
        <v>Féverole</v>
      </c>
      <c r="G25" s="21" t="str">
        <f>Etiquettes!$J$5</f>
        <v>2023-24</v>
      </c>
      <c r="H25" t="str">
        <f>Etiquettes!$C$4</f>
        <v>France entière</v>
      </c>
      <c r="I25" s="21" t="s">
        <v>744</v>
      </c>
      <c r="K25" t="s">
        <v>741</v>
      </c>
      <c r="L25" s="101" t="s">
        <v>1485</v>
      </c>
      <c r="M25" s="21" t="str">
        <f>Etiquettes!$H$11</f>
        <v>Volume</v>
      </c>
      <c r="N25" s="21" t="str">
        <f t="shared" si="0"/>
        <v>Production de semences certifiées = 7 kt (Bilans par campagne - FranceAgriMer)</v>
      </c>
      <c r="O25" t="str">
        <f>Etiquettes!$J$15</f>
        <v>Probable</v>
      </c>
      <c r="P25" s="976" t="s">
        <v>1468</v>
      </c>
      <c r="Q25" s="976" t="str">
        <f>Etiquettes!$H$17</f>
        <v>Donnée collectée (valeur du flux ou coefficient)</v>
      </c>
    </row>
    <row r="26" spans="1:17">
      <c r="A26" t="str">
        <f>Produits!$B$11</f>
        <v>Graines collectées</v>
      </c>
      <c r="B26" t="str">
        <f>Secteurs!$B$28</f>
        <v>Petfood</v>
      </c>
      <c r="C26">
        <v>20</v>
      </c>
      <c r="D26" s="100"/>
      <c r="E26" t="str">
        <f>Etiquettes!$C$3</f>
        <v>kt</v>
      </c>
      <c r="F26" s="21" t="str">
        <f>Etiquettes!$M$6</f>
        <v>Féverole</v>
      </c>
      <c r="G26" s="21" t="str">
        <f>Etiquettes!$C$5</f>
        <v>2015-16:2019-20:2023-24</v>
      </c>
      <c r="H26" t="str">
        <f>Etiquettes!$C$4</f>
        <v>France entière</v>
      </c>
      <c r="I26" s="21" t="s">
        <v>1412</v>
      </c>
      <c r="J26" s="21" t="s">
        <v>1413</v>
      </c>
      <c r="K26" s="21" t="s">
        <v>1350</v>
      </c>
      <c r="M26" s="21" t="str">
        <f>Etiquettes!$H$11</f>
        <v>Volume</v>
      </c>
      <c r="N26" s="21" t="str">
        <f>_xlfn.CONCAT(I26,IF(ISBLANK(C26),"",_xlfn.CONCAT(" = ",MROUND(C26,1)," ",E26))," (",K26,")")</f>
        <v>Consommation de grains en Petfood = 20 kt (ORIFLAAM)</v>
      </c>
      <c r="O26" t="str">
        <f>Etiquettes!$K$15</f>
        <v>Approximative</v>
      </c>
      <c r="P26" s="976" t="s">
        <v>1468</v>
      </c>
      <c r="Q26" s="976" t="str">
        <f>Etiquettes!$H$17</f>
        <v>Donnée collectée (valeur du flux ou coefficient)</v>
      </c>
    </row>
    <row r="28" spans="1:17">
      <c r="D28" s="100"/>
    </row>
    <row r="29" spans="1:17">
      <c r="D29" s="100"/>
    </row>
    <row r="30" spans="1:17">
      <c r="D30" s="100"/>
    </row>
    <row r="31" spans="1:17">
      <c r="D31" s="100"/>
    </row>
    <row r="32" spans="1:17">
      <c r="D32" s="100"/>
    </row>
    <row r="33" spans="4:4">
      <c r="D33" s="100"/>
    </row>
    <row r="34" spans="4:4">
      <c r="D34" s="100"/>
    </row>
  </sheetData>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0F9CF-EAC0-4231-A1BA-4CF99A5F1C51}">
  <sheetPr>
    <tabColor rgb="FFFFC000"/>
    <pageSetUpPr fitToPage="1"/>
  </sheetPr>
  <dimension ref="A1:U62"/>
  <sheetViews>
    <sheetView zoomScale="85" zoomScaleNormal="85" workbookViewId="0">
      <selection activeCell="T2" sqref="T2"/>
    </sheetView>
  </sheetViews>
  <sheetFormatPr baseColWidth="10" defaultColWidth="11.44140625" defaultRowHeight="13.8"/>
  <cols>
    <col min="1" max="1" width="31.44140625" style="217" customWidth="1"/>
    <col min="2" max="9" width="13.109375" style="217" customWidth="1"/>
    <col min="10" max="11" width="13.109375" style="217" customWidth="1" collapsed="1"/>
    <col min="12" max="12" width="13.109375" style="217" customWidth="1"/>
    <col min="13" max="13" width="13.6640625" style="217" customWidth="1"/>
    <col min="14" max="14" width="14.6640625" style="217" customWidth="1"/>
    <col min="15" max="16384" width="11.44140625" style="217"/>
  </cols>
  <sheetData>
    <row r="1" spans="1:21" ht="60" customHeight="1" thickBot="1">
      <c r="A1" s="399"/>
      <c r="B1" s="1032" t="s">
        <v>840</v>
      </c>
      <c r="C1" s="1033"/>
      <c r="D1" s="1033"/>
      <c r="E1" s="1033"/>
      <c r="F1" s="1033"/>
      <c r="G1" s="1033"/>
      <c r="H1" s="1033"/>
      <c r="I1" s="1033"/>
      <c r="J1" s="1033"/>
      <c r="K1" s="1033"/>
      <c r="L1" s="1033"/>
      <c r="M1" s="1033"/>
      <c r="N1" s="400"/>
      <c r="O1" s="710" t="s">
        <v>840</v>
      </c>
      <c r="P1" s="710"/>
      <c r="Q1" s="710"/>
      <c r="R1" s="710"/>
      <c r="S1" s="710"/>
      <c r="T1" s="710"/>
      <c r="U1" s="710"/>
    </row>
    <row r="2" spans="1:21" ht="20.25" customHeight="1">
      <c r="A2" s="401" t="s">
        <v>841</v>
      </c>
      <c r="B2" s="343" t="s">
        <v>114</v>
      </c>
      <c r="C2" s="343" t="s">
        <v>115</v>
      </c>
      <c r="D2" s="343" t="s">
        <v>757</v>
      </c>
      <c r="E2" s="343" t="s">
        <v>801</v>
      </c>
      <c r="F2" s="343" t="s">
        <v>117</v>
      </c>
      <c r="G2" s="343" t="s">
        <v>842</v>
      </c>
      <c r="H2" s="343" t="s">
        <v>843</v>
      </c>
      <c r="I2" s="343" t="s">
        <v>844</v>
      </c>
      <c r="J2" s="343" t="s">
        <v>762</v>
      </c>
      <c r="K2" s="343" t="s">
        <v>122</v>
      </c>
      <c r="L2" s="343" t="s">
        <v>123</v>
      </c>
      <c r="M2" s="343" t="s">
        <v>124</v>
      </c>
      <c r="N2" s="343" t="s">
        <v>125</v>
      </c>
      <c r="O2" s="711" t="s">
        <v>126</v>
      </c>
      <c r="P2" s="711" t="s">
        <v>128</v>
      </c>
      <c r="Q2" s="712" t="s">
        <v>129</v>
      </c>
      <c r="R2" s="775" t="s">
        <v>130</v>
      </c>
      <c r="S2" s="714" t="s">
        <v>131</v>
      </c>
      <c r="T2" s="715" t="s">
        <v>131</v>
      </c>
      <c r="U2" s="714" t="s">
        <v>132</v>
      </c>
    </row>
    <row r="3" spans="1:21" ht="25.8" thickBot="1">
      <c r="A3" s="402"/>
      <c r="B3" s="403"/>
      <c r="C3" s="404"/>
      <c r="D3" s="404"/>
      <c r="E3" s="404"/>
      <c r="F3" s="404"/>
      <c r="G3" s="404"/>
      <c r="H3" s="404"/>
      <c r="I3" s="404"/>
      <c r="J3" s="405"/>
      <c r="K3" s="405"/>
      <c r="L3" s="405"/>
      <c r="M3" s="405" t="s">
        <v>845</v>
      </c>
      <c r="N3" s="405" t="s">
        <v>846</v>
      </c>
      <c r="O3" s="776"/>
      <c r="P3" s="776"/>
      <c r="Q3" s="777"/>
      <c r="R3" s="778"/>
      <c r="S3" s="718" t="s">
        <v>854</v>
      </c>
      <c r="T3" s="719" t="s">
        <v>855</v>
      </c>
      <c r="U3" s="720" t="s">
        <v>856</v>
      </c>
    </row>
    <row r="4" spans="1:21" ht="24" customHeight="1">
      <c r="A4" s="240" t="s">
        <v>765</v>
      </c>
      <c r="B4" s="406">
        <v>78.001999999999995</v>
      </c>
      <c r="C4" s="407">
        <v>53.697000000000003</v>
      </c>
      <c r="D4" s="407">
        <v>60.866999999999997</v>
      </c>
      <c r="E4" s="407">
        <v>88.305999999999997</v>
      </c>
      <c r="F4" s="408">
        <v>151.34200000000001</v>
      </c>
      <c r="G4" s="408">
        <v>91.429000000000002</v>
      </c>
      <c r="H4" s="408">
        <v>60.34</v>
      </c>
      <c r="I4" s="408">
        <v>67.945999999999998</v>
      </c>
      <c r="J4" s="408">
        <v>74.884</v>
      </c>
      <c r="K4" s="408">
        <v>87</v>
      </c>
      <c r="L4" s="409">
        <v>77.787999999999997</v>
      </c>
      <c r="M4" s="410">
        <v>77.400000000000006</v>
      </c>
      <c r="N4" s="410">
        <v>57.2</v>
      </c>
      <c r="O4" s="779">
        <v>63.104999999999997</v>
      </c>
      <c r="P4" s="779">
        <v>76.350000000000009</v>
      </c>
      <c r="Q4" s="779">
        <v>77.995999999999981</v>
      </c>
      <c r="R4" s="779">
        <v>68.087000000000003</v>
      </c>
      <c r="S4" s="638">
        <v>80.231000000000009</v>
      </c>
      <c r="T4" s="582">
        <v>80.060999999999979</v>
      </c>
      <c r="U4" s="638">
        <v>80.35299999999998</v>
      </c>
    </row>
    <row r="5" spans="1:21" ht="14.4">
      <c r="A5" s="240" t="s">
        <v>816</v>
      </c>
      <c r="B5" s="411">
        <v>37.235327299300018</v>
      </c>
      <c r="C5" s="412">
        <v>45.730673966888276</v>
      </c>
      <c r="D5" s="412">
        <v>51.526771485369743</v>
      </c>
      <c r="E5" s="412">
        <v>49.540461576789802</v>
      </c>
      <c r="F5" s="412">
        <v>31.934426662790237</v>
      </c>
      <c r="G5" s="412">
        <v>37.71669820297717</v>
      </c>
      <c r="H5" s="412">
        <v>45.332946635730849</v>
      </c>
      <c r="I5" s="412">
        <v>36.058193271127074</v>
      </c>
      <c r="J5" s="412">
        <v>37.5</v>
      </c>
      <c r="K5" s="412">
        <v>29.082413793103449</v>
      </c>
      <c r="L5" s="413">
        <v>25.430657684989974</v>
      </c>
      <c r="M5" s="414">
        <v>25.697674418604649</v>
      </c>
      <c r="N5" s="414">
        <v>25.716783216783217</v>
      </c>
      <c r="O5" s="488">
        <v>28.108866175421916</v>
      </c>
      <c r="P5" s="488">
        <v>19.333935821872959</v>
      </c>
      <c r="Q5" s="488">
        <v>23.616364941791893</v>
      </c>
      <c r="R5" s="488">
        <v>23.183970508320236</v>
      </c>
      <c r="S5" s="489">
        <v>26.962533185427073</v>
      </c>
      <c r="T5" s="489">
        <v>26.894705287218507</v>
      </c>
      <c r="U5" s="489">
        <v>26.870720446031893</v>
      </c>
    </row>
    <row r="6" spans="1:21" ht="14.4">
      <c r="A6" s="240" t="s">
        <v>767</v>
      </c>
      <c r="B6" s="415">
        <v>290.44299999999998</v>
      </c>
      <c r="C6" s="416">
        <v>245.56</v>
      </c>
      <c r="D6" s="416">
        <v>313.62799999999999</v>
      </c>
      <c r="E6" s="416">
        <v>437.47199999999998</v>
      </c>
      <c r="F6" s="417">
        <v>483.30200000000002</v>
      </c>
      <c r="G6" s="417">
        <v>344.84</v>
      </c>
      <c r="H6" s="417">
        <v>273.53899999999999</v>
      </c>
      <c r="I6" s="417">
        <v>245.001</v>
      </c>
      <c r="J6" s="417">
        <v>278.54500000000002</v>
      </c>
      <c r="K6" s="851">
        <v>253.017</v>
      </c>
      <c r="L6" s="418">
        <v>197.82</v>
      </c>
      <c r="M6" s="419">
        <v>198.9</v>
      </c>
      <c r="N6" s="419">
        <v>147.1</v>
      </c>
      <c r="O6" s="852">
        <v>177.381</v>
      </c>
      <c r="P6" s="780">
        <v>147.61460000000005</v>
      </c>
      <c r="Q6" s="780">
        <v>184.19820000000001</v>
      </c>
      <c r="R6" s="780">
        <v>157.8527</v>
      </c>
      <c r="S6" s="840">
        <v>216.32309999999998</v>
      </c>
      <c r="T6" s="582">
        <v>215.32170000000005</v>
      </c>
      <c r="U6" s="582">
        <v>215.91430000000003</v>
      </c>
    </row>
    <row r="7" spans="1:21" ht="14.4">
      <c r="A7" s="420"/>
      <c r="B7" s="421"/>
      <c r="C7" s="422"/>
      <c r="D7" s="422"/>
      <c r="E7" s="422"/>
      <c r="F7" s="423"/>
      <c r="G7" s="423"/>
      <c r="H7" s="423"/>
      <c r="I7" s="423"/>
      <c r="J7" s="423"/>
      <c r="K7" s="423"/>
      <c r="L7" s="423"/>
      <c r="M7" s="423"/>
      <c r="N7" s="423"/>
      <c r="O7" s="781"/>
      <c r="P7" s="781"/>
      <c r="Q7" s="781"/>
      <c r="R7" s="781"/>
      <c r="S7" s="485"/>
      <c r="T7" s="485"/>
      <c r="U7" s="485"/>
    </row>
    <row r="8" spans="1:21" ht="14.4">
      <c r="A8" s="128" t="s">
        <v>768</v>
      </c>
      <c r="B8" s="129">
        <v>51.118999999999971</v>
      </c>
      <c r="C8" s="130">
        <v>50.407000000000011</v>
      </c>
      <c r="D8" s="130">
        <v>32.258999999999958</v>
      </c>
      <c r="E8" s="130">
        <v>51.552999999999997</v>
      </c>
      <c r="F8" s="130">
        <v>78.778999999999996</v>
      </c>
      <c r="G8" s="130">
        <v>75.17999999999995</v>
      </c>
      <c r="H8" s="130">
        <v>42.073999999999984</v>
      </c>
      <c r="I8" s="130">
        <v>43.360000000000014</v>
      </c>
      <c r="J8" s="130">
        <v>69.791000000000025</v>
      </c>
      <c r="K8" s="813">
        <v>62.038999999999987</v>
      </c>
      <c r="L8" s="130">
        <v>39.819999999999993</v>
      </c>
      <c r="M8" s="130">
        <v>62.900000000000006</v>
      </c>
      <c r="N8" s="130">
        <v>61.899999999999991</v>
      </c>
      <c r="O8" s="853">
        <v>81.213400000000007</v>
      </c>
      <c r="P8" s="494">
        <v>78.614600000000053</v>
      </c>
      <c r="Q8" s="494">
        <v>69.99490000000003</v>
      </c>
      <c r="R8" s="494">
        <v>62.222500000000011</v>
      </c>
      <c r="S8" s="817">
        <v>70.019800000000004</v>
      </c>
      <c r="T8" s="495">
        <v>74.882700000000057</v>
      </c>
      <c r="U8" s="495">
        <v>65.379300000000029</v>
      </c>
    </row>
    <row r="9" spans="1:21" ht="14.4">
      <c r="A9" s="131" t="s">
        <v>769</v>
      </c>
      <c r="B9" s="132">
        <v>0.17600355319288113</v>
      </c>
      <c r="C9" s="133">
        <v>0.20527366020524521</v>
      </c>
      <c r="D9" s="133">
        <v>0.10285752547604154</v>
      </c>
      <c r="E9" s="133">
        <v>0.11784297052154195</v>
      </c>
      <c r="F9" s="133">
        <v>0.16300160148313061</v>
      </c>
      <c r="G9" s="133">
        <v>0.2180141514905462</v>
      </c>
      <c r="H9" s="133">
        <v>0.15381353298798339</v>
      </c>
      <c r="I9" s="133">
        <v>0.17697886947400221</v>
      </c>
      <c r="J9" s="133">
        <v>0.25055556552801173</v>
      </c>
      <c r="K9" s="133">
        <v>0.24519696304991359</v>
      </c>
      <c r="L9" s="133">
        <v>0.20129410575270446</v>
      </c>
      <c r="M9" s="133">
        <v>0.31623931623931628</v>
      </c>
      <c r="N9" s="133">
        <v>0.42080217539089049</v>
      </c>
      <c r="O9" s="518">
        <v>0.45784723279268924</v>
      </c>
      <c r="P9" s="518">
        <v>0.53256656184415374</v>
      </c>
      <c r="Q9" s="518">
        <v>0.37999774156316418</v>
      </c>
      <c r="R9" s="518">
        <v>0.3941807773956354</v>
      </c>
      <c r="S9" s="497">
        <v>0.32368156706334189</v>
      </c>
      <c r="T9" s="497">
        <v>0.34777126504202799</v>
      </c>
      <c r="U9" s="497">
        <v>0.30280208397498459</v>
      </c>
    </row>
    <row r="10" spans="1:21" ht="14.4">
      <c r="A10" s="134" t="s">
        <v>770</v>
      </c>
      <c r="B10" s="424"/>
      <c r="C10" s="425"/>
      <c r="D10" s="426"/>
      <c r="E10" s="426"/>
      <c r="F10" s="427"/>
      <c r="G10" s="427"/>
      <c r="H10" s="428"/>
      <c r="I10" s="428"/>
      <c r="J10" s="140"/>
      <c r="K10" s="140"/>
      <c r="L10" s="140"/>
      <c r="M10" s="141"/>
      <c r="N10" s="142">
        <v>71.287000000000006</v>
      </c>
      <c r="O10" s="499"/>
      <c r="P10" s="499"/>
      <c r="Q10" s="499"/>
      <c r="R10" s="499"/>
      <c r="S10" s="500"/>
      <c r="T10" s="500"/>
      <c r="U10" s="500">
        <v>137.8468</v>
      </c>
    </row>
    <row r="11" spans="1:21" ht="14.4">
      <c r="A11" s="143" t="s">
        <v>771</v>
      </c>
      <c r="B11" s="424"/>
      <c r="C11" s="425"/>
      <c r="D11" s="426"/>
      <c r="E11" s="426"/>
      <c r="F11" s="427"/>
      <c r="G11" s="427"/>
      <c r="H11" s="428"/>
      <c r="I11" s="428"/>
      <c r="J11" s="144"/>
      <c r="K11" s="144"/>
      <c r="L11" s="140"/>
      <c r="M11" s="144">
        <v>0</v>
      </c>
      <c r="N11" s="144">
        <v>0.48461590754588724</v>
      </c>
      <c r="O11" s="502"/>
      <c r="P11" s="502"/>
      <c r="Q11" s="502"/>
      <c r="R11" s="502"/>
      <c r="S11" s="503"/>
      <c r="T11" s="503"/>
      <c r="U11" s="503">
        <v>0.63843293380753374</v>
      </c>
    </row>
    <row r="12" spans="1:21" ht="14.4">
      <c r="A12" s="250" t="s">
        <v>772</v>
      </c>
      <c r="B12" s="429"/>
      <c r="C12" s="430"/>
      <c r="D12" s="430"/>
      <c r="E12" s="430"/>
      <c r="F12" s="430"/>
      <c r="G12" s="430"/>
      <c r="H12" s="430"/>
      <c r="I12" s="430"/>
      <c r="J12" s="431"/>
      <c r="K12" s="431"/>
      <c r="M12" s="432">
        <v>0</v>
      </c>
      <c r="N12" s="432">
        <v>0.83670187793427231</v>
      </c>
      <c r="O12" s="505"/>
      <c r="P12" s="505"/>
      <c r="Q12" s="505"/>
      <c r="R12" s="505"/>
      <c r="S12" s="506"/>
      <c r="T12" s="506"/>
      <c r="U12" s="506">
        <v>0.91571262497093697</v>
      </c>
    </row>
    <row r="13" spans="1:21" ht="35.1" customHeight="1">
      <c r="A13" s="433"/>
      <c r="B13" s="434"/>
      <c r="C13" s="435"/>
      <c r="D13" s="436"/>
      <c r="E13" s="436"/>
      <c r="F13" s="436"/>
      <c r="G13" s="436"/>
      <c r="H13" s="436"/>
      <c r="I13" s="430"/>
      <c r="J13" s="430"/>
      <c r="K13" s="430"/>
      <c r="L13" s="430"/>
      <c r="M13" s="255"/>
      <c r="N13" s="255"/>
      <c r="O13" s="782"/>
      <c r="P13" s="782"/>
      <c r="Q13" s="782"/>
      <c r="R13" s="782"/>
      <c r="S13" s="650"/>
      <c r="T13" s="650"/>
      <c r="U13" s="650"/>
    </row>
    <row r="14" spans="1:21" ht="14.4">
      <c r="A14" s="437" t="s">
        <v>773</v>
      </c>
      <c r="B14" s="438"/>
      <c r="C14" s="439"/>
      <c r="D14" s="440"/>
      <c r="E14" s="440"/>
      <c r="F14" s="440"/>
      <c r="G14" s="440"/>
      <c r="H14" s="440"/>
      <c r="I14" s="440"/>
      <c r="J14" s="440"/>
      <c r="K14" s="440"/>
      <c r="L14" s="440"/>
      <c r="M14" s="440"/>
      <c r="N14" s="440"/>
      <c r="O14" s="783"/>
      <c r="P14" s="783"/>
      <c r="Q14" s="783"/>
      <c r="R14" s="783"/>
      <c r="S14" s="784"/>
      <c r="T14" s="784"/>
      <c r="U14" s="784"/>
    </row>
    <row r="15" spans="1:21" ht="14.4">
      <c r="A15" s="314" t="s">
        <v>774</v>
      </c>
      <c r="B15" s="161">
        <v>48.814</v>
      </c>
      <c r="C15" s="162">
        <v>19.491</v>
      </c>
      <c r="D15" s="162">
        <v>10.319000000000001</v>
      </c>
      <c r="E15" s="162">
        <v>18.5</v>
      </c>
      <c r="F15" s="162">
        <v>43.069000000000003</v>
      </c>
      <c r="G15" s="162">
        <v>45.411999999999999</v>
      </c>
      <c r="H15" s="162">
        <v>22.122999999999998</v>
      </c>
      <c r="I15" s="162">
        <v>12.603999999999999</v>
      </c>
      <c r="J15" s="162">
        <v>12.923</v>
      </c>
      <c r="K15" s="162">
        <v>34.367000000000004</v>
      </c>
      <c r="L15" s="162">
        <v>60.239000000000004</v>
      </c>
      <c r="M15" s="441">
        <v>36</v>
      </c>
      <c r="N15" s="441">
        <v>22</v>
      </c>
      <c r="O15" s="785">
        <v>14.085149999999999</v>
      </c>
      <c r="P15" s="785">
        <v>15.061857999999999</v>
      </c>
      <c r="Q15" s="785">
        <v>15</v>
      </c>
      <c r="R15" s="785">
        <v>21.459910000000001</v>
      </c>
      <c r="S15" s="786">
        <v>15.7256</v>
      </c>
      <c r="T15" s="786">
        <v>20.151219999999999</v>
      </c>
      <c r="U15" s="786">
        <v>20.151219999999999</v>
      </c>
    </row>
    <row r="16" spans="1:21" ht="14.4">
      <c r="A16" s="316" t="s">
        <v>775</v>
      </c>
      <c r="B16" s="259">
        <v>239.32400000000001</v>
      </c>
      <c r="C16" s="260">
        <v>195.15299999999999</v>
      </c>
      <c r="D16" s="260">
        <v>281.36900000000003</v>
      </c>
      <c r="E16" s="260">
        <v>385.91899999999998</v>
      </c>
      <c r="F16" s="260">
        <v>404.52300000000002</v>
      </c>
      <c r="G16" s="260">
        <v>269.66000000000003</v>
      </c>
      <c r="H16" s="260">
        <v>231.465</v>
      </c>
      <c r="I16" s="260">
        <v>201.64099999999999</v>
      </c>
      <c r="J16" s="260">
        <v>208.75399999999999</v>
      </c>
      <c r="K16" s="844">
        <v>190.97800000000001</v>
      </c>
      <c r="L16" s="442">
        <v>158</v>
      </c>
      <c r="M16" s="442">
        <v>136</v>
      </c>
      <c r="N16" s="442">
        <v>85.2</v>
      </c>
      <c r="O16" s="854">
        <v>96.167599999999993</v>
      </c>
      <c r="P16" s="779">
        <v>69</v>
      </c>
      <c r="Q16" s="779">
        <v>114.20329999999998</v>
      </c>
      <c r="R16" s="779">
        <v>95.630199999999988</v>
      </c>
      <c r="S16" s="856">
        <v>146.30329999999998</v>
      </c>
      <c r="T16" s="787">
        <v>140.43899999999999</v>
      </c>
      <c r="U16" s="787">
        <v>150.535</v>
      </c>
    </row>
    <row r="17" spans="1:21" ht="14.4">
      <c r="A17" s="318" t="s">
        <v>776</v>
      </c>
      <c r="B17" s="369">
        <v>0.7755737515857456</v>
      </c>
      <c r="C17" s="370">
        <v>0.8041666666666667</v>
      </c>
      <c r="D17" s="370">
        <v>0.88162893081761007</v>
      </c>
      <c r="E17" s="370">
        <v>0.8830275229357798</v>
      </c>
      <c r="F17" s="370">
        <v>0.83731732776617951</v>
      </c>
      <c r="G17" s="370">
        <v>0.7755737515857456</v>
      </c>
      <c r="H17" s="370">
        <v>0.83576642335766427</v>
      </c>
      <c r="I17" s="370">
        <v>0.82644628099173556</v>
      </c>
      <c r="J17" s="370">
        <v>0.74285714285714288</v>
      </c>
      <c r="K17" s="370">
        <v>0.75480303695008644</v>
      </c>
      <c r="L17" s="370">
        <v>0.79870589424729554</v>
      </c>
      <c r="M17" s="443">
        <v>0.68376068376068377</v>
      </c>
      <c r="N17" s="443">
        <v>0.57919782460910951</v>
      </c>
      <c r="O17" s="788">
        <v>0.54488812217768534</v>
      </c>
      <c r="P17" s="788">
        <v>0.4674334381558462</v>
      </c>
      <c r="Q17" s="788">
        <v>0.62000225843683587</v>
      </c>
      <c r="R17" s="788">
        <v>0.6058192226043646</v>
      </c>
      <c r="S17" s="789">
        <v>0.67631843293665816</v>
      </c>
      <c r="T17" s="789">
        <v>0.65222873495797196</v>
      </c>
      <c r="U17" s="789">
        <v>0.69719791602501535</v>
      </c>
    </row>
    <row r="18" spans="1:21" ht="14.4">
      <c r="A18" s="319" t="s">
        <v>777</v>
      </c>
      <c r="B18" s="444"/>
      <c r="C18" s="266">
        <v>11</v>
      </c>
      <c r="D18" s="445"/>
      <c r="E18" s="445"/>
      <c r="F18" s="445"/>
      <c r="G18" s="445"/>
      <c r="H18" s="445"/>
      <c r="I18" s="267"/>
      <c r="J18" s="260"/>
      <c r="K18" s="260"/>
      <c r="L18" s="283"/>
      <c r="M18" s="446"/>
      <c r="N18" s="446"/>
      <c r="O18" s="790"/>
      <c r="P18" s="790"/>
      <c r="Q18" s="790"/>
      <c r="R18" s="790"/>
      <c r="S18" s="791"/>
      <c r="T18" s="792"/>
      <c r="U18" s="791"/>
    </row>
    <row r="19" spans="1:21" ht="14.4">
      <c r="A19" s="174" t="s">
        <v>778</v>
      </c>
      <c r="B19" s="166">
        <v>6.4470000000000001</v>
      </c>
      <c r="C19" s="163">
        <v>6.9570000000000007</v>
      </c>
      <c r="D19" s="163">
        <v>2.8170000000000002</v>
      </c>
      <c r="E19" s="163">
        <v>1.9340000000000002</v>
      </c>
      <c r="F19" s="163">
        <v>4.2439999999999998</v>
      </c>
      <c r="G19" s="163">
        <v>6.1169999999999991</v>
      </c>
      <c r="H19" s="163">
        <v>11.898</v>
      </c>
      <c r="I19" s="163">
        <v>14.887</v>
      </c>
      <c r="J19" s="163">
        <v>13.203000000000001</v>
      </c>
      <c r="K19" s="163">
        <v>15.227</v>
      </c>
      <c r="L19" s="163">
        <v>15.5</v>
      </c>
      <c r="M19" s="163">
        <v>31.3</v>
      </c>
      <c r="N19" s="163">
        <v>41</v>
      </c>
      <c r="O19" s="745">
        <v>30.358699999999999</v>
      </c>
      <c r="P19" s="745">
        <v>34</v>
      </c>
      <c r="Q19" s="745">
        <v>54.282900000000012</v>
      </c>
      <c r="R19" s="745">
        <v>49.740600000000008</v>
      </c>
      <c r="S19" s="786">
        <v>36.385999999999996</v>
      </c>
      <c r="T19" s="786">
        <v>35</v>
      </c>
      <c r="U19" s="786">
        <v>40</v>
      </c>
    </row>
    <row r="20" spans="1:21" ht="16.2">
      <c r="A20" s="270" t="s">
        <v>847</v>
      </c>
      <c r="B20" s="171">
        <v>5.9390000000000001</v>
      </c>
      <c r="C20" s="172">
        <v>6.6980000000000004</v>
      </c>
      <c r="D20" s="172">
        <v>2.298</v>
      </c>
      <c r="E20" s="172">
        <v>1.4750000000000001</v>
      </c>
      <c r="F20" s="172">
        <v>3.8490000000000002</v>
      </c>
      <c r="G20" s="172">
        <v>5.3869999999999996</v>
      </c>
      <c r="H20" s="172">
        <v>11.24</v>
      </c>
      <c r="I20" s="172">
        <v>14.361000000000001</v>
      </c>
      <c r="J20" s="172">
        <v>12.608000000000001</v>
      </c>
      <c r="K20" s="172">
        <v>14.856</v>
      </c>
      <c r="L20" s="173">
        <v>15</v>
      </c>
      <c r="M20" s="173">
        <v>30.7</v>
      </c>
      <c r="N20" s="173">
        <v>40</v>
      </c>
      <c r="O20" s="747">
        <v>2.1294</v>
      </c>
      <c r="P20" s="747">
        <v>9</v>
      </c>
      <c r="Q20" s="747">
        <v>3.8979000000000004</v>
      </c>
      <c r="R20" s="747">
        <v>2.8401999999999998</v>
      </c>
      <c r="S20" s="650">
        <v>11.279</v>
      </c>
      <c r="T20" s="650">
        <v>10</v>
      </c>
      <c r="U20" s="650">
        <v>20</v>
      </c>
    </row>
    <row r="21" spans="1:21" ht="14.4">
      <c r="A21" s="270" t="s">
        <v>780</v>
      </c>
      <c r="B21" s="171">
        <v>0.50800000000000001</v>
      </c>
      <c r="C21" s="172">
        <v>0.25900000000000001</v>
      </c>
      <c r="D21" s="172">
        <v>0.51900000000000002</v>
      </c>
      <c r="E21" s="172">
        <v>0.45900000000000002</v>
      </c>
      <c r="F21" s="172">
        <v>0.39500000000000002</v>
      </c>
      <c r="G21" s="172">
        <v>0.73</v>
      </c>
      <c r="H21" s="172">
        <v>0.65800000000000003</v>
      </c>
      <c r="I21" s="172">
        <v>0.52600000000000002</v>
      </c>
      <c r="J21" s="172">
        <v>0.59499999999999997</v>
      </c>
      <c r="K21" s="172">
        <v>0.371</v>
      </c>
      <c r="L21" s="173">
        <v>0.5</v>
      </c>
      <c r="M21" s="173">
        <v>0.6</v>
      </c>
      <c r="N21" s="173">
        <v>1</v>
      </c>
      <c r="O21" s="793">
        <v>28.229299999999999</v>
      </c>
      <c r="P21" s="747">
        <v>25</v>
      </c>
      <c r="Q21" s="747">
        <v>50.385000000000012</v>
      </c>
      <c r="R21" s="747">
        <v>46.900400000000005</v>
      </c>
      <c r="S21" s="650">
        <v>25.106999999999999</v>
      </c>
      <c r="T21" s="650">
        <v>25</v>
      </c>
      <c r="U21" s="650">
        <v>20</v>
      </c>
    </row>
    <row r="22" spans="1:21" ht="18" customHeight="1">
      <c r="A22" s="447" t="s">
        <v>831</v>
      </c>
      <c r="B22" s="448">
        <v>294.58500000000004</v>
      </c>
      <c r="C22" s="449">
        <v>232.601</v>
      </c>
      <c r="D22" s="449">
        <v>294.50500000000005</v>
      </c>
      <c r="E22" s="449">
        <v>406.35300000000001</v>
      </c>
      <c r="F22" s="449">
        <v>451.83600000000001</v>
      </c>
      <c r="G22" s="449">
        <v>321.18900000000002</v>
      </c>
      <c r="H22" s="449">
        <v>265.48599999999999</v>
      </c>
      <c r="I22" s="449">
        <v>229.13200000000001</v>
      </c>
      <c r="J22" s="449">
        <v>234.88</v>
      </c>
      <c r="K22" s="449">
        <v>240.57200000000003</v>
      </c>
      <c r="L22" s="449">
        <v>233.739</v>
      </c>
      <c r="M22" s="449">
        <v>203.3</v>
      </c>
      <c r="N22" s="449">
        <v>148.19999999999999</v>
      </c>
      <c r="O22" s="794">
        <v>140.61144999999999</v>
      </c>
      <c r="P22" s="794">
        <v>118.061858</v>
      </c>
      <c r="Q22" s="794">
        <v>183.4862</v>
      </c>
      <c r="R22" s="794">
        <v>166.83070999999998</v>
      </c>
      <c r="S22" s="795">
        <v>198.41489999999996</v>
      </c>
      <c r="T22" s="795">
        <v>195.59021999999999</v>
      </c>
      <c r="U22" s="795">
        <v>210.68621999999999</v>
      </c>
    </row>
    <row r="23" spans="1:21" ht="14.4">
      <c r="A23" s="450"/>
      <c r="B23" s="273"/>
      <c r="C23" s="274"/>
      <c r="D23" s="275"/>
      <c r="E23" s="276"/>
      <c r="F23" s="277"/>
      <c r="G23" s="277"/>
      <c r="H23" s="277"/>
      <c r="I23" s="277"/>
      <c r="J23" s="277"/>
      <c r="K23" s="277"/>
      <c r="L23" s="277"/>
      <c r="M23" s="277"/>
      <c r="N23" s="277"/>
      <c r="O23" s="599"/>
      <c r="P23" s="599"/>
      <c r="Q23" s="599"/>
      <c r="R23" s="599"/>
      <c r="S23" s="796"/>
      <c r="T23" s="796"/>
      <c r="U23" s="796"/>
    </row>
    <row r="24" spans="1:21" ht="14.4">
      <c r="A24" s="451" t="s">
        <v>782</v>
      </c>
      <c r="B24" s="452"/>
      <c r="C24" s="453"/>
      <c r="D24" s="454"/>
      <c r="E24" s="455"/>
      <c r="F24" s="455"/>
      <c r="G24" s="455"/>
      <c r="H24" s="455"/>
      <c r="I24" s="455"/>
      <c r="J24" s="455"/>
      <c r="K24" s="455"/>
      <c r="L24" s="455"/>
      <c r="M24" s="455"/>
      <c r="N24" s="455"/>
      <c r="O24" s="797"/>
      <c r="P24" s="797"/>
      <c r="Q24" s="797"/>
      <c r="R24" s="797"/>
      <c r="S24" s="798"/>
      <c r="T24" s="798"/>
      <c r="U24" s="798"/>
    </row>
    <row r="25" spans="1:21" ht="14.25" customHeight="1">
      <c r="A25" s="456"/>
      <c r="B25" s="457"/>
      <c r="C25" s="458"/>
      <c r="D25" s="458"/>
      <c r="E25" s="458"/>
      <c r="F25" s="458"/>
      <c r="G25" s="458"/>
      <c r="H25" s="458"/>
      <c r="I25" s="458"/>
      <c r="J25" s="458"/>
      <c r="K25" s="458"/>
      <c r="L25" s="458"/>
      <c r="M25" s="458"/>
      <c r="N25" s="458"/>
      <c r="O25" s="799"/>
      <c r="P25" s="799"/>
      <c r="Q25" s="799"/>
      <c r="R25" s="800"/>
      <c r="S25" s="801"/>
      <c r="T25" s="801"/>
      <c r="U25" s="801"/>
    </row>
    <row r="26" spans="1:21" ht="14.25" customHeight="1">
      <c r="A26" s="174" t="s">
        <v>783</v>
      </c>
      <c r="B26" s="119">
        <v>84</v>
      </c>
      <c r="C26" s="120">
        <v>18.815999999999999</v>
      </c>
      <c r="D26" s="120">
        <v>60.042000000000002</v>
      </c>
      <c r="E26" s="120">
        <v>86.670999999999992</v>
      </c>
      <c r="F26" s="120">
        <v>99.715000000000003</v>
      </c>
      <c r="G26" s="120">
        <v>38.499000000000002</v>
      </c>
      <c r="H26" s="120">
        <v>32.53</v>
      </c>
      <c r="I26" s="120">
        <v>59.219000000000001</v>
      </c>
      <c r="J26" s="120">
        <v>67.950999999999993</v>
      </c>
      <c r="K26" s="120">
        <v>87.259</v>
      </c>
      <c r="L26" s="120">
        <v>105.15</v>
      </c>
      <c r="M26" s="120">
        <v>99.460000000000008</v>
      </c>
      <c r="N26" s="120">
        <v>45</v>
      </c>
      <c r="O26" s="667">
        <v>79.537591999999989</v>
      </c>
      <c r="P26" s="667">
        <v>61.061858000000001</v>
      </c>
      <c r="Q26" s="667">
        <v>102.09478999999999</v>
      </c>
      <c r="R26" s="667">
        <v>83.358509999999953</v>
      </c>
      <c r="S26" s="669">
        <v>103.64638000000004</v>
      </c>
      <c r="T26" s="669">
        <v>77</v>
      </c>
      <c r="U26" s="669">
        <v>77</v>
      </c>
    </row>
    <row r="27" spans="1:21" ht="16.2">
      <c r="A27" s="284" t="s">
        <v>848</v>
      </c>
      <c r="B27" s="171">
        <v>50</v>
      </c>
      <c r="C27" s="172">
        <v>6.8159999999999998</v>
      </c>
      <c r="D27" s="172">
        <v>12.042</v>
      </c>
      <c r="E27" s="172">
        <v>33.670999999999999</v>
      </c>
      <c r="F27" s="320">
        <v>21.715</v>
      </c>
      <c r="G27" s="320">
        <v>11.499000000000001</v>
      </c>
      <c r="H27" s="320">
        <v>9.5299999999999994</v>
      </c>
      <c r="I27" s="320">
        <v>10.218999999999999</v>
      </c>
      <c r="J27" s="320">
        <v>13.951000000000001</v>
      </c>
      <c r="K27" s="845">
        <v>29.259</v>
      </c>
      <c r="L27" s="173">
        <v>40.15</v>
      </c>
      <c r="M27" s="173">
        <v>29.46</v>
      </c>
      <c r="N27" s="173">
        <v>20</v>
      </c>
      <c r="O27" s="593">
        <v>22.280180999999999</v>
      </c>
      <c r="P27" s="520">
        <v>19</v>
      </c>
      <c r="Q27" s="520">
        <v>22.543506000000001</v>
      </c>
      <c r="R27" s="520">
        <v>29.136819999999997</v>
      </c>
      <c r="S27" s="665">
        <v>32.952570000000001</v>
      </c>
      <c r="T27" s="650">
        <v>30</v>
      </c>
      <c r="U27" s="650">
        <v>30</v>
      </c>
    </row>
    <row r="28" spans="1:21" ht="14.25" customHeight="1">
      <c r="A28" s="284" t="s">
        <v>833</v>
      </c>
      <c r="B28" s="380">
        <v>13</v>
      </c>
      <c r="C28" s="173">
        <v>6</v>
      </c>
      <c r="D28" s="173">
        <v>7</v>
      </c>
      <c r="E28" s="173">
        <v>8</v>
      </c>
      <c r="F28" s="459">
        <v>10</v>
      </c>
      <c r="G28" s="459">
        <v>10</v>
      </c>
      <c r="H28" s="459">
        <v>10</v>
      </c>
      <c r="I28" s="459">
        <v>10</v>
      </c>
      <c r="J28" s="459">
        <v>10</v>
      </c>
      <c r="K28" s="846">
        <v>10</v>
      </c>
      <c r="L28" s="173">
        <v>10</v>
      </c>
      <c r="M28" s="173">
        <v>10</v>
      </c>
      <c r="N28" s="173">
        <v>10</v>
      </c>
      <c r="O28" s="593">
        <v>12</v>
      </c>
      <c r="P28" s="520">
        <v>10</v>
      </c>
      <c r="Q28" s="520">
        <v>10</v>
      </c>
      <c r="R28" s="520">
        <v>10</v>
      </c>
      <c r="S28" s="521">
        <v>10</v>
      </c>
      <c r="T28" s="650">
        <v>10</v>
      </c>
      <c r="U28" s="650">
        <v>10</v>
      </c>
    </row>
    <row r="29" spans="1:21" ht="14.4">
      <c r="A29" s="284" t="s">
        <v>786</v>
      </c>
      <c r="B29" s="380">
        <v>12</v>
      </c>
      <c r="C29" s="173">
        <v>6</v>
      </c>
      <c r="D29" s="173">
        <v>8</v>
      </c>
      <c r="E29" s="173">
        <v>10</v>
      </c>
      <c r="F29" s="459">
        <v>8</v>
      </c>
      <c r="G29" s="459">
        <v>7</v>
      </c>
      <c r="H29" s="459">
        <v>7</v>
      </c>
      <c r="I29" s="459">
        <v>9</v>
      </c>
      <c r="J29" s="459">
        <v>10</v>
      </c>
      <c r="K29" s="846">
        <v>8</v>
      </c>
      <c r="L29" s="173">
        <v>7</v>
      </c>
      <c r="M29" s="173">
        <v>5</v>
      </c>
      <c r="N29" s="173">
        <v>5</v>
      </c>
      <c r="O29" s="855">
        <v>6.3375000000000004</v>
      </c>
      <c r="P29" s="747">
        <v>6.4324000000000003</v>
      </c>
      <c r="Q29" s="747">
        <v>5.8246000000000002</v>
      </c>
      <c r="R29" s="747">
        <v>6.7423999999999999</v>
      </c>
      <c r="S29" s="857">
        <v>7.3357999999999999</v>
      </c>
      <c r="T29" s="650">
        <v>7</v>
      </c>
      <c r="U29" s="650">
        <v>7</v>
      </c>
    </row>
    <row r="30" spans="1:21" ht="16.2">
      <c r="A30" s="284" t="s">
        <v>834</v>
      </c>
      <c r="B30" s="171">
        <v>9</v>
      </c>
      <c r="C30" s="172"/>
      <c r="D30" s="172">
        <v>33</v>
      </c>
      <c r="E30" s="172">
        <v>35</v>
      </c>
      <c r="F30" s="320">
        <v>60</v>
      </c>
      <c r="G30" s="320">
        <v>10</v>
      </c>
      <c r="H30" s="459">
        <v>6</v>
      </c>
      <c r="I30" s="459">
        <v>30</v>
      </c>
      <c r="J30" s="459">
        <v>34</v>
      </c>
      <c r="K30" s="173">
        <v>40</v>
      </c>
      <c r="L30" s="173">
        <v>48</v>
      </c>
      <c r="M30" s="173">
        <v>55</v>
      </c>
      <c r="N30" s="173">
        <v>10</v>
      </c>
      <c r="O30" s="860">
        <v>38.919910999999985</v>
      </c>
      <c r="P30" s="685">
        <v>25.629458</v>
      </c>
      <c r="Q30" s="685">
        <v>63.726683999999977</v>
      </c>
      <c r="R30" s="685">
        <v>37.479289999999949</v>
      </c>
      <c r="S30" s="861">
        <v>53.358010000000036</v>
      </c>
      <c r="T30" s="802">
        <v>30</v>
      </c>
      <c r="U30" s="803">
        <v>30</v>
      </c>
    </row>
    <row r="31" spans="1:21" ht="14.4">
      <c r="A31" s="316"/>
      <c r="B31" s="421"/>
      <c r="C31" s="422"/>
      <c r="D31" s="422"/>
      <c r="E31" s="422"/>
      <c r="F31" s="422"/>
      <c r="G31" s="422"/>
      <c r="H31" s="459"/>
      <c r="I31" s="459"/>
      <c r="J31" s="459"/>
      <c r="K31" s="173"/>
      <c r="L31" s="173"/>
      <c r="M31" s="173"/>
      <c r="N31" s="173"/>
      <c r="O31" s="593"/>
      <c r="P31" s="593"/>
      <c r="Q31" s="593"/>
      <c r="R31" s="593"/>
      <c r="S31" s="521"/>
      <c r="T31" s="665"/>
      <c r="U31" s="521"/>
    </row>
    <row r="32" spans="1:21" ht="14.4">
      <c r="A32" s="174" t="s">
        <v>789</v>
      </c>
      <c r="B32" s="119">
        <v>190.63</v>
      </c>
      <c r="C32" s="120">
        <v>203.541</v>
      </c>
      <c r="D32" s="120">
        <v>216.083</v>
      </c>
      <c r="E32" s="120">
        <v>276.69100000000003</v>
      </c>
      <c r="F32" s="120">
        <v>306.57599999999996</v>
      </c>
      <c r="G32" s="120">
        <v>260.54199999999997</v>
      </c>
      <c r="H32" s="120">
        <v>220.08599999999998</v>
      </c>
      <c r="I32" s="120">
        <v>156.51899999999998</v>
      </c>
      <c r="J32" s="120">
        <v>132.70400000000001</v>
      </c>
      <c r="K32" s="120">
        <v>92.837999999999994</v>
      </c>
      <c r="L32" s="120">
        <v>92.4</v>
      </c>
      <c r="M32" s="120">
        <v>82.3</v>
      </c>
      <c r="N32" s="120">
        <v>75</v>
      </c>
      <c r="O32" s="667">
        <v>46.012</v>
      </c>
      <c r="P32" s="667">
        <v>42</v>
      </c>
      <c r="Q32" s="667">
        <v>59.9315</v>
      </c>
      <c r="R32" s="667">
        <v>67.746600000000015</v>
      </c>
      <c r="S32" s="786">
        <v>74.802999999999997</v>
      </c>
      <c r="T32" s="786">
        <v>75</v>
      </c>
      <c r="U32" s="786">
        <v>75</v>
      </c>
    </row>
    <row r="33" spans="1:21" ht="14.4">
      <c r="A33" s="284" t="s">
        <v>790</v>
      </c>
      <c r="B33" s="171">
        <v>49.1</v>
      </c>
      <c r="C33" s="172">
        <v>25.042000000000002</v>
      </c>
      <c r="D33" s="172">
        <v>17.559000000000001</v>
      </c>
      <c r="E33" s="172">
        <v>18.881</v>
      </c>
      <c r="F33" s="172">
        <v>34.433</v>
      </c>
      <c r="G33" s="172">
        <v>28.914000000000001</v>
      </c>
      <c r="H33" s="172">
        <v>22.117000000000001</v>
      </c>
      <c r="I33" s="172">
        <v>13.872999999999999</v>
      </c>
      <c r="J33" s="172">
        <v>10.826000000000001</v>
      </c>
      <c r="K33" s="172">
        <v>15.641999999999999</v>
      </c>
      <c r="L33" s="172">
        <v>31</v>
      </c>
      <c r="M33" s="173">
        <v>24.2</v>
      </c>
      <c r="N33" s="173">
        <v>15</v>
      </c>
      <c r="O33" s="520">
        <v>17.8553</v>
      </c>
      <c r="P33" s="520">
        <v>17</v>
      </c>
      <c r="Q33" s="520">
        <v>14.973199999999995</v>
      </c>
      <c r="R33" s="520">
        <v>13.752100000000002</v>
      </c>
      <c r="S33" s="650">
        <v>23.196999999999999</v>
      </c>
      <c r="T33" s="650">
        <v>25</v>
      </c>
      <c r="U33" s="650">
        <v>25</v>
      </c>
    </row>
    <row r="34" spans="1:21" ht="14.4">
      <c r="A34" s="284" t="s">
        <v>780</v>
      </c>
      <c r="B34" s="171">
        <v>141.53</v>
      </c>
      <c r="C34" s="172">
        <v>178.499</v>
      </c>
      <c r="D34" s="172">
        <v>198.524</v>
      </c>
      <c r="E34" s="172">
        <v>257.81</v>
      </c>
      <c r="F34" s="172">
        <v>272.14299999999997</v>
      </c>
      <c r="G34" s="172">
        <v>231.62799999999999</v>
      </c>
      <c r="H34" s="172">
        <v>197.96899999999999</v>
      </c>
      <c r="I34" s="172">
        <v>142.64599999999999</v>
      </c>
      <c r="J34" s="172">
        <v>121.878</v>
      </c>
      <c r="K34" s="172">
        <v>77.195999999999998</v>
      </c>
      <c r="L34" s="172">
        <v>61.4</v>
      </c>
      <c r="M34" s="173">
        <v>58.1</v>
      </c>
      <c r="N34" s="173">
        <v>60</v>
      </c>
      <c r="O34" s="804">
        <v>28.156700000000004</v>
      </c>
      <c r="P34" s="520">
        <v>25</v>
      </c>
      <c r="Q34" s="520">
        <v>44.958300000000001</v>
      </c>
      <c r="R34" s="520">
        <v>53.994500000000016</v>
      </c>
      <c r="S34" s="650">
        <v>51.606000000000002</v>
      </c>
      <c r="T34" s="650">
        <v>50</v>
      </c>
      <c r="U34" s="650">
        <v>50</v>
      </c>
    </row>
    <row r="35" spans="1:21" ht="18" customHeight="1">
      <c r="A35" s="447" t="s">
        <v>791</v>
      </c>
      <c r="B35" s="448">
        <v>274.63</v>
      </c>
      <c r="C35" s="449">
        <v>222.357</v>
      </c>
      <c r="D35" s="449">
        <v>276.125</v>
      </c>
      <c r="E35" s="449">
        <v>363.36200000000002</v>
      </c>
      <c r="F35" s="449">
        <v>406.29099999999994</v>
      </c>
      <c r="G35" s="449">
        <v>299.041</v>
      </c>
      <c r="H35" s="449">
        <v>252.61599999999999</v>
      </c>
      <c r="I35" s="449">
        <v>215.73799999999997</v>
      </c>
      <c r="J35" s="449">
        <v>200.655</v>
      </c>
      <c r="K35" s="449">
        <v>180.09699999999998</v>
      </c>
      <c r="L35" s="449">
        <v>197.55</v>
      </c>
      <c r="M35" s="449">
        <v>181.76</v>
      </c>
      <c r="N35" s="449">
        <v>120</v>
      </c>
      <c r="O35" s="794">
        <v>125.54959199999999</v>
      </c>
      <c r="P35" s="794">
        <v>103.061858</v>
      </c>
      <c r="Q35" s="794">
        <v>162.02628999999999</v>
      </c>
      <c r="R35" s="794">
        <v>151.10510999999997</v>
      </c>
      <c r="S35" s="795">
        <v>178.26367999999997</v>
      </c>
      <c r="T35" s="795">
        <v>152</v>
      </c>
      <c r="U35" s="795">
        <v>152</v>
      </c>
    </row>
    <row r="36" spans="1:21" ht="14.4">
      <c r="A36" s="460"/>
      <c r="B36" s="286"/>
      <c r="C36" s="247"/>
      <c r="D36" s="247"/>
      <c r="E36" s="461"/>
      <c r="F36" s="247"/>
      <c r="G36" s="247"/>
      <c r="H36" s="247"/>
      <c r="I36" s="247"/>
      <c r="J36" s="247"/>
      <c r="K36" s="247"/>
      <c r="L36" s="247"/>
      <c r="M36" s="247"/>
      <c r="N36" s="247"/>
      <c r="O36" s="618"/>
      <c r="P36" s="618"/>
      <c r="Q36" s="618"/>
      <c r="R36" s="618"/>
      <c r="S36" s="805"/>
      <c r="T36" s="805"/>
      <c r="U36" s="805"/>
    </row>
    <row r="37" spans="1:21" ht="16.2">
      <c r="A37" s="462" t="s">
        <v>849</v>
      </c>
      <c r="B37" s="463">
        <v>19.491</v>
      </c>
      <c r="C37" s="463">
        <v>10.319000000000001</v>
      </c>
      <c r="D37" s="463">
        <v>18.5</v>
      </c>
      <c r="E37" s="463">
        <v>43.069000000000003</v>
      </c>
      <c r="F37" s="463">
        <v>45.411999999999999</v>
      </c>
      <c r="G37" s="463">
        <v>22.122999999999998</v>
      </c>
      <c r="H37" s="463">
        <v>12.603999999999999</v>
      </c>
      <c r="I37" s="463">
        <v>12.923</v>
      </c>
      <c r="J37" s="463">
        <v>34.367000000000004</v>
      </c>
      <c r="K37" s="463">
        <v>60.239000000000004</v>
      </c>
      <c r="L37" s="463">
        <v>36.4</v>
      </c>
      <c r="M37" s="463">
        <v>22</v>
      </c>
      <c r="N37" s="463">
        <v>14</v>
      </c>
      <c r="O37" s="806">
        <v>15.061857999999999</v>
      </c>
      <c r="P37" s="806">
        <v>15</v>
      </c>
      <c r="Q37" s="806">
        <v>21.459910000000001</v>
      </c>
      <c r="R37" s="806">
        <v>15.7256</v>
      </c>
      <c r="S37" s="807">
        <v>20.151219999999999</v>
      </c>
      <c r="T37" s="808">
        <v>44</v>
      </c>
      <c r="U37" s="808">
        <v>59</v>
      </c>
    </row>
    <row r="38" spans="1:21" ht="14.4">
      <c r="A38" s="284" t="s">
        <v>793</v>
      </c>
      <c r="B38" s="288">
        <v>18.946999999999999</v>
      </c>
      <c r="C38" s="289">
        <v>9.66</v>
      </c>
      <c r="D38" s="289">
        <v>17.847999999999999</v>
      </c>
      <c r="E38" s="464">
        <v>42.363</v>
      </c>
      <c r="F38" s="172">
        <v>44.929000000000002</v>
      </c>
      <c r="G38" s="172">
        <v>21.890999999999998</v>
      </c>
      <c r="H38" s="172">
        <v>12.372</v>
      </c>
      <c r="I38" s="172">
        <v>12.388999999999999</v>
      </c>
      <c r="J38" s="845">
        <v>33.734000000000002</v>
      </c>
      <c r="K38" s="845">
        <v>59.219000000000001</v>
      </c>
      <c r="L38" s="172">
        <v>34</v>
      </c>
      <c r="M38" s="173">
        <v>0.3</v>
      </c>
      <c r="N38" s="846">
        <v>13</v>
      </c>
      <c r="O38" s="593">
        <v>13.879899999999999</v>
      </c>
      <c r="P38" s="520">
        <v>14</v>
      </c>
      <c r="Q38" s="520">
        <v>19.773</v>
      </c>
      <c r="R38" s="593">
        <v>13.803000000000001</v>
      </c>
      <c r="S38" s="855">
        <v>18.491099999999999</v>
      </c>
      <c r="T38" s="521"/>
      <c r="U38" s="521"/>
    </row>
    <row r="39" spans="1:21" ht="15" thickBot="1">
      <c r="A39" s="333" t="s">
        <v>794</v>
      </c>
      <c r="B39" s="465">
        <v>0.54400000000000004</v>
      </c>
      <c r="C39" s="296">
        <v>0.65900000000000003</v>
      </c>
      <c r="D39" s="296">
        <v>0.65200000000000002</v>
      </c>
      <c r="E39" s="466">
        <v>0.70599999999999996</v>
      </c>
      <c r="F39" s="390">
        <v>0.48299999999999998</v>
      </c>
      <c r="G39" s="390">
        <v>0.23200000000000001</v>
      </c>
      <c r="H39" s="390">
        <v>0.23200000000000001</v>
      </c>
      <c r="I39" s="390">
        <v>0.53400000000000003</v>
      </c>
      <c r="J39" s="390">
        <v>0.63300000000000001</v>
      </c>
      <c r="K39" s="390">
        <v>1.02</v>
      </c>
      <c r="L39" s="390">
        <v>2.4</v>
      </c>
      <c r="M39" s="391"/>
      <c r="N39" s="391"/>
      <c r="O39" s="771">
        <v>1.1819580000000001</v>
      </c>
      <c r="P39" s="771">
        <v>1</v>
      </c>
      <c r="Q39" s="771">
        <v>1.6869100000000001</v>
      </c>
      <c r="R39" s="771">
        <v>1.8426</v>
      </c>
      <c r="S39" s="809">
        <v>1.6601199999999998</v>
      </c>
      <c r="T39" s="810"/>
      <c r="U39" s="811"/>
    </row>
    <row r="40" spans="1:21">
      <c r="A40" s="467" t="s">
        <v>796</v>
      </c>
      <c r="D40" s="468"/>
      <c r="G40" s="301"/>
      <c r="H40" s="301"/>
      <c r="I40" s="301"/>
      <c r="J40" s="301"/>
      <c r="K40" s="301"/>
      <c r="L40" s="301"/>
      <c r="M40" s="301"/>
      <c r="N40" s="301"/>
    </row>
    <row r="41" spans="1:21" ht="16.2">
      <c r="A41" s="469" t="s">
        <v>850</v>
      </c>
    </row>
    <row r="42" spans="1:21" ht="16.2">
      <c r="A42" s="469" t="s">
        <v>851</v>
      </c>
    </row>
    <row r="43" spans="1:21" ht="16.2">
      <c r="A43" s="469" t="s">
        <v>852</v>
      </c>
    </row>
    <row r="44" spans="1:21" ht="16.2">
      <c r="A44" s="470" t="s">
        <v>853</v>
      </c>
    </row>
    <row r="46" spans="1:21" s="225" customFormat="1">
      <c r="B46" s="224"/>
      <c r="G46" s="224"/>
    </row>
    <row r="47" spans="1:21">
      <c r="B47" s="218"/>
      <c r="C47" s="218"/>
      <c r="D47" s="218"/>
      <c r="E47" s="218"/>
      <c r="F47" s="218"/>
      <c r="G47" s="218"/>
      <c r="H47" s="218"/>
      <c r="I47" s="218"/>
      <c r="J47" s="218"/>
      <c r="K47" s="218"/>
      <c r="L47" s="218"/>
      <c r="M47" s="218"/>
      <c r="N47" s="218"/>
    </row>
    <row r="50" spans="2:14">
      <c r="B50" s="471"/>
      <c r="C50" s="471"/>
      <c r="D50" s="471"/>
      <c r="E50" s="472"/>
      <c r="F50" s="472"/>
      <c r="G50" s="472"/>
      <c r="H50" s="472"/>
      <c r="I50" s="472"/>
      <c r="J50" s="472"/>
      <c r="K50" s="472"/>
      <c r="L50" s="472"/>
      <c r="M50" s="472"/>
      <c r="N50" s="472"/>
    </row>
    <row r="51" spans="2:14">
      <c r="B51" s="301"/>
      <c r="C51" s="301"/>
      <c r="D51" s="301"/>
      <c r="E51" s="301"/>
      <c r="F51" s="301"/>
      <c r="G51" s="301"/>
      <c r="H51" s="301"/>
      <c r="I51" s="301"/>
      <c r="J51" s="301"/>
      <c r="K51" s="301"/>
      <c r="L51" s="301"/>
      <c r="M51" s="301"/>
      <c r="N51" s="301"/>
    </row>
    <row r="52" spans="2:14">
      <c r="B52" s="218"/>
      <c r="C52" s="218"/>
      <c r="D52" s="218"/>
      <c r="E52" s="218"/>
      <c r="F52" s="218"/>
      <c r="G52" s="218"/>
      <c r="H52" s="218"/>
      <c r="I52" s="218"/>
      <c r="J52" s="218"/>
      <c r="K52" s="218"/>
      <c r="L52" s="218"/>
      <c r="M52" s="218"/>
      <c r="N52" s="218"/>
    </row>
    <row r="53" spans="2:14">
      <c r="B53" s="218"/>
      <c r="C53" s="218"/>
      <c r="D53" s="218"/>
      <c r="E53" s="218"/>
      <c r="F53" s="218"/>
      <c r="G53" s="218"/>
      <c r="H53" s="218"/>
      <c r="I53" s="218"/>
      <c r="J53" s="218"/>
      <c r="K53" s="218"/>
      <c r="L53" s="218"/>
      <c r="M53" s="218"/>
      <c r="N53" s="218"/>
    </row>
    <row r="54" spans="2:14">
      <c r="B54" s="301"/>
      <c r="C54" s="301"/>
      <c r="D54" s="301"/>
      <c r="E54" s="301"/>
      <c r="F54" s="301"/>
      <c r="G54" s="301"/>
      <c r="H54" s="301"/>
      <c r="I54" s="301"/>
      <c r="J54" s="301"/>
      <c r="K54" s="301"/>
      <c r="L54" s="301"/>
      <c r="M54" s="301"/>
      <c r="N54" s="301"/>
    </row>
    <row r="55" spans="2:14">
      <c r="B55" s="301"/>
      <c r="C55" s="301"/>
      <c r="D55" s="301"/>
      <c r="E55" s="301"/>
      <c r="F55" s="301"/>
      <c r="G55" s="301"/>
      <c r="H55" s="301"/>
      <c r="I55" s="301"/>
      <c r="J55" s="301"/>
      <c r="K55" s="301"/>
      <c r="L55" s="301"/>
      <c r="M55" s="301"/>
      <c r="N55" s="301"/>
    </row>
    <row r="56" spans="2:14">
      <c r="B56" s="301"/>
      <c r="C56" s="301"/>
      <c r="D56" s="301"/>
      <c r="E56" s="301"/>
      <c r="F56" s="301"/>
      <c r="G56" s="301"/>
      <c r="H56" s="301"/>
      <c r="I56" s="301"/>
      <c r="J56" s="301"/>
      <c r="K56" s="301"/>
      <c r="L56" s="301"/>
      <c r="M56" s="301"/>
      <c r="N56" s="301"/>
    </row>
    <row r="57" spans="2:14">
      <c r="B57" s="218"/>
      <c r="C57" s="218"/>
      <c r="D57" s="218"/>
      <c r="E57" s="218"/>
      <c r="F57" s="218"/>
      <c r="G57" s="218"/>
      <c r="H57" s="218"/>
      <c r="I57" s="218"/>
      <c r="J57" s="218"/>
      <c r="K57" s="218"/>
      <c r="L57" s="218"/>
      <c r="M57" s="218"/>
      <c r="N57" s="218"/>
    </row>
    <row r="58" spans="2:14">
      <c r="B58" s="301"/>
      <c r="C58" s="301"/>
      <c r="D58" s="301"/>
      <c r="E58" s="301"/>
      <c r="F58" s="301"/>
      <c r="G58" s="301"/>
      <c r="H58" s="301"/>
      <c r="I58" s="301"/>
      <c r="J58" s="301"/>
      <c r="K58" s="301"/>
      <c r="L58" s="301"/>
      <c r="M58" s="301"/>
      <c r="N58" s="301"/>
    </row>
    <row r="60" spans="2:14">
      <c r="B60" s="301"/>
      <c r="C60" s="301"/>
      <c r="D60" s="301"/>
      <c r="E60" s="301"/>
      <c r="F60" s="301"/>
      <c r="G60" s="301"/>
      <c r="H60" s="301"/>
      <c r="I60" s="301"/>
      <c r="J60" s="301"/>
      <c r="K60" s="301"/>
      <c r="L60" s="301"/>
      <c r="M60" s="301"/>
      <c r="N60" s="301"/>
    </row>
    <row r="61" spans="2:14">
      <c r="B61" s="218"/>
      <c r="C61" s="218"/>
      <c r="D61" s="218"/>
      <c r="E61" s="218"/>
      <c r="F61" s="218"/>
      <c r="G61" s="218"/>
      <c r="H61" s="218"/>
      <c r="I61" s="218"/>
      <c r="J61" s="218"/>
      <c r="K61" s="218"/>
      <c r="L61" s="218"/>
      <c r="M61" s="218"/>
      <c r="N61" s="218"/>
    </row>
    <row r="62" spans="2:14">
      <c r="B62" s="301"/>
      <c r="C62" s="301"/>
      <c r="D62" s="301"/>
      <c r="E62" s="301"/>
      <c r="F62" s="301"/>
      <c r="G62" s="301"/>
      <c r="H62" s="301"/>
      <c r="I62" s="301"/>
      <c r="J62" s="301"/>
      <c r="K62" s="301"/>
      <c r="L62" s="301"/>
      <c r="M62" s="301"/>
      <c r="N62" s="301"/>
    </row>
  </sheetData>
  <mergeCells count="1">
    <mergeCell ref="B1:M1"/>
  </mergeCells>
  <conditionalFormatting sqref="B61:N61">
    <cfRule type="cellIs" dxfId="1" priority="3" operator="lessThan">
      <formula>0</formula>
    </cfRule>
  </conditionalFormatting>
  <conditionalFormatting sqref="L6:R6">
    <cfRule type="expression" dxfId="0" priority="1" stopIfTrue="1">
      <formula>ISERROR(L6)</formula>
    </cfRule>
  </conditionalFormatting>
  <pageMargins left="0.7" right="0.7" top="0.75" bottom="0.75" header="0.3" footer="0.3"/>
  <pageSetup paperSize="9" scale="64"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B60E-4B30-4C79-923C-C746E5A36780}">
  <sheetPr>
    <tabColor rgb="FF92D050"/>
  </sheetPr>
  <dimension ref="A1:U35"/>
  <sheetViews>
    <sheetView workbookViewId="0">
      <pane xSplit="3" ySplit="1" topLeftCell="O2" activePane="bottomRight" state="frozen"/>
      <selection activeCell="B15" sqref="B15"/>
      <selection pane="topRight" activeCell="B15" sqref="B15"/>
      <selection pane="bottomLeft" activeCell="B15" sqref="B15"/>
      <selection pane="bottomRight" activeCell="R3" sqref="R3"/>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v>1</v>
      </c>
      <c r="B2" t="str">
        <f>Produits!$B$2</f>
        <v>Graines récoltées</v>
      </c>
      <c r="C2" t="str">
        <f>Secteurs!$B$4</f>
        <v>OS</v>
      </c>
      <c r="D2" s="888">
        <f>'Issues de silo - ONRB'!F15</f>
        <v>1.7000000000000001E-2</v>
      </c>
      <c r="G2" t="str">
        <f>Etiquettes!$C$3</f>
        <v>kt</v>
      </c>
      <c r="H2" s="21" t="s">
        <v>915</v>
      </c>
      <c r="I2" s="21" t="str">
        <f>Etiquettes!$C$5</f>
        <v>2015-16:2019-20:2023-24</v>
      </c>
      <c r="J2" t="str">
        <f>Etiquettes!$C$4</f>
        <v>France entière</v>
      </c>
      <c r="P2" s="10"/>
      <c r="U2" s="1028" t="s">
        <v>745</v>
      </c>
    </row>
    <row r="3" spans="1:21">
      <c r="A3" s="10">
        <v>1</v>
      </c>
      <c r="B3" t="str">
        <f>Secteurs!$B$4</f>
        <v>OS</v>
      </c>
      <c r="C3" t="str">
        <f>Produits!$B$12</f>
        <v>Issues de silo</v>
      </c>
      <c r="D3">
        <v>-1</v>
      </c>
      <c r="G3" t="str">
        <f>Etiquettes!$C$3</f>
        <v>kt</v>
      </c>
      <c r="H3" s="21" t="s">
        <v>915</v>
      </c>
      <c r="I3" s="21" t="str">
        <f>Etiquettes!$C$5</f>
        <v>2015-16:2019-20:2023-24</v>
      </c>
      <c r="J3" t="str">
        <f>Etiquettes!$C$4</f>
        <v>France entière</v>
      </c>
      <c r="K3" s="10" t="s">
        <v>746</v>
      </c>
      <c r="M3" s="10" t="s">
        <v>1166</v>
      </c>
      <c r="N3" t="s">
        <v>1486</v>
      </c>
      <c r="O3" t="str">
        <f>Etiquettes!$I$11</f>
        <v>Rendement</v>
      </c>
      <c r="P3" t="str">
        <f>_xlfn.CONCAT(K3," = ",MROUND(D2*100,0.01)," % (",M3,")")</f>
        <v>Ratio d'issues de silo = 1,7 % (ONRB - FranceAgriMer)</v>
      </c>
      <c r="Q3" t="str">
        <f>Etiquettes!$K$15</f>
        <v>Approximative</v>
      </c>
      <c r="R3" s="976" t="s">
        <v>1509</v>
      </c>
      <c r="S3" s="976" t="s">
        <v>1475</v>
      </c>
      <c r="U3" s="1027"/>
    </row>
    <row r="4" spans="1:21">
      <c r="A4" s="10">
        <f>A2+1</f>
        <v>2</v>
      </c>
      <c r="B4" t="str">
        <f>Produits!$B$2</f>
        <v>Graines récoltées</v>
      </c>
      <c r="C4" t="str">
        <f>Secteurs!$B$4</f>
        <v>OS</v>
      </c>
      <c r="D4" s="888">
        <f>'Issues de silo - ONRB'!K15</f>
        <v>0.01</v>
      </c>
      <c r="G4" t="str">
        <f>Etiquettes!$C$3</f>
        <v>kt</v>
      </c>
      <c r="H4" s="21" t="s">
        <v>916</v>
      </c>
      <c r="I4" s="21" t="str">
        <f>Etiquettes!$C$5</f>
        <v>2015-16:2019-20:2023-24</v>
      </c>
      <c r="J4" t="str">
        <f>Etiquettes!$C$4</f>
        <v>France entière</v>
      </c>
      <c r="P4" s="10"/>
      <c r="U4" s="1027"/>
    </row>
    <row r="5" spans="1:21">
      <c r="A5" s="10">
        <f t="shared" ref="A5:A35" si="0">A3+1</f>
        <v>2</v>
      </c>
      <c r="B5" t="str">
        <f>Secteurs!$B$4</f>
        <v>OS</v>
      </c>
      <c r="C5" t="str">
        <f>Produits!$B$12</f>
        <v>Issues de silo</v>
      </c>
      <c r="D5">
        <v>-1</v>
      </c>
      <c r="G5" t="str">
        <f>Etiquettes!$C$3</f>
        <v>kt</v>
      </c>
      <c r="H5" s="21" t="s">
        <v>916</v>
      </c>
      <c r="I5" s="21" t="str">
        <f>Etiquettes!$C$5</f>
        <v>2015-16:2019-20:2023-24</v>
      </c>
      <c r="J5" t="str">
        <f>Etiquettes!$C$4</f>
        <v>France entière</v>
      </c>
      <c r="K5" s="10" t="s">
        <v>746</v>
      </c>
      <c r="M5" s="10" t="s">
        <v>1166</v>
      </c>
      <c r="N5" t="s">
        <v>1486</v>
      </c>
      <c r="O5" t="str">
        <f>Etiquettes!$I$11</f>
        <v>Rendement</v>
      </c>
      <c r="P5" t="str">
        <f>_xlfn.CONCAT(K5," = ",MROUND(D4*100,0.01)," % (",M5,")")</f>
        <v>Ratio d'issues de silo = 1 % (ONRB - FranceAgriMer)</v>
      </c>
      <c r="Q5" t="str">
        <f>Etiquettes!$K$15</f>
        <v>Approximative</v>
      </c>
      <c r="R5" s="976" t="s">
        <v>1509</v>
      </c>
      <c r="S5" s="976" t="s">
        <v>1475</v>
      </c>
      <c r="U5" s="1027"/>
    </row>
    <row r="6" spans="1:21">
      <c r="A6" s="10">
        <f t="shared" si="0"/>
        <v>3</v>
      </c>
      <c r="B6" t="str">
        <f>Produits!$B$2</f>
        <v>Graines récoltées</v>
      </c>
      <c r="C6" t="str">
        <f>Secteurs!$B$4</f>
        <v>OS</v>
      </c>
      <c r="D6" s="888">
        <f>'Issues de silo - ONRB'!K15</f>
        <v>0.01</v>
      </c>
      <c r="G6" t="str">
        <f>Etiquettes!$C$3</f>
        <v>kt</v>
      </c>
      <c r="H6" s="21" t="s">
        <v>1249</v>
      </c>
      <c r="I6" s="21" t="str">
        <f>Etiquettes!$C$5</f>
        <v>2015-16:2019-20:2023-24</v>
      </c>
      <c r="J6" t="str">
        <f>Etiquettes!$C$4</f>
        <v>France entière</v>
      </c>
      <c r="P6" s="10"/>
      <c r="U6" s="1027"/>
    </row>
    <row r="7" spans="1:21">
      <c r="A7" s="10">
        <f t="shared" si="0"/>
        <v>3</v>
      </c>
      <c r="B7" t="str">
        <f>Secteurs!$B$4</f>
        <v>OS</v>
      </c>
      <c r="C7" t="str">
        <f>Produits!$B$12</f>
        <v>Issues de silo</v>
      </c>
      <c r="D7">
        <v>-1</v>
      </c>
      <c r="G7" t="str">
        <f>Etiquettes!$C$3</f>
        <v>kt</v>
      </c>
      <c r="H7" s="21" t="s">
        <v>1249</v>
      </c>
      <c r="I7" s="21" t="str">
        <f>Etiquettes!$C$5</f>
        <v>2015-16:2019-20:2023-24</v>
      </c>
      <c r="J7" t="str">
        <f>Etiquettes!$C$4</f>
        <v>France entière</v>
      </c>
      <c r="K7" s="10" t="s">
        <v>746</v>
      </c>
      <c r="L7" s="31" t="s">
        <v>918</v>
      </c>
      <c r="M7" s="10" t="s">
        <v>1166</v>
      </c>
      <c r="N7" t="s">
        <v>1486</v>
      </c>
      <c r="O7" t="str">
        <f>Etiquettes!$I$11</f>
        <v>Rendement</v>
      </c>
      <c r="P7" t="str">
        <f>_xlfn.CONCAT(K7," = ",MROUND(D6*100,0.01)," % (",M7,")")</f>
        <v>Ratio d'issues de silo = 1 % (ONRB - FranceAgriMer)</v>
      </c>
      <c r="Q7" t="str">
        <f>Etiquettes!$K$15</f>
        <v>Approximative</v>
      </c>
      <c r="R7" s="976" t="s">
        <v>1509</v>
      </c>
      <c r="S7" s="976" t="s">
        <v>1475</v>
      </c>
      <c r="U7" s="1027"/>
    </row>
    <row r="8" spans="1:21">
      <c r="A8" s="10">
        <f t="shared" si="0"/>
        <v>4</v>
      </c>
      <c r="B8" t="str">
        <f>Secteurs!$B$4</f>
        <v>OS</v>
      </c>
      <c r="C8" t="str">
        <f>Produits!$B$12</f>
        <v>Issues de silo</v>
      </c>
      <c r="D8" s="888">
        <f>'Issues de silo - ONRB'!$E$25</f>
        <v>0.56330000000000002</v>
      </c>
      <c r="G8" t="str">
        <f>Etiquettes!$C$3</f>
        <v>kt</v>
      </c>
      <c r="H8" s="21" t="s">
        <v>917</v>
      </c>
      <c r="I8" s="21" t="str">
        <f>Etiquettes!$C$5</f>
        <v>2015-16:2019-20:2023-24</v>
      </c>
      <c r="J8" t="str">
        <f>Etiquettes!$C$4</f>
        <v>France entière</v>
      </c>
      <c r="P8" s="10"/>
      <c r="U8" s="1027" t="s">
        <v>747</v>
      </c>
    </row>
    <row r="9" spans="1:21">
      <c r="A9" s="10">
        <f t="shared" si="0"/>
        <v>4</v>
      </c>
      <c r="B9" t="str">
        <f>Produits!$B$12</f>
        <v>Issues de silo</v>
      </c>
      <c r="C9" t="str">
        <f>Secteurs!$B$26</f>
        <v>FAF</v>
      </c>
      <c r="D9">
        <v>-1</v>
      </c>
      <c r="G9" t="str">
        <f>Etiquettes!$C$3</f>
        <v>kt</v>
      </c>
      <c r="H9" s="21" t="s">
        <v>917</v>
      </c>
      <c r="I9" s="21" t="str">
        <f>Etiquettes!$C$5</f>
        <v>2015-16:2019-20:2023-24</v>
      </c>
      <c r="J9" t="str">
        <f>Etiquettes!$C$4</f>
        <v>France entière</v>
      </c>
      <c r="K9" s="31" t="s">
        <v>748</v>
      </c>
      <c r="M9" s="10" t="s">
        <v>1166</v>
      </c>
      <c r="N9" t="s">
        <v>1486</v>
      </c>
      <c r="O9" t="str">
        <f>Etiquettes!$J$11</f>
        <v>Répartition</v>
      </c>
      <c r="P9" t="str">
        <f>_xlfn.CONCAT(K9," = ",MROUND(D8*100,0.01)," % (",M9,")")</f>
        <v>Part d'issues de silo consommées par les FAF = 56,33 % (ONRB - FranceAgriMer)</v>
      </c>
      <c r="Q9" t="str">
        <f>Etiquettes!$K$15</f>
        <v>Approximative</v>
      </c>
      <c r="R9" s="976" t="s">
        <v>1509</v>
      </c>
      <c r="S9" s="976" t="s">
        <v>1475</v>
      </c>
      <c r="U9" s="1027"/>
    </row>
    <row r="10" spans="1:21">
      <c r="A10" s="10">
        <f t="shared" si="0"/>
        <v>5</v>
      </c>
      <c r="B10" t="str">
        <f>Secteurs!$B$4</f>
        <v>OS</v>
      </c>
      <c r="C10" t="str">
        <f>Produits!$B$12</f>
        <v>Issues de silo</v>
      </c>
      <c r="D10" s="888">
        <f>'Issues de silo - ONRB'!$H$25</f>
        <v>7.7000000000000002E-3</v>
      </c>
      <c r="G10" t="str">
        <f>Etiquettes!$C$3</f>
        <v>kt</v>
      </c>
      <c r="H10" s="21" t="s">
        <v>917</v>
      </c>
      <c r="I10" s="21" t="str">
        <f>Etiquettes!$C$5</f>
        <v>2015-16:2019-20:2023-24</v>
      </c>
      <c r="J10" t="str">
        <f>Etiquettes!$C$4</f>
        <v>France entière</v>
      </c>
      <c r="K10" s="31"/>
      <c r="P10" s="10"/>
      <c r="U10" s="1027"/>
    </row>
    <row r="11" spans="1:21">
      <c r="A11" s="10">
        <f t="shared" si="0"/>
        <v>5</v>
      </c>
      <c r="B11" t="str">
        <f>Produits!$B$12</f>
        <v>Issues de silo</v>
      </c>
      <c r="C11" t="str">
        <f>Secteurs!$B$32</f>
        <v>Litière</v>
      </c>
      <c r="D11">
        <v>-1</v>
      </c>
      <c r="E11" s="22"/>
      <c r="G11" t="str">
        <f>Etiquettes!$C$3</f>
        <v>kt</v>
      </c>
      <c r="H11" s="21" t="s">
        <v>917</v>
      </c>
      <c r="I11" s="21" t="str">
        <f>Etiquettes!$C$5</f>
        <v>2015-16:2019-20:2023-24</v>
      </c>
      <c r="J11" t="str">
        <f>Etiquettes!$C$4</f>
        <v>France entière</v>
      </c>
      <c r="K11" s="31" t="s">
        <v>749</v>
      </c>
      <c r="M11" s="10" t="s">
        <v>1166</v>
      </c>
      <c r="N11" t="s">
        <v>1486</v>
      </c>
      <c r="O11" t="str">
        <f>Etiquettes!$J$11</f>
        <v>Répartition</v>
      </c>
      <c r="P11" t="str">
        <f>_xlfn.CONCAT(K11," = ",MROUND(D10*100,0.01)," % (",M11,")")</f>
        <v>Part d'issues de silo consommées comme litière = 0,77 % (ONRB - FranceAgriMer)</v>
      </c>
      <c r="Q11" t="str">
        <f>Etiquettes!$K$15</f>
        <v>Approximative</v>
      </c>
      <c r="R11" s="976" t="s">
        <v>1509</v>
      </c>
      <c r="S11" s="976" t="s">
        <v>1475</v>
      </c>
      <c r="U11" s="1027"/>
    </row>
    <row r="12" spans="1:21">
      <c r="A12" s="10">
        <f t="shared" si="0"/>
        <v>6</v>
      </c>
      <c r="B12" t="str">
        <f>Secteurs!$B$4</f>
        <v>OS</v>
      </c>
      <c r="C12" t="str">
        <f>Produits!$B$12</f>
        <v>Issues de silo</v>
      </c>
      <c r="D12" s="888">
        <f>'Issues de silo - ONRB'!$K$25</f>
        <v>0</v>
      </c>
      <c r="G12" t="str">
        <f>Etiquettes!$C$3</f>
        <v>kt</v>
      </c>
      <c r="H12" s="21" t="s">
        <v>917</v>
      </c>
      <c r="I12" s="21" t="str">
        <f>Etiquettes!$C$5</f>
        <v>2015-16:2019-20:2023-24</v>
      </c>
      <c r="J12" t="str">
        <f>Etiquettes!$C$4</f>
        <v>France entière</v>
      </c>
      <c r="K12" s="31"/>
      <c r="P12" s="10"/>
      <c r="U12" s="1027"/>
    </row>
    <row r="13" spans="1:21">
      <c r="A13" s="10">
        <f t="shared" si="0"/>
        <v>6</v>
      </c>
      <c r="B13" t="str">
        <f>Produits!$B$12</f>
        <v>Issues de silo</v>
      </c>
      <c r="C13" t="str">
        <f>Secteurs!$B$40</f>
        <v>Compostage</v>
      </c>
      <c r="D13">
        <v>-1</v>
      </c>
      <c r="G13" t="str">
        <f>Etiquettes!$C$3</f>
        <v>kt</v>
      </c>
      <c r="H13" s="21" t="s">
        <v>917</v>
      </c>
      <c r="I13" s="21" t="str">
        <f>Etiquettes!$C$5</f>
        <v>2015-16:2019-20:2023-24</v>
      </c>
      <c r="J13" t="str">
        <f>Etiquettes!$C$4</f>
        <v>France entière</v>
      </c>
      <c r="K13" s="31" t="s">
        <v>750</v>
      </c>
      <c r="M13" s="10" t="s">
        <v>1166</v>
      </c>
      <c r="N13" t="s">
        <v>1486</v>
      </c>
      <c r="O13" t="str">
        <f>Etiquettes!$J$11</f>
        <v>Répartition</v>
      </c>
      <c r="P13" t="str">
        <f>_xlfn.CONCAT(K13," = ",MROUND(D12*100,0.01)," % (",M13,")")</f>
        <v>Part d'issues de silo compostées = 0 % (ONRB - FranceAgriMer)</v>
      </c>
      <c r="Q13" t="str">
        <f>Etiquettes!$K$15</f>
        <v>Approximative</v>
      </c>
      <c r="R13" s="976" t="s">
        <v>1509</v>
      </c>
      <c r="S13" s="976" t="s">
        <v>1475</v>
      </c>
      <c r="U13" s="1027"/>
    </row>
    <row r="14" spans="1:21">
      <c r="A14" s="10">
        <f t="shared" si="0"/>
        <v>7</v>
      </c>
      <c r="B14" t="str">
        <f>Secteurs!$B$4</f>
        <v>OS</v>
      </c>
      <c r="C14" t="str">
        <f>Produits!$B$12</f>
        <v>Issues de silo</v>
      </c>
      <c r="D14" s="888">
        <f>'Issues de silo - ONRB'!$N$25</f>
        <v>7.7000000000000002E-3</v>
      </c>
      <c r="G14" t="str">
        <f>Etiquettes!$C$3</f>
        <v>kt</v>
      </c>
      <c r="H14" s="21" t="s">
        <v>917</v>
      </c>
      <c r="I14" s="21" t="str">
        <f>Etiquettes!$C$5</f>
        <v>2015-16:2019-20:2023-24</v>
      </c>
      <c r="J14" t="str">
        <f>Etiquettes!$C$4</f>
        <v>France entière</v>
      </c>
      <c r="K14" s="31"/>
      <c r="P14" s="10"/>
      <c r="U14" s="1027"/>
    </row>
    <row r="15" spans="1:21">
      <c r="A15" s="10">
        <f t="shared" si="0"/>
        <v>7</v>
      </c>
      <c r="B15" t="str">
        <f>Produits!$B$12</f>
        <v>Issues de silo</v>
      </c>
      <c r="C15" t="str">
        <f>Secteurs!$B$33</f>
        <v>Autres biomatériaux</v>
      </c>
      <c r="D15">
        <v>-1</v>
      </c>
      <c r="G15" t="str">
        <f>Etiquettes!$C$3</f>
        <v>kt</v>
      </c>
      <c r="H15" s="21" t="s">
        <v>917</v>
      </c>
      <c r="I15" s="21" t="str">
        <f>Etiquettes!$C$5</f>
        <v>2015-16:2019-20:2023-24</v>
      </c>
      <c r="J15" t="str">
        <f>Etiquettes!$C$4</f>
        <v>France entière</v>
      </c>
      <c r="K15" s="31" t="s">
        <v>751</v>
      </c>
      <c r="M15" s="10" t="s">
        <v>1166</v>
      </c>
      <c r="N15" t="s">
        <v>1486</v>
      </c>
      <c r="O15" t="str">
        <f>Etiquettes!$J$11</f>
        <v>Répartition</v>
      </c>
      <c r="P15" t="str">
        <f>_xlfn.CONCAT(K15," = ",MROUND(D14*100,0.01)," % (",M15,")")</f>
        <v>Part d'issues de silo consommées comme autres biomatériaux = 0,77 % (ONRB - FranceAgriMer)</v>
      </c>
      <c r="Q15" t="str">
        <f>Etiquettes!$K$15</f>
        <v>Approximative</v>
      </c>
      <c r="R15" s="976" t="s">
        <v>1509</v>
      </c>
      <c r="S15" s="976" t="s">
        <v>1475</v>
      </c>
      <c r="U15" s="1027"/>
    </row>
    <row r="16" spans="1:21">
      <c r="A16" s="10">
        <f t="shared" si="0"/>
        <v>8</v>
      </c>
      <c r="B16" t="str">
        <f>Secteurs!$B$4</f>
        <v>OS</v>
      </c>
      <c r="C16" t="str">
        <f>Produits!$B$12</f>
        <v>Issues de silo</v>
      </c>
      <c r="D16" s="888">
        <f>'Issues de silo - ONRB'!$Q$25</f>
        <v>0.40720000000000001</v>
      </c>
      <c r="G16" t="str">
        <f>Etiquettes!$C$3</f>
        <v>kt</v>
      </c>
      <c r="H16" s="21" t="s">
        <v>917</v>
      </c>
      <c r="I16" s="21" t="str">
        <f>Etiquettes!$C$5</f>
        <v>2015-16:2019-20:2023-24</v>
      </c>
      <c r="J16" t="str">
        <f>Etiquettes!$C$4</f>
        <v>France entière</v>
      </c>
      <c r="K16" s="31"/>
      <c r="P16" s="10"/>
      <c r="U16" s="1027"/>
    </row>
    <row r="17" spans="1:21">
      <c r="A17" s="10">
        <f t="shared" si="0"/>
        <v>8</v>
      </c>
      <c r="B17" t="str">
        <f>Produits!$B$12</f>
        <v>Issues de silo</v>
      </c>
      <c r="C17" t="str">
        <f>Secteurs!$B$36</f>
        <v>Méthanisation</v>
      </c>
      <c r="D17">
        <v>-1</v>
      </c>
      <c r="G17" t="str">
        <f>Etiquettes!$C$3</f>
        <v>kt</v>
      </c>
      <c r="H17" s="21" t="s">
        <v>917</v>
      </c>
      <c r="I17" s="21" t="str">
        <f>Etiquettes!$C$5</f>
        <v>2015-16:2019-20:2023-24</v>
      </c>
      <c r="J17" t="str">
        <f>Etiquettes!$C$4</f>
        <v>France entière</v>
      </c>
      <c r="K17" s="31" t="s">
        <v>752</v>
      </c>
      <c r="M17" s="10" t="s">
        <v>1166</v>
      </c>
      <c r="N17" t="s">
        <v>1486</v>
      </c>
      <c r="O17" t="str">
        <f>Etiquettes!$J$11</f>
        <v>Répartition</v>
      </c>
      <c r="P17" t="str">
        <f>_xlfn.CONCAT(K17," = ",MROUND(D16*100,0.01)," % (",M17,")")</f>
        <v>Part d'issues de silo consommées en méthanisation = 40,72 % (ONRB - FranceAgriMer)</v>
      </c>
      <c r="Q17" t="str">
        <f>Etiquettes!$K$15</f>
        <v>Approximative</v>
      </c>
      <c r="R17" s="976" t="s">
        <v>1509</v>
      </c>
      <c r="S17" s="976" t="s">
        <v>1475</v>
      </c>
      <c r="U17" s="1027"/>
    </row>
    <row r="18" spans="1:21">
      <c r="A18" s="10">
        <f t="shared" si="0"/>
        <v>9</v>
      </c>
      <c r="B18" t="str">
        <f>Secteurs!$B$4</f>
        <v>OS</v>
      </c>
      <c r="C18" t="str">
        <f>Produits!$B$12</f>
        <v>Issues de silo</v>
      </c>
      <c r="D18" s="888">
        <f>'Issues de silo - ONRB'!$T$25</f>
        <v>1.03E-2</v>
      </c>
      <c r="G18" t="str">
        <f>Etiquettes!$C$3</f>
        <v>kt</v>
      </c>
      <c r="H18" s="21" t="s">
        <v>917</v>
      </c>
      <c r="I18" s="21" t="str">
        <f>Etiquettes!$C$5</f>
        <v>2015-16:2019-20:2023-24</v>
      </c>
      <c r="J18" t="str">
        <f>Etiquettes!$C$4</f>
        <v>France entière</v>
      </c>
      <c r="K18" s="31"/>
      <c r="P18" s="10"/>
      <c r="U18" s="1027"/>
    </row>
    <row r="19" spans="1:21">
      <c r="A19" s="10">
        <f t="shared" si="0"/>
        <v>9</v>
      </c>
      <c r="B19" t="str">
        <f>Produits!$B$12</f>
        <v>Issues de silo</v>
      </c>
      <c r="C19" t="str">
        <f>Secteurs!$B$37</f>
        <v>Combustion</v>
      </c>
      <c r="D19">
        <v>-1</v>
      </c>
      <c r="G19" t="str">
        <f>Etiquettes!$C$3</f>
        <v>kt</v>
      </c>
      <c r="H19" s="21" t="s">
        <v>917</v>
      </c>
      <c r="I19" s="21" t="str">
        <f>Etiquettes!$C$5</f>
        <v>2015-16:2019-20:2023-24</v>
      </c>
      <c r="J19" t="str">
        <f>Etiquettes!$C$4</f>
        <v>France entière</v>
      </c>
      <c r="K19" s="31" t="s">
        <v>753</v>
      </c>
      <c r="M19" s="10" t="s">
        <v>1166</v>
      </c>
      <c r="N19" t="s">
        <v>1486</v>
      </c>
      <c r="O19" t="str">
        <f>Etiquettes!$J$11</f>
        <v>Répartition</v>
      </c>
      <c r="P19" t="str">
        <f>_xlfn.CONCAT(K19," = ",MROUND(D18*100,0.01)," % (",M19,")")</f>
        <v>Part d'issues de silo brûlées = 1,03 % (ONRB - FranceAgriMer)</v>
      </c>
      <c r="Q19" t="str">
        <f>Etiquettes!$K$15</f>
        <v>Approximative</v>
      </c>
      <c r="R19" s="976" t="s">
        <v>1509</v>
      </c>
      <c r="S19" s="976" t="s">
        <v>1475</v>
      </c>
      <c r="U19" s="1027"/>
    </row>
    <row r="20" spans="1:21">
      <c r="A20" s="10">
        <f t="shared" si="0"/>
        <v>10</v>
      </c>
      <c r="B20" t="str">
        <f>Secteurs!$B$4</f>
        <v>OS</v>
      </c>
      <c r="C20" t="str">
        <f>Produits!$B$12</f>
        <v>Issues de silo</v>
      </c>
      <c r="D20" s="888"/>
      <c r="G20" t="str">
        <f>Etiquettes!$C$3</f>
        <v>kt</v>
      </c>
      <c r="H20" s="21" t="s">
        <v>917</v>
      </c>
      <c r="I20" s="21" t="str">
        <f>Etiquettes!$C$5</f>
        <v>2015-16:2019-20:2023-24</v>
      </c>
      <c r="J20" t="str">
        <f>Etiquettes!$C$4</f>
        <v>France entière</v>
      </c>
      <c r="K20" s="31"/>
      <c r="P20" s="10"/>
      <c r="T20" t="s">
        <v>952</v>
      </c>
      <c r="U20" s="1027"/>
    </row>
    <row r="21" spans="1:21">
      <c r="A21" s="10">
        <f t="shared" si="0"/>
        <v>10</v>
      </c>
      <c r="B21" t="str">
        <f>Produits!$B$12</f>
        <v>Issues de silo</v>
      </c>
      <c r="C21" t="str">
        <f>Secteurs!$B$47</f>
        <v>Elimination/Pertes</v>
      </c>
      <c r="G21" t="str">
        <f>Etiquettes!$C$3</f>
        <v>kt</v>
      </c>
      <c r="H21" s="21" t="s">
        <v>917</v>
      </c>
      <c r="I21" s="21" t="str">
        <f>Etiquettes!$C$5</f>
        <v>2015-16:2019-20:2023-24</v>
      </c>
      <c r="J21" t="str">
        <f>Etiquettes!$C$4</f>
        <v>France entière</v>
      </c>
      <c r="K21" s="31" t="s">
        <v>754</v>
      </c>
      <c r="M21" s="10" t="s">
        <v>1166</v>
      </c>
      <c r="N21" t="s">
        <v>1486</v>
      </c>
      <c r="O21" t="str">
        <f>Etiquettes!$J$11</f>
        <v>Répartition</v>
      </c>
      <c r="Q21" t="str">
        <f>Etiquettes!$K$15</f>
        <v>Approximative</v>
      </c>
      <c r="R21" s="976" t="s">
        <v>1509</v>
      </c>
      <c r="S21" s="976" t="s">
        <v>1475</v>
      </c>
      <c r="U21" s="1027"/>
    </row>
    <row r="22" spans="1:21">
      <c r="A22" s="10">
        <f>A20+1</f>
        <v>11</v>
      </c>
      <c r="B22" t="str">
        <f>Secteurs!$B$4</f>
        <v>OS</v>
      </c>
      <c r="C22" t="str">
        <f>Produits!$B$12</f>
        <v>Issues de silo</v>
      </c>
      <c r="D22" s="888">
        <f>'Issues de silo - ONRB'!$E$25</f>
        <v>0.56330000000000002</v>
      </c>
      <c r="G22" t="str">
        <f>Etiquettes!$C$3</f>
        <v>kt</v>
      </c>
      <c r="H22" s="21" t="s">
        <v>1249</v>
      </c>
      <c r="I22" s="21" t="str">
        <f>Etiquettes!$C$5</f>
        <v>2015-16:2019-20:2023-24</v>
      </c>
      <c r="J22" t="str">
        <f>Etiquettes!$C$4</f>
        <v>France entière</v>
      </c>
      <c r="P22" s="10"/>
      <c r="U22" s="1027"/>
    </row>
    <row r="23" spans="1:21">
      <c r="A23" s="10">
        <f>A21+1</f>
        <v>11</v>
      </c>
      <c r="B23" t="str">
        <f>Produits!$B$12</f>
        <v>Issues de silo</v>
      </c>
      <c r="C23" t="str">
        <f>Secteurs!$B$26</f>
        <v>FAF</v>
      </c>
      <c r="D23">
        <v>-1</v>
      </c>
      <c r="G23" t="str">
        <f>Etiquettes!$C$3</f>
        <v>kt</v>
      </c>
      <c r="H23" s="21" t="s">
        <v>1249</v>
      </c>
      <c r="I23" s="21" t="str">
        <f>Etiquettes!$C$5</f>
        <v>2015-16:2019-20:2023-24</v>
      </c>
      <c r="J23" t="str">
        <f>Etiquettes!$C$4</f>
        <v>France entière</v>
      </c>
      <c r="K23" s="31" t="s">
        <v>748</v>
      </c>
      <c r="L23" s="31" t="s">
        <v>919</v>
      </c>
      <c r="M23" s="10" t="s">
        <v>1166</v>
      </c>
      <c r="N23" t="s">
        <v>1486</v>
      </c>
      <c r="O23" t="str">
        <f>Etiquettes!$J$11</f>
        <v>Répartition</v>
      </c>
      <c r="P23" t="str">
        <f>_xlfn.CONCAT(K23," = ",MROUND(D22*100,0.01)," % (",M23,")")</f>
        <v>Part d'issues de silo consommées par les FAF = 56,33 % (ONRB - FranceAgriMer)</v>
      </c>
      <c r="Q23" t="str">
        <f>Etiquettes!$K$15</f>
        <v>Approximative</v>
      </c>
      <c r="R23" s="976" t="s">
        <v>1509</v>
      </c>
      <c r="S23" s="976" t="s">
        <v>1475</v>
      </c>
      <c r="U23" s="1027"/>
    </row>
    <row r="24" spans="1:21">
      <c r="A24" s="10">
        <f t="shared" si="0"/>
        <v>12</v>
      </c>
      <c r="B24" t="str">
        <f>Secteurs!$B$4</f>
        <v>OS</v>
      </c>
      <c r="C24" t="str">
        <f>Produits!$B$12</f>
        <v>Issues de silo</v>
      </c>
      <c r="D24" s="888">
        <f>'Issues de silo - ONRB'!$H$25</f>
        <v>7.7000000000000002E-3</v>
      </c>
      <c r="G24" t="str">
        <f>Etiquettes!$C$3</f>
        <v>kt</v>
      </c>
      <c r="H24" s="21" t="s">
        <v>1249</v>
      </c>
      <c r="I24" s="21" t="str">
        <f>Etiquettes!$C$5</f>
        <v>2015-16:2019-20:2023-24</v>
      </c>
      <c r="J24" t="str">
        <f>Etiquettes!$C$4</f>
        <v>France entière</v>
      </c>
      <c r="K24" s="31"/>
      <c r="P24" s="10"/>
      <c r="U24" s="1027"/>
    </row>
    <row r="25" spans="1:21">
      <c r="A25" s="10">
        <f t="shared" si="0"/>
        <v>12</v>
      </c>
      <c r="B25" t="str">
        <f>Produits!$B$12</f>
        <v>Issues de silo</v>
      </c>
      <c r="C25" t="str">
        <f>Secteurs!$B$32</f>
        <v>Litière</v>
      </c>
      <c r="D25">
        <v>-1</v>
      </c>
      <c r="G25" t="str">
        <f>Etiquettes!$C$3</f>
        <v>kt</v>
      </c>
      <c r="H25" s="21" t="s">
        <v>1249</v>
      </c>
      <c r="I25" s="21" t="str">
        <f>Etiquettes!$C$5</f>
        <v>2015-16:2019-20:2023-24</v>
      </c>
      <c r="J25" t="str">
        <f>Etiquettes!$C$4</f>
        <v>France entière</v>
      </c>
      <c r="K25" s="31" t="s">
        <v>749</v>
      </c>
      <c r="L25" s="31" t="s">
        <v>919</v>
      </c>
      <c r="M25" s="10" t="s">
        <v>1166</v>
      </c>
      <c r="N25" t="s">
        <v>1486</v>
      </c>
      <c r="O25" t="str">
        <f>Etiquettes!$J$11</f>
        <v>Répartition</v>
      </c>
      <c r="P25" t="str">
        <f>_xlfn.CONCAT(K25," = ",MROUND(D24*100,0.01)," % (",M25,")")</f>
        <v>Part d'issues de silo consommées comme litière = 0,77 % (ONRB - FranceAgriMer)</v>
      </c>
      <c r="Q25" t="str">
        <f>Etiquettes!$K$15</f>
        <v>Approximative</v>
      </c>
      <c r="R25" s="976" t="s">
        <v>1509</v>
      </c>
      <c r="S25" s="976" t="s">
        <v>1475</v>
      </c>
      <c r="U25" s="1027"/>
    </row>
    <row r="26" spans="1:21">
      <c r="A26" s="10">
        <f t="shared" si="0"/>
        <v>13</v>
      </c>
      <c r="B26" t="str">
        <f>Secteurs!$B$4</f>
        <v>OS</v>
      </c>
      <c r="C26" t="str">
        <f>Produits!$B$12</f>
        <v>Issues de silo</v>
      </c>
      <c r="D26" s="888">
        <f>'Issues de silo - ONRB'!$K$25</f>
        <v>0</v>
      </c>
      <c r="G26" t="str">
        <f>Etiquettes!$C$3</f>
        <v>kt</v>
      </c>
      <c r="H26" s="21" t="s">
        <v>1249</v>
      </c>
      <c r="I26" s="21" t="str">
        <f>Etiquettes!$C$5</f>
        <v>2015-16:2019-20:2023-24</v>
      </c>
      <c r="J26" t="str">
        <f>Etiquettes!$C$4</f>
        <v>France entière</v>
      </c>
      <c r="K26" s="31"/>
      <c r="P26" s="10"/>
      <c r="U26" s="1027"/>
    </row>
    <row r="27" spans="1:21">
      <c r="A27" s="10">
        <f t="shared" si="0"/>
        <v>13</v>
      </c>
      <c r="B27" t="str">
        <f>Produits!$B$12</f>
        <v>Issues de silo</v>
      </c>
      <c r="C27" t="str">
        <f>Secteurs!$B$40</f>
        <v>Compostage</v>
      </c>
      <c r="D27">
        <v>-1</v>
      </c>
      <c r="G27" t="str">
        <f>Etiquettes!$C$3</f>
        <v>kt</v>
      </c>
      <c r="H27" s="21" t="s">
        <v>1249</v>
      </c>
      <c r="I27" s="21" t="str">
        <f>Etiquettes!$C$5</f>
        <v>2015-16:2019-20:2023-24</v>
      </c>
      <c r="J27" t="str">
        <f>Etiquettes!$C$4</f>
        <v>France entière</v>
      </c>
      <c r="K27" s="31" t="s">
        <v>750</v>
      </c>
      <c r="L27" s="31" t="s">
        <v>919</v>
      </c>
      <c r="M27" s="10" t="s">
        <v>1166</v>
      </c>
      <c r="N27" t="s">
        <v>1486</v>
      </c>
      <c r="O27" t="str">
        <f>Etiquettes!$J$11</f>
        <v>Répartition</v>
      </c>
      <c r="P27" t="str">
        <f>_xlfn.CONCAT(K27," = ",MROUND(D26*100,0.01)," % (",M27,")")</f>
        <v>Part d'issues de silo compostées = 0 % (ONRB - FranceAgriMer)</v>
      </c>
      <c r="Q27" t="str">
        <f>Etiquettes!$K$15</f>
        <v>Approximative</v>
      </c>
      <c r="R27" s="976" t="s">
        <v>1509</v>
      </c>
      <c r="S27" s="976" t="s">
        <v>1475</v>
      </c>
      <c r="U27" s="1027"/>
    </row>
    <row r="28" spans="1:21">
      <c r="A28" s="10">
        <f t="shared" si="0"/>
        <v>14</v>
      </c>
      <c r="B28" t="str">
        <f>Secteurs!$B$4</f>
        <v>OS</v>
      </c>
      <c r="C28" t="str">
        <f>Produits!$B$12</f>
        <v>Issues de silo</v>
      </c>
      <c r="D28" s="888">
        <f>'Issues de silo - ONRB'!$N$25</f>
        <v>7.7000000000000002E-3</v>
      </c>
      <c r="G28" t="str">
        <f>Etiquettes!$C$3</f>
        <v>kt</v>
      </c>
      <c r="H28" s="21" t="s">
        <v>1249</v>
      </c>
      <c r="I28" s="21" t="str">
        <f>Etiquettes!$C$5</f>
        <v>2015-16:2019-20:2023-24</v>
      </c>
      <c r="J28" t="str">
        <f>Etiquettes!$C$4</f>
        <v>France entière</v>
      </c>
      <c r="K28" s="31"/>
      <c r="P28" s="10"/>
      <c r="U28" s="1027"/>
    </row>
    <row r="29" spans="1:21">
      <c r="A29" s="10">
        <f t="shared" si="0"/>
        <v>14</v>
      </c>
      <c r="B29" t="str">
        <f>Produits!$B$12</f>
        <v>Issues de silo</v>
      </c>
      <c r="C29" t="str">
        <f>Secteurs!$B$33</f>
        <v>Autres biomatériaux</v>
      </c>
      <c r="D29">
        <v>-1</v>
      </c>
      <c r="G29" t="str">
        <f>Etiquettes!$C$3</f>
        <v>kt</v>
      </c>
      <c r="H29" s="21" t="s">
        <v>1249</v>
      </c>
      <c r="I29" s="21" t="str">
        <f>Etiquettes!$C$5</f>
        <v>2015-16:2019-20:2023-24</v>
      </c>
      <c r="J29" t="str">
        <f>Etiquettes!$C$4</f>
        <v>France entière</v>
      </c>
      <c r="K29" s="31" t="s">
        <v>751</v>
      </c>
      <c r="L29" s="31" t="s">
        <v>919</v>
      </c>
      <c r="M29" s="10" t="s">
        <v>1166</v>
      </c>
      <c r="N29" t="s">
        <v>1486</v>
      </c>
      <c r="O29" t="str">
        <f>Etiquettes!$J$11</f>
        <v>Répartition</v>
      </c>
      <c r="P29" t="str">
        <f>_xlfn.CONCAT(K29," = ",MROUND(D28*100,0.01)," % (",M29,")")</f>
        <v>Part d'issues de silo consommées comme autres biomatériaux = 0,77 % (ONRB - FranceAgriMer)</v>
      </c>
      <c r="Q29" t="str">
        <f>Etiquettes!$K$15</f>
        <v>Approximative</v>
      </c>
      <c r="R29" s="976" t="s">
        <v>1509</v>
      </c>
      <c r="S29" s="976" t="s">
        <v>1475</v>
      </c>
      <c r="U29" s="1027"/>
    </row>
    <row r="30" spans="1:21">
      <c r="A30" s="10">
        <f t="shared" si="0"/>
        <v>15</v>
      </c>
      <c r="B30" t="str">
        <f>Secteurs!$B$4</f>
        <v>OS</v>
      </c>
      <c r="C30" t="str">
        <f>Produits!$B$12</f>
        <v>Issues de silo</v>
      </c>
      <c r="D30" s="888">
        <f>'Issues de silo - ONRB'!$Q$25</f>
        <v>0.40720000000000001</v>
      </c>
      <c r="G30" t="str">
        <f>Etiquettes!$C$3</f>
        <v>kt</v>
      </c>
      <c r="H30" s="21" t="s">
        <v>1249</v>
      </c>
      <c r="I30" s="21" t="str">
        <f>Etiquettes!$C$5</f>
        <v>2015-16:2019-20:2023-24</v>
      </c>
      <c r="J30" t="str">
        <f>Etiquettes!$C$4</f>
        <v>France entière</v>
      </c>
      <c r="K30" s="31"/>
      <c r="P30" s="10"/>
      <c r="U30" s="1027"/>
    </row>
    <row r="31" spans="1:21">
      <c r="A31" s="10">
        <f t="shared" si="0"/>
        <v>15</v>
      </c>
      <c r="B31" t="str">
        <f>Produits!$B$12</f>
        <v>Issues de silo</v>
      </c>
      <c r="C31" t="str">
        <f>Secteurs!$B$36</f>
        <v>Méthanisation</v>
      </c>
      <c r="D31">
        <v>-1</v>
      </c>
      <c r="G31" t="str">
        <f>Etiquettes!$C$3</f>
        <v>kt</v>
      </c>
      <c r="H31" s="21" t="s">
        <v>1249</v>
      </c>
      <c r="I31" s="21" t="str">
        <f>Etiquettes!$C$5</f>
        <v>2015-16:2019-20:2023-24</v>
      </c>
      <c r="J31" t="str">
        <f>Etiquettes!$C$4</f>
        <v>France entière</v>
      </c>
      <c r="K31" s="31" t="s">
        <v>752</v>
      </c>
      <c r="L31" s="31" t="s">
        <v>919</v>
      </c>
      <c r="M31" s="10" t="s">
        <v>1166</v>
      </c>
      <c r="N31" t="s">
        <v>1486</v>
      </c>
      <c r="O31" t="str">
        <f>Etiquettes!$J$11</f>
        <v>Répartition</v>
      </c>
      <c r="P31" t="str">
        <f>_xlfn.CONCAT(K31," = ",MROUND(D30*100,0.01)," % (",M31,")")</f>
        <v>Part d'issues de silo consommées en méthanisation = 40,72 % (ONRB - FranceAgriMer)</v>
      </c>
      <c r="Q31" t="str">
        <f>Etiquettes!$K$15</f>
        <v>Approximative</v>
      </c>
      <c r="R31" s="976" t="s">
        <v>1509</v>
      </c>
      <c r="S31" s="976" t="s">
        <v>1475</v>
      </c>
      <c r="U31" s="1027"/>
    </row>
    <row r="32" spans="1:21">
      <c r="A32" s="10">
        <f t="shared" si="0"/>
        <v>16</v>
      </c>
      <c r="B32" t="str">
        <f>Secteurs!$B$4</f>
        <v>OS</v>
      </c>
      <c r="C32" t="str">
        <f>Produits!$B$12</f>
        <v>Issues de silo</v>
      </c>
      <c r="D32" s="888">
        <f>'Issues de silo - ONRB'!$T$25</f>
        <v>1.03E-2</v>
      </c>
      <c r="G32" t="str">
        <f>Etiquettes!$C$3</f>
        <v>kt</v>
      </c>
      <c r="H32" s="21" t="s">
        <v>1249</v>
      </c>
      <c r="I32" s="21" t="str">
        <f>Etiquettes!$C$5</f>
        <v>2015-16:2019-20:2023-24</v>
      </c>
      <c r="J32" t="str">
        <f>Etiquettes!$C$4</f>
        <v>France entière</v>
      </c>
      <c r="K32" s="31"/>
      <c r="P32" s="10"/>
      <c r="U32" s="1027"/>
    </row>
    <row r="33" spans="1:21">
      <c r="A33" s="10">
        <f t="shared" si="0"/>
        <v>16</v>
      </c>
      <c r="B33" t="str">
        <f>Produits!$B$12</f>
        <v>Issues de silo</v>
      </c>
      <c r="C33" t="str">
        <f>Secteurs!$B$37</f>
        <v>Combustion</v>
      </c>
      <c r="D33">
        <v>-1</v>
      </c>
      <c r="G33" t="str">
        <f>Etiquettes!$C$3</f>
        <v>kt</v>
      </c>
      <c r="H33" s="21" t="s">
        <v>1249</v>
      </c>
      <c r="I33" s="21" t="str">
        <f>Etiquettes!$C$5</f>
        <v>2015-16:2019-20:2023-24</v>
      </c>
      <c r="J33" t="str">
        <f>Etiquettes!$C$4</f>
        <v>France entière</v>
      </c>
      <c r="K33" s="31" t="s">
        <v>753</v>
      </c>
      <c r="L33" s="31" t="s">
        <v>919</v>
      </c>
      <c r="M33" s="10" t="s">
        <v>1166</v>
      </c>
      <c r="N33" t="s">
        <v>1486</v>
      </c>
      <c r="O33" t="str">
        <f>Etiquettes!$J$11</f>
        <v>Répartition</v>
      </c>
      <c r="P33" t="str">
        <f>_xlfn.CONCAT(K33," = ",MROUND(D32*100,0.01)," % (",M33,")")</f>
        <v>Part d'issues de silo brûlées = 1,03 % (ONRB - FranceAgriMer)</v>
      </c>
      <c r="Q33" t="str">
        <f>Etiquettes!$K$15</f>
        <v>Approximative</v>
      </c>
      <c r="R33" s="976" t="s">
        <v>1509</v>
      </c>
      <c r="S33" s="976" t="s">
        <v>1475</v>
      </c>
      <c r="U33" s="1027"/>
    </row>
    <row r="34" spans="1:21">
      <c r="A34" s="10">
        <f t="shared" si="0"/>
        <v>17</v>
      </c>
      <c r="B34" t="str">
        <f>Secteurs!$B$4</f>
        <v>OS</v>
      </c>
      <c r="C34" t="str">
        <f>Produits!$B$12</f>
        <v>Issues de silo</v>
      </c>
      <c r="D34" s="888"/>
      <c r="G34" t="str">
        <f>Etiquettes!$C$3</f>
        <v>kt</v>
      </c>
      <c r="H34" s="21" t="s">
        <v>1249</v>
      </c>
      <c r="I34" s="21" t="str">
        <f>Etiquettes!$C$5</f>
        <v>2015-16:2019-20:2023-24</v>
      </c>
      <c r="J34" t="str">
        <f>Etiquettes!$C$4</f>
        <v>France entière</v>
      </c>
      <c r="K34" s="31"/>
      <c r="P34" s="10"/>
      <c r="T34" t="s">
        <v>952</v>
      </c>
      <c r="U34" s="1027"/>
    </row>
    <row r="35" spans="1:21">
      <c r="A35" s="10">
        <f t="shared" si="0"/>
        <v>17</v>
      </c>
      <c r="B35" t="str">
        <f>Produits!$B$12</f>
        <v>Issues de silo</v>
      </c>
      <c r="C35" t="str">
        <f>Secteurs!$B$47</f>
        <v>Elimination/Pertes</v>
      </c>
      <c r="G35" t="str">
        <f>Etiquettes!$C$3</f>
        <v>kt</v>
      </c>
      <c r="H35" s="21" t="s">
        <v>1249</v>
      </c>
      <c r="I35" s="21" t="str">
        <f>Etiquettes!$C$5</f>
        <v>2015-16:2019-20:2023-24</v>
      </c>
      <c r="J35" t="str">
        <f>Etiquettes!$C$4</f>
        <v>France entière</v>
      </c>
      <c r="K35" s="31" t="s">
        <v>754</v>
      </c>
      <c r="L35" s="31" t="s">
        <v>919</v>
      </c>
      <c r="M35" s="10" t="s">
        <v>1166</v>
      </c>
      <c r="N35" t="s">
        <v>1486</v>
      </c>
      <c r="O35" t="str">
        <f>Etiquettes!$J$11</f>
        <v>Répartition</v>
      </c>
      <c r="Q35" t="str">
        <f>Etiquettes!$K$15</f>
        <v>Approximative</v>
      </c>
      <c r="R35" s="976" t="s">
        <v>1509</v>
      </c>
      <c r="S35" s="976" t="s">
        <v>1475</v>
      </c>
      <c r="U35" s="1027"/>
    </row>
  </sheetData>
  <mergeCells count="2">
    <mergeCell ref="U2:U7"/>
    <mergeCell ref="U8:U3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7836B-3621-4E47-884E-2AE0A10F3181}">
  <sheetPr>
    <tabColor rgb="FFD7D200"/>
  </sheetPr>
  <dimension ref="A1:E65"/>
  <sheetViews>
    <sheetView workbookViewId="0">
      <selection activeCell="C27" sqref="C27"/>
    </sheetView>
  </sheetViews>
  <sheetFormatPr baseColWidth="10" defaultColWidth="11.44140625" defaultRowHeight="14.4"/>
  <cols>
    <col min="1" max="1" width="36.33203125" style="982" bestFit="1" customWidth="1"/>
    <col min="2" max="2" width="11.44140625" style="990"/>
    <col min="3" max="16384" width="11.44140625" style="982"/>
  </cols>
  <sheetData>
    <row r="1" spans="1:5" ht="23.4">
      <c r="A1" s="989" t="s">
        <v>1521</v>
      </c>
    </row>
    <row r="2" spans="1:5">
      <c r="B2" s="991" t="s">
        <v>1522</v>
      </c>
    </row>
    <row r="3" spans="1:5">
      <c r="A3" s="992" t="s">
        <v>1523</v>
      </c>
    </row>
    <row r="4" spans="1:5">
      <c r="A4" s="993" t="s">
        <v>1511</v>
      </c>
      <c r="B4" s="994"/>
      <c r="E4" s="988"/>
    </row>
    <row r="5" spans="1:5">
      <c r="A5" s="993" t="s">
        <v>1521</v>
      </c>
    </row>
    <row r="6" spans="1:5">
      <c r="A6" s="993" t="s">
        <v>1524</v>
      </c>
    </row>
    <row r="7" spans="1:5">
      <c r="A7" s="995"/>
    </row>
    <row r="8" spans="1:5">
      <c r="A8" s="992" t="s">
        <v>1525</v>
      </c>
    </row>
    <row r="9" spans="1:5">
      <c r="A9" s="993" t="s">
        <v>1526</v>
      </c>
      <c r="B9" s="990" t="s">
        <v>1527</v>
      </c>
    </row>
    <row r="10" spans="1:5">
      <c r="A10" s="993" t="s">
        <v>1528</v>
      </c>
      <c r="B10" s="990" t="str">
        <f>Produits!B1</f>
        <v>Liste des produits</v>
      </c>
      <c r="D10" s="993"/>
    </row>
    <row r="11" spans="1:5">
      <c r="A11" s="993" t="s">
        <v>1529</v>
      </c>
      <c r="B11" s="990" t="str">
        <f>Secteurs!B1</f>
        <v>Liste des secteurs</v>
      </c>
    </row>
    <row r="12" spans="1:5">
      <c r="A12" s="993" t="s">
        <v>156</v>
      </c>
    </row>
    <row r="13" spans="1:5">
      <c r="A13" s="1025" t="s">
        <v>1658</v>
      </c>
    </row>
    <row r="14" spans="1:5">
      <c r="A14" s="993" t="s">
        <v>1530</v>
      </c>
    </row>
    <row r="15" spans="1:5">
      <c r="A15" s="993" t="s">
        <v>1531</v>
      </c>
    </row>
    <row r="16" spans="1:5">
      <c r="A16" s="993" t="s">
        <v>1532</v>
      </c>
    </row>
    <row r="17" spans="1:1">
      <c r="A17" s="993" t="s">
        <v>1533</v>
      </c>
    </row>
    <row r="18" spans="1:1">
      <c r="A18" s="993" t="s">
        <v>1536</v>
      </c>
    </row>
    <row r="19" spans="1:1">
      <c r="A19" s="993" t="s">
        <v>1534</v>
      </c>
    </row>
    <row r="20" spans="1:1">
      <c r="A20" s="993" t="s">
        <v>1535</v>
      </c>
    </row>
    <row r="21" spans="1:1">
      <c r="A21" s="993" t="s">
        <v>1537</v>
      </c>
    </row>
    <row r="22" spans="1:1">
      <c r="A22" s="993" t="s">
        <v>1538</v>
      </c>
    </row>
    <row r="23" spans="1:1">
      <c r="A23" s="993" t="s">
        <v>1540</v>
      </c>
    </row>
    <row r="24" spans="1:1">
      <c r="A24" s="996" t="s">
        <v>1539</v>
      </c>
    </row>
    <row r="25" spans="1:1">
      <c r="A25" s="993" t="s">
        <v>1541</v>
      </c>
    </row>
    <row r="26" spans="1:1">
      <c r="A26" s="996" t="s">
        <v>1542</v>
      </c>
    </row>
    <row r="27" spans="1:1">
      <c r="A27" s="1025" t="s">
        <v>1542</v>
      </c>
    </row>
    <row r="28" spans="1:1">
      <c r="A28" s="1025" t="s">
        <v>1659</v>
      </c>
    </row>
    <row r="29" spans="1:1">
      <c r="A29" s="1025" t="s">
        <v>1660</v>
      </c>
    </row>
    <row r="30" spans="1:1">
      <c r="A30" s="1025" t="s">
        <v>1661</v>
      </c>
    </row>
    <row r="31" spans="1:1">
      <c r="A31" s="1025" t="s">
        <v>1662</v>
      </c>
    </row>
    <row r="32" spans="1:1">
      <c r="A32" s="1025" t="s">
        <v>1663</v>
      </c>
    </row>
    <row r="33" spans="1:2">
      <c r="A33" s="1025" t="s">
        <v>1664</v>
      </c>
    </row>
    <row r="34" spans="1:2">
      <c r="A34" s="1025" t="s">
        <v>1665</v>
      </c>
    </row>
    <row r="35" spans="1:2">
      <c r="A35" s="1025" t="s">
        <v>1666</v>
      </c>
    </row>
    <row r="36" spans="1:2">
      <c r="A36" s="1025" t="s">
        <v>1667</v>
      </c>
    </row>
    <row r="37" spans="1:2">
      <c r="A37" s="1025" t="s">
        <v>1668</v>
      </c>
    </row>
    <row r="38" spans="1:2">
      <c r="A38" s="993"/>
    </row>
    <row r="39" spans="1:2">
      <c r="A39" s="992" t="s">
        <v>1543</v>
      </c>
    </row>
    <row r="40" spans="1:2">
      <c r="A40" s="1025" t="s">
        <v>1480</v>
      </c>
      <c r="B40" s="997" t="str">
        <f>'Bilans Colza - FAM'!B1</f>
        <v>BILAN COLZA</v>
      </c>
    </row>
    <row r="41" spans="1:2">
      <c r="A41" s="1025" t="s">
        <v>1481</v>
      </c>
      <c r="B41" s="997" t="str">
        <f>'BIlans Tournesol - FAM'!B1</f>
        <v>BILAN TOURNESOL</v>
      </c>
    </row>
    <row r="42" spans="1:2">
      <c r="A42" s="1025" t="s">
        <v>1482</v>
      </c>
      <c r="B42" s="997" t="str">
        <f>'Bilans Soja - FAM'!B1</f>
        <v>BILAN SOJA</v>
      </c>
    </row>
    <row r="43" spans="1:2">
      <c r="A43" s="1025" t="s">
        <v>1484</v>
      </c>
      <c r="B43" s="997" t="str">
        <f>'Bilans Pois - FAM'!B1</f>
        <v>BILAN POIS</v>
      </c>
    </row>
    <row r="44" spans="1:2">
      <c r="A44" s="1025" t="s">
        <v>1485</v>
      </c>
      <c r="B44" s="997" t="str">
        <f>'Bilans Féverole - FAM'!B1</f>
        <v>BILAN FEVEROLE</v>
      </c>
    </row>
    <row r="45" spans="1:2">
      <c r="A45" s="1025" t="s">
        <v>1486</v>
      </c>
      <c r="B45" s="997" t="str">
        <f>'Issues de silo - ONRB'!B2</f>
        <v>Ratios d'issues des oléagineux et protéagineux et ventilation de leurs débouchés</v>
      </c>
    </row>
    <row r="46" spans="1:2">
      <c r="A46" s="1025" t="s">
        <v>1487</v>
      </c>
      <c r="B46" s="990" t="str">
        <f>'Pertes ferme - TERRES UNIVIA'!C5</f>
        <v>Pertes à la ferme</v>
      </c>
    </row>
    <row r="47" spans="1:2">
      <c r="A47" s="1025" t="s">
        <v>1488</v>
      </c>
      <c r="B47" s="990" t="str">
        <f>'Semences fermières - AGRESTE'!B2</f>
        <v>Part de surface utilisant des semences certifiées, fermières ou les 2</v>
      </c>
    </row>
    <row r="48" spans="1:2">
      <c r="A48" s="1025" t="s">
        <v>1489</v>
      </c>
      <c r="B48" s="990" t="str">
        <f>'Comext mensuel - EUROSTAT'!B2</f>
        <v>Commerce UE depuis 1988 par SH2,4,6 et NC8 [ds-045409__custom_16253793]</v>
      </c>
    </row>
    <row r="49" spans="1:2">
      <c r="A49" s="1025" t="s">
        <v>1490</v>
      </c>
      <c r="B49" s="990" t="str">
        <f>'Comext annuel - EUROSTAT'!B2</f>
        <v>Commerce UE depuis 1988 par SH2,4,6 et NC8 [ds-045409__custom_15453478]</v>
      </c>
    </row>
    <row r="50" spans="1:2">
      <c r="A50" s="1025" t="s">
        <v>1491</v>
      </c>
    </row>
    <row r="51" spans="1:2">
      <c r="A51" s="1025" t="s">
        <v>1492</v>
      </c>
    </row>
    <row r="52" spans="1:2">
      <c r="A52" s="1025" t="s">
        <v>1493</v>
      </c>
    </row>
    <row r="53" spans="1:2">
      <c r="A53" s="1025" t="s">
        <v>1494</v>
      </c>
    </row>
    <row r="54" spans="1:2">
      <c r="A54" s="1025" t="s">
        <v>1495</v>
      </c>
    </row>
    <row r="55" spans="1:2">
      <c r="A55" s="1025" t="s">
        <v>1496</v>
      </c>
    </row>
    <row r="56" spans="1:2">
      <c r="A56" s="1025" t="s">
        <v>1483</v>
      </c>
    </row>
    <row r="57" spans="1:2">
      <c r="A57" s="1025" t="s">
        <v>1499</v>
      </c>
    </row>
    <row r="58" spans="1:2">
      <c r="A58" s="1025" t="s">
        <v>1500</v>
      </c>
    </row>
    <row r="59" spans="1:2">
      <c r="A59" s="1025" t="s">
        <v>1497</v>
      </c>
    </row>
    <row r="60" spans="1:2">
      <c r="A60" s="1025" t="s">
        <v>1498</v>
      </c>
    </row>
    <row r="61" spans="1:2">
      <c r="A61" s="1025" t="s">
        <v>1502</v>
      </c>
    </row>
    <row r="62" spans="1:2">
      <c r="A62" s="1025" t="s">
        <v>1503</v>
      </c>
    </row>
    <row r="63" spans="1:2">
      <c r="A63" s="1025" t="s">
        <v>1504</v>
      </c>
    </row>
    <row r="64" spans="1:2">
      <c r="A64" s="1025" t="s">
        <v>1505</v>
      </c>
    </row>
    <row r="65" spans="1:1">
      <c r="A65" s="1025" t="s">
        <v>1506</v>
      </c>
    </row>
  </sheetData>
  <hyperlinks>
    <hyperlink ref="A4" location="'Informations générales'!A1" display="Informations générales" xr:uid="{0D66B14A-2D7F-40E1-BAA4-B2EE315EC432}"/>
    <hyperlink ref="A5" location="SOMMAIRE!A1" display="SOMMAIRE" xr:uid="{3561D35C-360F-44CA-A2DB-F2EB1FAA8BD0}"/>
    <hyperlink ref="A6" location="'Lecture du fichier'!A1" display="Lecture du fichier" xr:uid="{96CBC683-43C0-4914-B148-944F6E01CC5B}"/>
    <hyperlink ref="A9" location="Etiquettes!A1" display="Etiquettes" xr:uid="{D39B25F7-AD95-4FAB-9B04-C9DDD13E9294}"/>
    <hyperlink ref="A10" location="Produits!A1" display="Produits" xr:uid="{318195D4-5EB0-4D0A-BD1A-DBB53CAB4363}"/>
    <hyperlink ref="A11" location="Secteurs!A1" display="Secteurs" xr:uid="{4EDCEEB0-5882-482F-A42C-E6E55350ADBA}"/>
    <hyperlink ref="A12" location="Données!A1" display="Données" xr:uid="{C01D12DE-5340-47DB-B7CA-B50217C03019}"/>
    <hyperlink ref="A14" location="'Données '!A1" display="Données " xr:uid="{027A34ED-B6AC-47E1-9614-761B5239E959}"/>
    <hyperlink ref="A15" location="'Données  '!A1" display="Données  " xr:uid="{930D1D38-E37B-408F-AAD5-BC9299EF61C3}"/>
    <hyperlink ref="A16" location="'Données   '!A1" display="Données   " xr:uid="{AD6E5712-AD9B-472A-B169-12C14B6356D6}"/>
    <hyperlink ref="A17" location="'Données    '!A1" display="Données    " xr:uid="{3D361D03-2CDE-44EB-92D4-B514AA373C5D}"/>
    <hyperlink ref="A19" location="Contraintes!A1" display="Contraintes" xr:uid="{DDCABB98-2F10-495B-B13C-0FC1A844EFA9}"/>
    <hyperlink ref="A20" location="'Contraintes '!A1" display="Contraintes       " xr:uid="{78FBD3D9-3F98-47A0-92DF-13BD92BE3E35}"/>
    <hyperlink ref="A18" location="'Données     '!A1" display="Données     " xr:uid="{D8BEFDE4-5738-4A3F-BE34-0DB9DFC4987C}"/>
    <hyperlink ref="A21" location="'Contraintes  '!A1" display="Contraintes  " xr:uid="{E80D802C-78D9-43FD-9775-D1B5DFEE7765}"/>
    <hyperlink ref="A22" location="'Données      '!A1" display="Données      " xr:uid="{791A65C5-ED87-4796-9F63-12B884BDBB6E}"/>
    <hyperlink ref="A24" location="'Contraintes   '!A1" display="Contraintes   " xr:uid="{84ABE087-4CF2-4714-AD6F-CC3B8FC56663}"/>
    <hyperlink ref="A23" location="'Données        '!A1" display="Données        " xr:uid="{B8AA61D6-DE26-4EE8-BE2A-5709A74D525F}"/>
    <hyperlink ref="A25" location="'Contraintes    '!A1" display="Contraintes    " xr:uid="{0DDB9A4F-EA88-4051-9E15-8F034532B514}"/>
    <hyperlink ref="A26" location="'Données         '!A1" display="Données         " xr:uid="{003D6410-7992-4C3D-9991-90E0547F76D8}"/>
    <hyperlink ref="A13" location="' Données'!A1" display="' Données'!A1" xr:uid="{E74343A7-7210-4B4A-BBAF-9569E19B7D11}"/>
    <hyperlink ref="A27" location="'Données         '!A1" display="'Données         '!A1" xr:uid="{D32DDE95-0D0D-4A83-A87B-AB886DA61578}"/>
    <hyperlink ref="A28" location="'Données          '!A1" display="'Données          '!A1" xr:uid="{19B28D2F-B106-43F8-85FD-70781F0E312F}"/>
    <hyperlink ref="A29" location="'Données           '!A1" display="'Données           '!A1" xr:uid="{D43EE1B5-BE5F-4D3F-BB00-35592F830B96}"/>
    <hyperlink ref="A30" location="'Contraintes     '!A1" display="'Contraintes     '!A1" xr:uid="{08BDB396-7AFB-40C3-89D6-A4C7E395E662}"/>
    <hyperlink ref="A31" location="'Données            '!A1" display="'Données            '!A1" xr:uid="{D74EE6BE-F19E-441D-BCDA-058D1B1872DA}"/>
    <hyperlink ref="A32" location="'Contraintes      '!A1" display="'Contraintes      '!A1" xr:uid="{E706C2A7-C7A2-4259-8571-B731F1AD0B0A}"/>
    <hyperlink ref="A33" location="'Contraintes       '!A1" display="'Contraintes       '!A1" xr:uid="{263ACD61-DB53-40F2-9260-2D1A16944D9F}"/>
    <hyperlink ref="A34" location="'Contraintes        '!A1" display="'Contraintes        '!A1" xr:uid="{54D6CD1C-D0AA-421D-ACF7-E11BCABDD5E8}"/>
    <hyperlink ref="A35" location="'Contraintes         '!A1" display="'Contraintes         '!A1" xr:uid="{25B6B826-85CB-481F-A465-EE745C60907E}"/>
    <hyperlink ref="A36" location="'Contraintes          '!A1" display="'Contraintes          '!A1" xr:uid="{56A03116-F254-4F82-8CFB-405906680654}"/>
    <hyperlink ref="A37" location="'Données              '!A1" display="'Données              '!A1" xr:uid="{BE5E1923-69F5-413A-ACAA-3A8699132FF6}"/>
    <hyperlink ref="A40" location="'Bilans Colza - FAM'!A1" display="'Bilans Colza - FAM'!A1" xr:uid="{0BE86511-EF6B-4BB0-8F48-CBD252426B6C}"/>
    <hyperlink ref="A41" location="'BIlans Tournesol - FAM'!A1" display="'BIlans Tournesol - FAM'!A1" xr:uid="{A016C06D-605B-44E5-BA31-BFE112337EDD}"/>
    <hyperlink ref="A42" location="'Bilans Soja - FAM'!A1" display="'Bilans Soja - FAM'!A1" xr:uid="{A87EA336-63DA-47D7-BBBC-808A296E4462}"/>
    <hyperlink ref="A43" location="'Bilans Pois - FAM'!A1" display="'Bilans Pois - FAM'!A1" xr:uid="{C15EACFF-5D79-4DF9-948D-89B07AAB18F3}"/>
    <hyperlink ref="A44" location="'Bilans Féverole - FAM'!A1" display="'Bilans Féverole - FAM'!A1" xr:uid="{08C182BD-50E6-475E-A5F9-60EC99211D24}"/>
    <hyperlink ref="A45" location="'Issues de silo - ONRB'!A1" display="'Issues de silo - ONRB'!A1" xr:uid="{07EBD81C-64FA-401E-A208-D8B10D8ED00B}"/>
    <hyperlink ref="A46" location="'Pertes ferme - TERRES UNIVIA'!A1" display="'Pertes ferme - TERRES UNIVIA'!A1" xr:uid="{8EA7BEF9-099A-43D0-8E95-26B6E048B64D}"/>
    <hyperlink ref="A47" location="'Semences fermières - AGRESTE'!A1" display="'Semences fermières - AGRESTE'!A1" xr:uid="{8F1D9310-72D1-40F4-8982-F3CA8034BD11}"/>
    <hyperlink ref="A48" location="'Comext mensuel - EUROSTAT'!A1" display="'Comext mensuel - EUROSTAT'!A1" xr:uid="{EFF615EA-4018-42F1-9CC3-8B181320F9E3}"/>
    <hyperlink ref="A49" location="'Comext annuel - EUROSTAT'!A1" display="'Comext annuel - EUROSTAT'!A1" xr:uid="{5FB86EEB-12E9-495B-A5E8-7A971143DAC8}"/>
    <hyperlink ref="A50" location="'Huiles et tourteaux - FEDIOL'!A1" display="'Huiles et tourteaux - FEDIOL'!A1" xr:uid="{AAEAA9BB-9B8D-4177-B042-5C10F3A34EDA}"/>
    <hyperlink ref="A51" location="'Usages tourteaux - ONRB'!A1" display="'Usages tourteaux - ONRB'!A1" xr:uid="{F04DE445-5945-4070-992D-152B01B02E65}"/>
    <hyperlink ref="A52" location="'Biocarburants - CARBURE'!A1" display="'Biocarburants - CARBURE'!A1" xr:uid="{C823D259-6971-4AC9-ACFB-91AEAE9DC7DE}"/>
    <hyperlink ref="A53" location="'Conso huile GMS -NIELSEN'!A1" display="'Conso huile GMS -NIELSEN'!A1" xr:uid="{F4D7DA70-87F7-45FC-8665-0D59F97DC33E}"/>
    <hyperlink ref="A54" location="'Marché olive - AFIDOL, FAM'!A1" display="'Marché olive - AFIDOL, FAM'!A1" xr:uid="{ACBE3ABE-645C-48D6-89AD-22BB963C579E}"/>
    <hyperlink ref="A55" location="'Récoltes olive - AGRESTE'!A1" display="'Récoltes olive - AGRESTE'!A1" xr:uid="{F9C9669A-ADE9-4666-B664-939EBB00ECD0}"/>
    <hyperlink ref="A56" location="'Récoltes - AGRESTE'!A1" display="'Récoltes - AGRESTE'!A1" xr:uid="{A5058300-FE5D-4B12-9C76-591D8900AFB3}"/>
    <hyperlink ref="A57" location="'Collectes, stocks - FAM'!A1" display="'Collectes, stocks - FAM'!A1" xr:uid="{FD0C7086-0DBE-4C6B-9D1F-AAA1AA0C4D48}"/>
    <hyperlink ref="A58" location="'Collectes, stocks protéa - FAM'!A1" display="'Collectes, stocks protéa - FAM'!A1" xr:uid="{5A52E35C-6946-4E77-B73B-5D69E5A4344F}"/>
    <hyperlink ref="A59" location="'FAB - FAM'!A1" display="'FAB - FAM'!A1" xr:uid="{5C02FCEF-1EF4-4A5E-904E-8B51A116F906}"/>
    <hyperlink ref="A60" location="'FAB protéagineux - FAM'!A1" display="'FAB protéagineux - FAM'!A1" xr:uid="{A0296657-E718-43B8-AB02-A6E9ABF8F824}"/>
    <hyperlink ref="A61" location="'Consommation - OléoProtéines'!A1" display="'Consommation - OléoProtéines'!A1" xr:uid="{28FEE26E-5D05-4D4C-9B19-D2BCD6A36A2B}"/>
    <hyperlink ref="A62" location="'Fab. ingrédients - Diverses'!A1" display="'Fab. ingrédients - Diverses'!A1" xr:uid="{B3468B6D-8796-422F-B8AF-648069A43D0F}"/>
    <hyperlink ref="A63" location="'Rend. trituration-TERRES UNIVIA'!A1" display="'Rend. trituration-TERRES UNIVIA'!A1" xr:uid="{6EA49193-DACB-4841-99E7-FB489193ACFD}"/>
    <hyperlink ref="A64" location="'Usages huiles - TERRES UNIVIA'!A1" display="'Usages huiles - TERRES UNIVIA'!A1" xr:uid="{485E3DB9-FDD6-4330-9981-5B3C1EA68F55}"/>
    <hyperlink ref="A65" location="'Usages tourteaux -TERRES UNIVIA'!A1" display="'Usages tourteaux -TERRES UNIVIA'!A1" xr:uid="{F57F66CD-7067-46C8-9311-7D276CF2EAC3}"/>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E6F0E-31A8-4150-8218-24AD47E1393C}">
  <sheetPr>
    <tabColor theme="1"/>
  </sheetPr>
  <dimension ref="A1:Q52"/>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18">_xlfn._xlws.FILTER(Contraintes!G1:S200,ISTEXT(Contraintes!O1:O200))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18">_xlfn._xlws.FILTER(Contraintes!B2:C200,ISTEXT(Contraintes!O2:O200))</f>
        <v>OS</v>
      </c>
      <c r="B2" t="str">
        <v>Issues de silo</v>
      </c>
      <c r="E2" t="str">
        <v>kt</v>
      </c>
      <c r="F2" t="str">
        <v>Colza:Tournesol:Soja:Lin</v>
      </c>
      <c r="G2" t="str">
        <v>2015-16:2019-20:2023-24</v>
      </c>
      <c r="H2" t="str">
        <v>France entière</v>
      </c>
      <c r="I2" t="str">
        <v>Ratio d'issues de silo</v>
      </c>
      <c r="J2">
        <v>0</v>
      </c>
      <c r="K2" t="str">
        <v>ONRB - FranceAgriMer</v>
      </c>
      <c r="L2" t="str">
        <v>Issues de silo - ONRB</v>
      </c>
      <c r="M2" t="str">
        <v>Rendement</v>
      </c>
      <c r="N2" t="str">
        <v>Ratio d'issues de silo = 1,7 % (ONRB - FranceAgriMer)</v>
      </c>
      <c r="O2" t="str">
        <v>Approximative</v>
      </c>
      <c r="P2" t="str">
        <v>Données collectées:Données déterminées</v>
      </c>
      <c r="Q2" t="str">
        <v>Donnée collectée (valeur du flux ou coefficient)</v>
      </c>
    </row>
    <row r="3" spans="1:17">
      <c r="A3" t="str">
        <v>OS</v>
      </c>
      <c r="B3" t="str">
        <v>Issues de silo</v>
      </c>
      <c r="E3" t="str">
        <v>kt</v>
      </c>
      <c r="F3" t="str">
        <v>Pois:Féverole</v>
      </c>
      <c r="G3" t="str">
        <v>2015-16:2019-20:2023-24</v>
      </c>
      <c r="H3" t="str">
        <v>France entière</v>
      </c>
      <c r="I3" t="str">
        <v>Ratio d'issues de silo</v>
      </c>
      <c r="J3">
        <v>0</v>
      </c>
      <c r="K3" t="str">
        <v>ONRB - FranceAgriMer</v>
      </c>
      <c r="L3" t="str">
        <v>Issues de silo - ONRB</v>
      </c>
      <c r="M3" t="str">
        <v>Rendement</v>
      </c>
      <c r="N3" t="str">
        <v>Ratio d'issues de silo = 1 % (ONRB - FranceAgriMer)</v>
      </c>
      <c r="O3" t="str">
        <v>Approximative</v>
      </c>
      <c r="P3" t="str">
        <v>Données collectées:Données déterminées</v>
      </c>
      <c r="Q3" t="str">
        <v>Donnée collectée (valeur du flux ou coefficient)</v>
      </c>
    </row>
    <row r="4" spans="1:17">
      <c r="A4" t="str">
        <v>OS</v>
      </c>
      <c r="B4" t="str">
        <v>Issues de silo</v>
      </c>
      <c r="E4" t="str">
        <v>kt</v>
      </c>
      <c r="F4" t="str">
        <v>Lupin:Lentille:Pois chiche:Haricot sec</v>
      </c>
      <c r="G4" t="str">
        <v>2015-16:2019-20:2023-24</v>
      </c>
      <c r="H4" t="str">
        <v>France entière</v>
      </c>
      <c r="I4" t="str">
        <v>Ratio d'issues de silo</v>
      </c>
      <c r="J4" t="str">
        <v>Même ratio d'issues de silo que les pois et fèveroles</v>
      </c>
      <c r="K4" t="str">
        <v>ONRB - FranceAgriMer</v>
      </c>
      <c r="L4" t="str">
        <v>Issues de silo - ONRB</v>
      </c>
      <c r="M4" t="str">
        <v>Rendement</v>
      </c>
      <c r="N4" t="str">
        <v>Ratio d'issues de silo = 1 % (ONRB - FranceAgriMer)</v>
      </c>
      <c r="O4" t="str">
        <v>Approximative</v>
      </c>
      <c r="P4" t="str">
        <v>Données collectées:Données déterminées</v>
      </c>
      <c r="Q4" t="str">
        <v>Donnée collectée (valeur du flux ou coefficient)</v>
      </c>
    </row>
    <row r="5" spans="1:17">
      <c r="A5" t="str">
        <v>Issues de silo</v>
      </c>
      <c r="B5" t="str">
        <v>FAF</v>
      </c>
      <c r="E5" t="str">
        <v>kt</v>
      </c>
      <c r="F5" t="str">
        <v>Colza:Tournesol:Soja:Lin:Pois:Fèverole</v>
      </c>
      <c r="G5" t="str">
        <v>2015-16:2019-20:2023-24</v>
      </c>
      <c r="H5" t="str">
        <v>France entière</v>
      </c>
      <c r="I5" t="str">
        <v>Part d'issues de silo consommées par les FAF</v>
      </c>
      <c r="J5">
        <v>0</v>
      </c>
      <c r="K5" t="str">
        <v>ONRB - FranceAgriMer</v>
      </c>
      <c r="L5" t="str">
        <v>Issues de silo - ONRB</v>
      </c>
      <c r="M5" t="str">
        <v>Répartition</v>
      </c>
      <c r="N5" t="str">
        <v>Part d'issues de silo consommées par les FAF = 56,33 % (ONRB - FranceAgriMer)</v>
      </c>
      <c r="O5" t="str">
        <v>Approximative</v>
      </c>
      <c r="P5" t="str">
        <v>Données collectées:Données déterminées</v>
      </c>
      <c r="Q5" t="str">
        <v>Donnée collectée (valeur du flux ou coefficient)</v>
      </c>
    </row>
    <row r="6" spans="1:17">
      <c r="A6" t="str">
        <v>Issues de silo</v>
      </c>
      <c r="B6" t="str">
        <v>Litière</v>
      </c>
      <c r="E6" t="str">
        <v>kt</v>
      </c>
      <c r="F6" t="str">
        <v>Colza:Tournesol:Soja:Lin:Pois:Fèverole</v>
      </c>
      <c r="G6" t="str">
        <v>2015-16:2019-20:2023-24</v>
      </c>
      <c r="H6" t="str">
        <v>France entière</v>
      </c>
      <c r="I6" t="str">
        <v>Part d'issues de silo consommées comme litière</v>
      </c>
      <c r="J6">
        <v>0</v>
      </c>
      <c r="K6" t="str">
        <v>ONRB - FranceAgriMer</v>
      </c>
      <c r="L6" t="str">
        <v>Issues de silo - ONRB</v>
      </c>
      <c r="M6" t="str">
        <v>Répartition</v>
      </c>
      <c r="N6" t="str">
        <v>Part d'issues de silo consommées comme litière = 0,77 % (ONRB - FranceAgriMer)</v>
      </c>
      <c r="O6" t="str">
        <v>Approximative</v>
      </c>
      <c r="P6" t="str">
        <v>Données collectées:Données déterminées</v>
      </c>
      <c r="Q6" t="str">
        <v>Donnée collectée (valeur du flux ou coefficient)</v>
      </c>
    </row>
    <row r="7" spans="1:17">
      <c r="A7" t="str">
        <v>Issues de silo</v>
      </c>
      <c r="B7" t="str">
        <v>Compostage</v>
      </c>
      <c r="E7" t="str">
        <v>kt</v>
      </c>
      <c r="F7" t="str">
        <v>Colza:Tournesol:Soja:Lin:Pois:Fèverole</v>
      </c>
      <c r="G7" t="str">
        <v>2015-16:2019-20:2023-24</v>
      </c>
      <c r="H7" t="str">
        <v>France entière</v>
      </c>
      <c r="I7" t="str">
        <v>Part d'issues de silo compostées</v>
      </c>
      <c r="J7">
        <v>0</v>
      </c>
      <c r="K7" t="str">
        <v>ONRB - FranceAgriMer</v>
      </c>
      <c r="L7" t="str">
        <v>Issues de silo - ONRB</v>
      </c>
      <c r="M7" t="str">
        <v>Répartition</v>
      </c>
      <c r="N7" t="str">
        <v>Part d'issues de silo compostées = 0 % (ONRB - FranceAgriMer)</v>
      </c>
      <c r="O7" t="str">
        <v>Approximative</v>
      </c>
      <c r="P7" t="str">
        <v>Données collectées:Données déterminées</v>
      </c>
      <c r="Q7" t="str">
        <v>Donnée collectée (valeur du flux ou coefficient)</v>
      </c>
    </row>
    <row r="8" spans="1:17">
      <c r="A8" t="str">
        <v>Issues de silo</v>
      </c>
      <c r="B8" t="str">
        <v>Autres biomatériaux</v>
      </c>
      <c r="E8" t="str">
        <v>kt</v>
      </c>
      <c r="F8" t="str">
        <v>Colza:Tournesol:Soja:Lin:Pois:Fèverole</v>
      </c>
      <c r="G8" t="str">
        <v>2015-16:2019-20:2023-24</v>
      </c>
      <c r="H8" t="str">
        <v>France entière</v>
      </c>
      <c r="I8" t="str">
        <v>Part d'issues de silo consommées comme autres biomatériaux</v>
      </c>
      <c r="J8">
        <v>0</v>
      </c>
      <c r="K8" t="str">
        <v>ONRB - FranceAgriMer</v>
      </c>
      <c r="L8" t="str">
        <v>Issues de silo - ONRB</v>
      </c>
      <c r="M8" t="str">
        <v>Répartition</v>
      </c>
      <c r="N8" t="str">
        <v>Part d'issues de silo consommées comme autres biomatériaux = 0,77 % (ONRB - FranceAgriMer)</v>
      </c>
      <c r="O8" t="str">
        <v>Approximative</v>
      </c>
      <c r="P8" t="str">
        <v>Données collectées:Données déterminées</v>
      </c>
      <c r="Q8" t="str">
        <v>Donnée collectée (valeur du flux ou coefficient)</v>
      </c>
    </row>
    <row r="9" spans="1:17">
      <c r="A9" t="str">
        <v>Issues de silo</v>
      </c>
      <c r="B9" t="str">
        <v>Méthanisation</v>
      </c>
      <c r="E9" t="str">
        <v>kt</v>
      </c>
      <c r="F9" t="str">
        <v>Colza:Tournesol:Soja:Lin:Pois:Fèverole</v>
      </c>
      <c r="G9" t="str">
        <v>2015-16:2019-20:2023-24</v>
      </c>
      <c r="H9" t="str">
        <v>France entière</v>
      </c>
      <c r="I9" t="str">
        <v>Part d'issues de silo consommées en méthanisation</v>
      </c>
      <c r="J9">
        <v>0</v>
      </c>
      <c r="K9" t="str">
        <v>ONRB - FranceAgriMer</v>
      </c>
      <c r="L9" t="str">
        <v>Issues de silo - ONRB</v>
      </c>
      <c r="M9" t="str">
        <v>Répartition</v>
      </c>
      <c r="N9" t="str">
        <v>Part d'issues de silo consommées en méthanisation = 40,72 % (ONRB - FranceAgriMer)</v>
      </c>
      <c r="O9" t="str">
        <v>Approximative</v>
      </c>
      <c r="P9" t="str">
        <v>Données collectées:Données déterminées</v>
      </c>
      <c r="Q9" t="str">
        <v>Donnée collectée (valeur du flux ou coefficient)</v>
      </c>
    </row>
    <row r="10" spans="1:17">
      <c r="A10" t="str">
        <v>Issues de silo</v>
      </c>
      <c r="B10" t="str">
        <v>Combustion</v>
      </c>
      <c r="E10" t="str">
        <v>kt</v>
      </c>
      <c r="F10" t="str">
        <v>Colza:Tournesol:Soja:Lin:Pois:Fèverole</v>
      </c>
      <c r="G10" t="str">
        <v>2015-16:2019-20:2023-24</v>
      </c>
      <c r="H10" t="str">
        <v>France entière</v>
      </c>
      <c r="I10" t="str">
        <v>Part d'issues de silo brûlées</v>
      </c>
      <c r="J10">
        <v>0</v>
      </c>
      <c r="K10" t="str">
        <v>ONRB - FranceAgriMer</v>
      </c>
      <c r="L10" t="str">
        <v>Issues de silo - ONRB</v>
      </c>
      <c r="M10" t="str">
        <v>Répartition</v>
      </c>
      <c r="N10" t="str">
        <v>Part d'issues de silo brûlées = 1,03 % (ONRB - FranceAgriMer)</v>
      </c>
      <c r="O10" t="str">
        <v>Approximative</v>
      </c>
      <c r="P10" t="str">
        <v>Données collectées:Données déterminées</v>
      </c>
      <c r="Q10" t="str">
        <v>Donnée collectée (valeur du flux ou coefficient)</v>
      </c>
    </row>
    <row r="11" spans="1:17">
      <c r="A11" t="str">
        <v>Issues de silo</v>
      </c>
      <c r="B11" t="str">
        <v>Elimination/Pertes</v>
      </c>
      <c r="E11" t="str">
        <v>kt</v>
      </c>
      <c r="F11" t="str">
        <v>Colza:Tournesol:Soja:Lin:Pois:Fèverole</v>
      </c>
      <c r="G11" t="str">
        <v>2015-16:2019-20:2023-24</v>
      </c>
      <c r="H11" t="str">
        <v>France entière</v>
      </c>
      <c r="I11" t="str">
        <v>Part d'issues de silo éliminées</v>
      </c>
      <c r="J11">
        <v>0</v>
      </c>
      <c r="K11" t="str">
        <v>ONRB - FranceAgriMer</v>
      </c>
      <c r="L11" t="str">
        <v>Issues de silo - ONRB</v>
      </c>
      <c r="M11" t="str">
        <v>Répartition</v>
      </c>
      <c r="N11">
        <v>0</v>
      </c>
      <c r="O11" t="str">
        <v>Approximative</v>
      </c>
      <c r="P11" t="str">
        <v>Données collectées:Données déterminées</v>
      </c>
      <c r="Q11" t="str">
        <v>Donnée collectée (valeur du flux ou coefficient)</v>
      </c>
    </row>
    <row r="12" spans="1:17">
      <c r="A12" t="str">
        <v>Issues de silo</v>
      </c>
      <c r="B12" t="str">
        <v>FAF</v>
      </c>
      <c r="E12" t="str">
        <v>kt</v>
      </c>
      <c r="F12" t="str">
        <v>Lupin:Lentille:Pois chiche:Haricot sec</v>
      </c>
      <c r="G12" t="str">
        <v>2015-16:2019-20:2023-24</v>
      </c>
      <c r="H12" t="str">
        <v>France entière</v>
      </c>
      <c r="I12" t="str">
        <v>Part d'issues de silo consommées par les FAF</v>
      </c>
      <c r="J12" t="str">
        <v>Mêmes usages que les issues de silo de pois et fèveroles</v>
      </c>
      <c r="K12" t="str">
        <v>ONRB - FranceAgriMer</v>
      </c>
      <c r="L12" t="str">
        <v>Issues de silo - ONRB</v>
      </c>
      <c r="M12" t="str">
        <v>Répartition</v>
      </c>
      <c r="N12" t="str">
        <v>Part d'issues de silo consommées par les FAF = 56,33 % (ONRB - FranceAgriMer)</v>
      </c>
      <c r="O12" t="str">
        <v>Approximative</v>
      </c>
      <c r="P12" t="str">
        <v>Données collectées:Données déterminées</v>
      </c>
      <c r="Q12" t="str">
        <v>Donnée collectée (valeur du flux ou coefficient)</v>
      </c>
    </row>
    <row r="13" spans="1:17">
      <c r="A13" t="str">
        <v>Issues de silo</v>
      </c>
      <c r="B13" t="str">
        <v>Litière</v>
      </c>
      <c r="E13" t="str">
        <v>kt</v>
      </c>
      <c r="F13" t="str">
        <v>Lupin:Lentille:Pois chiche:Haricot sec</v>
      </c>
      <c r="G13" t="str">
        <v>2015-16:2019-20:2023-24</v>
      </c>
      <c r="H13" t="str">
        <v>France entière</v>
      </c>
      <c r="I13" t="str">
        <v>Part d'issues de silo consommées comme litière</v>
      </c>
      <c r="J13" t="str">
        <v>Mêmes usages que les issues de silo de pois et fèveroles</v>
      </c>
      <c r="K13" t="str">
        <v>ONRB - FranceAgriMer</v>
      </c>
      <c r="L13" t="str">
        <v>Issues de silo - ONRB</v>
      </c>
      <c r="M13" t="str">
        <v>Répartition</v>
      </c>
      <c r="N13" t="str">
        <v>Part d'issues de silo consommées comme litière = 0,77 % (ONRB - FranceAgriMer)</v>
      </c>
      <c r="O13" t="str">
        <v>Approximative</v>
      </c>
      <c r="P13" t="str">
        <v>Données collectées:Données déterminées</v>
      </c>
      <c r="Q13" t="str">
        <v>Donnée collectée (valeur du flux ou coefficient)</v>
      </c>
    </row>
    <row r="14" spans="1:17">
      <c r="A14" t="str">
        <v>Issues de silo</v>
      </c>
      <c r="B14" t="str">
        <v>Compostage</v>
      </c>
      <c r="E14" t="str">
        <v>kt</v>
      </c>
      <c r="F14" t="str">
        <v>Lupin:Lentille:Pois chiche:Haricot sec</v>
      </c>
      <c r="G14" t="str">
        <v>2015-16:2019-20:2023-24</v>
      </c>
      <c r="H14" t="str">
        <v>France entière</v>
      </c>
      <c r="I14" t="str">
        <v>Part d'issues de silo compostées</v>
      </c>
      <c r="J14" t="str">
        <v>Mêmes usages que les issues de silo de pois et fèveroles</v>
      </c>
      <c r="K14" t="str">
        <v>ONRB - FranceAgriMer</v>
      </c>
      <c r="L14" t="str">
        <v>Issues de silo - ONRB</v>
      </c>
      <c r="M14" t="str">
        <v>Répartition</v>
      </c>
      <c r="N14" t="str">
        <v>Part d'issues de silo compostées = 0 % (ONRB - FranceAgriMer)</v>
      </c>
      <c r="O14" t="str">
        <v>Approximative</v>
      </c>
      <c r="P14" t="str">
        <v>Données collectées:Données déterminées</v>
      </c>
      <c r="Q14" t="str">
        <v>Donnée collectée (valeur du flux ou coefficient)</v>
      </c>
    </row>
    <row r="15" spans="1:17">
      <c r="A15" t="str">
        <v>Issues de silo</v>
      </c>
      <c r="B15" t="str">
        <v>Autres biomatériaux</v>
      </c>
      <c r="E15" t="str">
        <v>kt</v>
      </c>
      <c r="F15" t="str">
        <v>Lupin:Lentille:Pois chiche:Haricot sec</v>
      </c>
      <c r="G15" t="str">
        <v>2015-16:2019-20:2023-24</v>
      </c>
      <c r="H15" t="str">
        <v>France entière</v>
      </c>
      <c r="I15" t="str">
        <v>Part d'issues de silo consommées comme autres biomatériaux</v>
      </c>
      <c r="J15" t="str">
        <v>Mêmes usages que les issues de silo de pois et fèveroles</v>
      </c>
      <c r="K15" t="str">
        <v>ONRB - FranceAgriMer</v>
      </c>
      <c r="L15" t="str">
        <v>Issues de silo - ONRB</v>
      </c>
      <c r="M15" t="str">
        <v>Répartition</v>
      </c>
      <c r="N15" t="str">
        <v>Part d'issues de silo consommées comme autres biomatériaux = 0,77 % (ONRB - FranceAgriMer)</v>
      </c>
      <c r="O15" t="str">
        <v>Approximative</v>
      </c>
      <c r="P15" t="str">
        <v>Données collectées:Données déterminées</v>
      </c>
      <c r="Q15" t="str">
        <v>Donnée collectée (valeur du flux ou coefficient)</v>
      </c>
    </row>
    <row r="16" spans="1:17">
      <c r="A16" t="str">
        <v>Issues de silo</v>
      </c>
      <c r="B16" t="str">
        <v>Méthanisation</v>
      </c>
      <c r="E16" t="str">
        <v>kt</v>
      </c>
      <c r="F16" t="str">
        <v>Lupin:Lentille:Pois chiche:Haricot sec</v>
      </c>
      <c r="G16" t="str">
        <v>2015-16:2019-20:2023-24</v>
      </c>
      <c r="H16" t="str">
        <v>France entière</v>
      </c>
      <c r="I16" t="str">
        <v>Part d'issues de silo consommées en méthanisation</v>
      </c>
      <c r="J16" t="str">
        <v>Mêmes usages que les issues de silo de pois et fèveroles</v>
      </c>
      <c r="K16" t="str">
        <v>ONRB - FranceAgriMer</v>
      </c>
      <c r="L16" t="str">
        <v>Issues de silo - ONRB</v>
      </c>
      <c r="M16" t="str">
        <v>Répartition</v>
      </c>
      <c r="N16" t="str">
        <v>Part d'issues de silo consommées en méthanisation = 40,72 % (ONRB - FranceAgriMer)</v>
      </c>
      <c r="O16" t="str">
        <v>Approximative</v>
      </c>
      <c r="P16" t="str">
        <v>Données collectées:Données déterminées</v>
      </c>
      <c r="Q16" t="str">
        <v>Donnée collectée (valeur du flux ou coefficient)</v>
      </c>
    </row>
    <row r="17" spans="1:17">
      <c r="A17" t="str">
        <v>Issues de silo</v>
      </c>
      <c r="B17" t="str">
        <v>Combustion</v>
      </c>
      <c r="E17" t="str">
        <v>kt</v>
      </c>
      <c r="F17" t="str">
        <v>Lupin:Lentille:Pois chiche:Haricot sec</v>
      </c>
      <c r="G17" t="str">
        <v>2015-16:2019-20:2023-24</v>
      </c>
      <c r="H17" t="str">
        <v>France entière</v>
      </c>
      <c r="I17" t="str">
        <v>Part d'issues de silo brûlées</v>
      </c>
      <c r="J17" t="str">
        <v>Mêmes usages que les issues de silo de pois et fèveroles</v>
      </c>
      <c r="K17" t="str">
        <v>ONRB - FranceAgriMer</v>
      </c>
      <c r="L17" t="str">
        <v>Issues de silo - ONRB</v>
      </c>
      <c r="M17" t="str">
        <v>Répartition</v>
      </c>
      <c r="N17" t="str">
        <v>Part d'issues de silo brûlées = 1,03 % (ONRB - FranceAgriMer)</v>
      </c>
      <c r="O17" t="str">
        <v>Approximative</v>
      </c>
      <c r="P17" t="str">
        <v>Données collectées:Données déterminées</v>
      </c>
      <c r="Q17" t="str">
        <v>Donnée collectée (valeur du flux ou coefficient)</v>
      </c>
    </row>
    <row r="18" spans="1:17">
      <c r="A18" t="str">
        <v>Issues de silo</v>
      </c>
      <c r="B18" t="str">
        <v>Elimination/Pertes</v>
      </c>
      <c r="E18" t="str">
        <v>kt</v>
      </c>
      <c r="F18" t="str">
        <v>Lupin:Lentille:Pois chiche:Haricot sec</v>
      </c>
      <c r="G18" t="str">
        <v>2015-16:2019-20:2023-24</v>
      </c>
      <c r="H18" t="str">
        <v>France entière</v>
      </c>
      <c r="I18" t="str">
        <v>Part d'issues de silo éliminées</v>
      </c>
      <c r="J18" t="str">
        <v>Mêmes usages que les issues de silo de pois et fèveroles</v>
      </c>
      <c r="K18" t="str">
        <v>ONRB - FranceAgriMer</v>
      </c>
      <c r="L18" t="str">
        <v>Issues de silo - ONRB</v>
      </c>
      <c r="M18" t="str">
        <v>Répartition</v>
      </c>
      <c r="N18">
        <v>0</v>
      </c>
      <c r="O18" t="str">
        <v>Approximative</v>
      </c>
      <c r="P18" t="str">
        <v>Données collectées:Données déterminées</v>
      </c>
      <c r="Q18" t="str">
        <v>Donnée collectée (valeur du flux ou coefficient)</v>
      </c>
    </row>
    <row r="19" spans="1:17">
      <c r="I19"/>
      <c r="J19"/>
      <c r="K19"/>
      <c r="L19"/>
      <c r="M19"/>
    </row>
    <row r="20" spans="1:17">
      <c r="I20"/>
      <c r="J20"/>
      <c r="K20"/>
      <c r="L20"/>
      <c r="M20"/>
    </row>
    <row r="21" spans="1:17">
      <c r="I21"/>
      <c r="J21"/>
      <c r="K21"/>
      <c r="L21"/>
      <c r="M21"/>
    </row>
    <row r="22" spans="1:17">
      <c r="I22"/>
      <c r="J22"/>
      <c r="K22"/>
      <c r="L22"/>
      <c r="M22"/>
    </row>
    <row r="23" spans="1:17">
      <c r="I23"/>
      <c r="J23"/>
      <c r="K23"/>
      <c r="L23"/>
      <c r="M23"/>
    </row>
    <row r="24" spans="1:17">
      <c r="I24"/>
      <c r="J24"/>
      <c r="K24"/>
      <c r="L24"/>
      <c r="M24"/>
    </row>
    <row r="25" spans="1:17">
      <c r="I25"/>
      <c r="J25"/>
      <c r="K25"/>
      <c r="L25"/>
      <c r="M25"/>
    </row>
    <row r="26" spans="1:17">
      <c r="I26"/>
      <c r="J26"/>
      <c r="K26"/>
      <c r="L26"/>
      <c r="M26"/>
    </row>
    <row r="27" spans="1:17">
      <c r="I27"/>
      <c r="J27"/>
      <c r="K27"/>
      <c r="L27"/>
      <c r="M27"/>
    </row>
    <row r="28" spans="1:17">
      <c r="I28"/>
      <c r="J28"/>
      <c r="K28"/>
      <c r="L28"/>
      <c r="M28"/>
    </row>
    <row r="29" spans="1:17">
      <c r="I29"/>
      <c r="J29"/>
      <c r="K29"/>
      <c r="L29"/>
      <c r="M29"/>
    </row>
    <row r="30" spans="1:17">
      <c r="I30"/>
      <c r="J30"/>
      <c r="K30"/>
      <c r="L30"/>
      <c r="M30"/>
    </row>
    <row r="31" spans="1:17">
      <c r="I31"/>
      <c r="J31"/>
      <c r="K31"/>
      <c r="L31"/>
      <c r="M31"/>
    </row>
    <row r="32" spans="1:17">
      <c r="I32"/>
      <c r="J32"/>
      <c r="K32"/>
      <c r="L32"/>
      <c r="M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C1FCE-355A-4E37-8042-A11CBD9DB103}">
  <sheetPr>
    <tabColor rgb="FFFFC000"/>
  </sheetPr>
  <dimension ref="A1:X33"/>
  <sheetViews>
    <sheetView workbookViewId="0">
      <selection activeCell="D28" sqref="D28:F28"/>
    </sheetView>
  </sheetViews>
  <sheetFormatPr baseColWidth="10" defaultRowHeight="14.4"/>
  <cols>
    <col min="1" max="1" width="11.5546875" style="50"/>
    <col min="2" max="2" width="70" style="50" bestFit="1" customWidth="1"/>
  </cols>
  <sheetData>
    <row r="1" spans="1:12" s="50" customFormat="1" ht="15" thickBot="1">
      <c r="A1" s="1061" t="s">
        <v>155</v>
      </c>
      <c r="B1" s="1062"/>
    </row>
    <row r="2" spans="1:12" s="50" customFormat="1">
      <c r="A2" s="51" t="s">
        <v>156</v>
      </c>
      <c r="B2" s="52" t="s">
        <v>911</v>
      </c>
    </row>
    <row r="3" spans="1:12" s="50" customFormat="1">
      <c r="A3" s="53" t="s">
        <v>158</v>
      </c>
      <c r="B3" s="54"/>
    </row>
    <row r="4" spans="1:12" s="50" customFormat="1">
      <c r="A4" s="53" t="s">
        <v>159</v>
      </c>
      <c r="B4" s="54" t="s">
        <v>160</v>
      </c>
    </row>
    <row r="5" spans="1:12" s="50" customFormat="1">
      <c r="A5" s="53" t="s">
        <v>15</v>
      </c>
      <c r="B5" s="54"/>
    </row>
    <row r="6" spans="1:12" s="50" customFormat="1">
      <c r="A6" s="53" t="s">
        <v>17</v>
      </c>
      <c r="B6" s="54" t="s">
        <v>912</v>
      </c>
    </row>
    <row r="7" spans="1:12" s="50" customFormat="1" ht="15" thickBot="1">
      <c r="A7" s="55" t="s">
        <v>162</v>
      </c>
      <c r="B7" s="56" t="s">
        <v>163</v>
      </c>
    </row>
    <row r="8" spans="1:12">
      <c r="C8" s="862" t="s">
        <v>17</v>
      </c>
      <c r="D8" s="862" t="s">
        <v>866</v>
      </c>
      <c r="E8" s="862" t="s">
        <v>867</v>
      </c>
    </row>
    <row r="9" spans="1:12">
      <c r="C9" s="862"/>
      <c r="D9" s="862" t="s">
        <v>868</v>
      </c>
      <c r="E9" s="862" t="s">
        <v>869</v>
      </c>
    </row>
    <row r="10" spans="1:12">
      <c r="C10" s="862"/>
      <c r="D10" s="862" t="s">
        <v>870</v>
      </c>
      <c r="E10" s="862" t="s">
        <v>871</v>
      </c>
    </row>
    <row r="11" spans="1:12">
      <c r="C11" s="862"/>
      <c r="D11" s="862" t="s">
        <v>872</v>
      </c>
      <c r="E11" s="862" t="s">
        <v>910</v>
      </c>
    </row>
    <row r="13" spans="1:12" s="863" customFormat="1" ht="72" customHeight="1">
      <c r="A13" s="50"/>
      <c r="B13" s="50"/>
      <c r="D13" s="886" t="s">
        <v>908</v>
      </c>
      <c r="E13" s="886" t="s">
        <v>909</v>
      </c>
      <c r="F13" s="886" t="s">
        <v>873</v>
      </c>
      <c r="G13" s="864" t="s">
        <v>874</v>
      </c>
      <c r="H13" s="865"/>
      <c r="I13" s="886" t="s">
        <v>913</v>
      </c>
      <c r="J13" s="886" t="s">
        <v>914</v>
      </c>
      <c r="K13" s="886" t="s">
        <v>873</v>
      </c>
      <c r="L13" s="864" t="s">
        <v>874</v>
      </c>
    </row>
    <row r="14" spans="1:12" s="867" customFormat="1" ht="18.75" customHeight="1">
      <c r="A14" s="866"/>
      <c r="B14" s="866"/>
      <c r="D14" s="887" t="s">
        <v>875</v>
      </c>
      <c r="E14" s="885" t="s">
        <v>876</v>
      </c>
      <c r="F14" s="885" t="s">
        <v>877</v>
      </c>
      <c r="G14" s="870" t="s">
        <v>877</v>
      </c>
      <c r="H14" s="869"/>
      <c r="I14" s="887" t="s">
        <v>875</v>
      </c>
      <c r="J14" s="885" t="s">
        <v>876</v>
      </c>
      <c r="K14" s="885" t="s">
        <v>877</v>
      </c>
      <c r="L14" s="870" t="s">
        <v>877</v>
      </c>
    </row>
    <row r="15" spans="1:12" s="863" customFormat="1" ht="18" customHeight="1">
      <c r="A15" s="50"/>
      <c r="B15" s="50"/>
      <c r="D15" s="871"/>
      <c r="E15" s="873"/>
      <c r="F15" s="889">
        <v>1.7000000000000001E-2</v>
      </c>
      <c r="G15" s="874">
        <v>0.1</v>
      </c>
      <c r="H15" s="872"/>
      <c r="I15" s="871"/>
      <c r="J15" s="873"/>
      <c r="K15" s="889">
        <v>0.01</v>
      </c>
      <c r="L15" s="874">
        <v>0.1</v>
      </c>
    </row>
    <row r="16" spans="1:12" ht="15" thickBot="1"/>
    <row r="17" spans="1:24" ht="15" thickBot="1">
      <c r="D17" s="1063" t="s">
        <v>878</v>
      </c>
      <c r="E17" s="1064"/>
      <c r="F17" s="1064"/>
      <c r="G17" s="1064"/>
      <c r="H17" s="1064"/>
      <c r="I17" s="1064"/>
      <c r="J17" s="1064"/>
      <c r="K17" s="1063"/>
      <c r="L17" s="1064"/>
      <c r="M17" s="1064"/>
      <c r="N17" s="1064"/>
      <c r="O17" s="1064"/>
      <c r="P17" s="1064"/>
      <c r="Q17" s="1064"/>
      <c r="R17" s="1063"/>
      <c r="S17" s="1064"/>
      <c r="T17" s="1064"/>
    </row>
    <row r="18" spans="1:24" ht="15" customHeight="1" thickBot="1">
      <c r="D18" s="1058" t="s">
        <v>879</v>
      </c>
      <c r="E18" s="1059"/>
      <c r="F18" s="1059"/>
      <c r="G18" s="1059"/>
      <c r="H18" s="1059"/>
      <c r="I18" s="1059"/>
      <c r="J18" s="1059"/>
      <c r="K18" s="1059"/>
      <c r="L18" s="1059"/>
      <c r="M18" s="1059"/>
      <c r="N18" s="1059"/>
      <c r="O18" s="1059"/>
      <c r="P18" s="1059"/>
      <c r="Q18" s="1059"/>
      <c r="R18" s="1059"/>
      <c r="S18" s="1059"/>
      <c r="T18" s="1060"/>
    </row>
    <row r="19" spans="1:24" ht="15" customHeight="1" thickBot="1">
      <c r="D19" s="1058" t="s">
        <v>880</v>
      </c>
      <c r="E19" s="1059"/>
      <c r="F19" s="1059"/>
      <c r="G19" s="1059"/>
      <c r="H19" s="1059"/>
      <c r="I19" s="1059"/>
      <c r="J19" s="1059"/>
      <c r="K19" s="1059"/>
      <c r="L19" s="1059"/>
      <c r="M19" s="1059"/>
      <c r="N19" s="1059"/>
      <c r="O19" s="1059"/>
      <c r="P19" s="1059"/>
      <c r="Q19" s="1059"/>
      <c r="R19" s="1059"/>
      <c r="S19" s="1059"/>
      <c r="T19" s="1060"/>
    </row>
    <row r="21" spans="1:24" s="863" customFormat="1" ht="15" customHeight="1">
      <c r="A21" s="50"/>
      <c r="B21" s="50"/>
      <c r="D21" s="875"/>
      <c r="E21" s="1050" t="s">
        <v>881</v>
      </c>
      <c r="F21" s="1051"/>
      <c r="G21"/>
      <c r="H21" s="1050" t="s">
        <v>882</v>
      </c>
      <c r="I21" s="1051"/>
      <c r="J21"/>
      <c r="K21" s="1050" t="s">
        <v>883</v>
      </c>
      <c r="L21" s="1051"/>
      <c r="M21"/>
      <c r="N21" s="1050" t="s">
        <v>884</v>
      </c>
      <c r="O21" s="1051"/>
      <c r="P21"/>
      <c r="Q21" s="876" t="s">
        <v>885</v>
      </c>
      <c r="R21" s="877"/>
      <c r="S21"/>
      <c r="T21" s="876" t="s">
        <v>884</v>
      </c>
      <c r="U21" s="877"/>
    </row>
    <row r="22" spans="1:24" s="863" customFormat="1" ht="65.25" customHeight="1">
      <c r="A22" s="50"/>
      <c r="B22" s="50"/>
      <c r="D22" s="1057"/>
      <c r="E22" s="1050" t="s">
        <v>886</v>
      </c>
      <c r="F22" s="1051"/>
      <c r="G22" s="1057" t="s">
        <v>887</v>
      </c>
      <c r="H22" s="1050" t="s">
        <v>888</v>
      </c>
      <c r="I22" s="1051"/>
      <c r="J22" s="1057" t="s">
        <v>887</v>
      </c>
      <c r="K22" s="1050" t="s">
        <v>889</v>
      </c>
      <c r="L22" s="1051"/>
      <c r="M22" s="1057" t="s">
        <v>887</v>
      </c>
      <c r="N22" s="1050" t="s">
        <v>890</v>
      </c>
      <c r="O22" s="1051"/>
      <c r="P22" s="1057" t="s">
        <v>887</v>
      </c>
      <c r="Q22" s="1050" t="s">
        <v>891</v>
      </c>
      <c r="R22" s="1051"/>
      <c r="S22" s="1057" t="s">
        <v>887</v>
      </c>
      <c r="T22" s="1050" t="s">
        <v>892</v>
      </c>
      <c r="U22" s="1051"/>
      <c r="V22" s="1054" t="s">
        <v>887</v>
      </c>
      <c r="W22" s="1050" t="s">
        <v>893</v>
      </c>
      <c r="X22" s="1051"/>
    </row>
    <row r="23" spans="1:24" s="863" customFormat="1" ht="17.25" customHeight="1">
      <c r="A23" s="50"/>
      <c r="B23" s="50"/>
      <c r="D23" s="1057"/>
      <c r="E23" s="1052"/>
      <c r="F23" s="1053"/>
      <c r="G23" s="1057"/>
      <c r="H23" s="1052"/>
      <c r="I23" s="1053"/>
      <c r="J23" s="1057"/>
      <c r="K23" s="1052"/>
      <c r="L23" s="1053"/>
      <c r="M23" s="1057"/>
      <c r="N23" s="1052"/>
      <c r="O23" s="1053"/>
      <c r="P23" s="1057"/>
      <c r="Q23" s="1052"/>
      <c r="R23" s="1053"/>
      <c r="S23" s="1057"/>
      <c r="T23" s="1052"/>
      <c r="U23" s="1053"/>
      <c r="V23" s="1055"/>
      <c r="W23" s="1052"/>
      <c r="X23" s="1053"/>
    </row>
    <row r="24" spans="1:24" s="863" customFormat="1" ht="18" customHeight="1" thickBot="1">
      <c r="A24" s="50"/>
      <c r="B24" s="50"/>
      <c r="D24" s="1057"/>
      <c r="E24" s="878" t="s">
        <v>877</v>
      </c>
      <c r="F24" s="868" t="s">
        <v>875</v>
      </c>
      <c r="G24" s="1057"/>
      <c r="H24" s="878" t="s">
        <v>877</v>
      </c>
      <c r="I24" s="868" t="s">
        <v>875</v>
      </c>
      <c r="J24" s="1057"/>
      <c r="K24" s="878" t="s">
        <v>877</v>
      </c>
      <c r="L24" s="868" t="s">
        <v>875</v>
      </c>
      <c r="M24" s="1057"/>
      <c r="N24" s="878" t="s">
        <v>877</v>
      </c>
      <c r="O24" s="868" t="s">
        <v>875</v>
      </c>
      <c r="P24" s="1057"/>
      <c r="Q24" s="878" t="s">
        <v>877</v>
      </c>
      <c r="R24" s="868" t="s">
        <v>875</v>
      </c>
      <c r="S24" s="1057"/>
      <c r="T24" s="878" t="s">
        <v>877</v>
      </c>
      <c r="U24" s="868" t="s">
        <v>875</v>
      </c>
      <c r="V24" s="1056"/>
      <c r="W24" s="878" t="s">
        <v>877</v>
      </c>
      <c r="X24" s="868" t="s">
        <v>875</v>
      </c>
    </row>
    <row r="25" spans="1:24" s="863" customFormat="1" ht="18" customHeight="1" thickTop="1">
      <c r="A25" s="50"/>
      <c r="B25" s="50"/>
      <c r="D25" s="879" t="s">
        <v>160</v>
      </c>
      <c r="E25" s="880">
        <v>0.56330000000000002</v>
      </c>
      <c r="F25" s="881"/>
      <c r="G25" s="879" t="s">
        <v>160</v>
      </c>
      <c r="H25" s="880">
        <v>7.7000000000000002E-3</v>
      </c>
      <c r="I25" s="881"/>
      <c r="J25" s="879" t="s">
        <v>160</v>
      </c>
      <c r="K25" s="880">
        <v>0</v>
      </c>
      <c r="L25" s="881"/>
      <c r="M25" s="879" t="s">
        <v>160</v>
      </c>
      <c r="N25" s="880">
        <v>7.7000000000000002E-3</v>
      </c>
      <c r="O25" s="881"/>
      <c r="P25" s="879" t="s">
        <v>160</v>
      </c>
      <c r="Q25" s="880">
        <v>0.40720000000000001</v>
      </c>
      <c r="R25" s="881"/>
      <c r="S25" s="879" t="s">
        <v>160</v>
      </c>
      <c r="T25" s="880">
        <v>1.03E-2</v>
      </c>
      <c r="U25" s="881"/>
      <c r="V25" s="879" t="s">
        <v>160</v>
      </c>
      <c r="W25" s="880">
        <v>3.8E-3</v>
      </c>
      <c r="X25" s="881"/>
    </row>
    <row r="26" spans="1:24" s="863" customFormat="1" ht="18" customHeight="1">
      <c r="A26" s="50"/>
      <c r="B26" s="50"/>
      <c r="D26" s="1034" t="s">
        <v>894</v>
      </c>
      <c r="E26" s="1034"/>
      <c r="F26" s="1034"/>
      <c r="G26" s="882"/>
      <c r="H26" s="882"/>
      <c r="I26" s="882"/>
      <c r="J26" s="882"/>
      <c r="K26" s="882"/>
      <c r="L26" s="882"/>
      <c r="M26" s="882"/>
      <c r="N26" s="882"/>
      <c r="O26" s="882"/>
      <c r="S26" s="882"/>
      <c r="T26" s="882"/>
      <c r="U26" s="882"/>
      <c r="V26" s="882"/>
      <c r="W26" s="882"/>
      <c r="X26" s="882"/>
    </row>
    <row r="27" spans="1:24" s="863" customFormat="1" ht="13.5" customHeight="1">
      <c r="A27" s="50"/>
      <c r="B27" s="50"/>
      <c r="G27" s="1034" t="s">
        <v>895</v>
      </c>
      <c r="H27" s="1034"/>
      <c r="I27" s="1034"/>
      <c r="J27" s="1034" t="s">
        <v>896</v>
      </c>
      <c r="K27" s="1034"/>
      <c r="L27" s="1034"/>
      <c r="M27" s="1034" t="s">
        <v>895</v>
      </c>
      <c r="N27" s="1034"/>
      <c r="O27" s="1034"/>
      <c r="P27" s="1034" t="s">
        <v>897</v>
      </c>
      <c r="Q27" s="1034"/>
      <c r="R27" s="1034"/>
      <c r="S27" s="1034" t="s">
        <v>895</v>
      </c>
      <c r="T27" s="1034"/>
      <c r="U27" s="1034"/>
      <c r="V27" s="1034" t="s">
        <v>895</v>
      </c>
      <c r="W27" s="1034"/>
      <c r="X27" s="1034"/>
    </row>
    <row r="28" spans="1:24" s="863" customFormat="1" ht="30" customHeight="1">
      <c r="A28" s="50"/>
      <c r="B28" s="50"/>
      <c r="D28" s="1034" t="s">
        <v>895</v>
      </c>
      <c r="E28" s="1034"/>
      <c r="F28" s="1034"/>
      <c r="G28" s="1034"/>
      <c r="H28" s="1034"/>
      <c r="I28" s="1034"/>
      <c r="J28" s="1034"/>
      <c r="K28" s="1034"/>
      <c r="L28" s="1034"/>
      <c r="M28" s="1034"/>
      <c r="N28" s="1034"/>
      <c r="O28" s="1034"/>
      <c r="P28" s="1034"/>
      <c r="Q28" s="1034"/>
      <c r="R28" s="1034"/>
      <c r="S28" s="1034"/>
      <c r="T28" s="1034"/>
      <c r="U28" s="1034"/>
      <c r="V28" s="1034"/>
      <c r="W28" s="1034"/>
      <c r="X28" s="1034"/>
    </row>
    <row r="29" spans="1:24" s="863" customFormat="1" ht="11.25" customHeight="1">
      <c r="A29" s="50"/>
      <c r="B29" s="50"/>
      <c r="D29" s="1034"/>
      <c r="E29" s="1034"/>
      <c r="F29" s="1034"/>
      <c r="G29" s="1044" t="s">
        <v>898</v>
      </c>
      <c r="H29" s="1045"/>
      <c r="I29" s="1046"/>
      <c r="J29" s="1047" t="s">
        <v>899</v>
      </c>
      <c r="K29" s="1048"/>
      <c r="L29" s="1049"/>
      <c r="M29" s="1044" t="s">
        <v>898</v>
      </c>
      <c r="N29" s="1045"/>
      <c r="O29" s="1046"/>
      <c r="P29" s="1038" t="s">
        <v>900</v>
      </c>
      <c r="Q29" s="1039"/>
      <c r="R29" s="1040"/>
      <c r="S29" s="1044" t="s">
        <v>898</v>
      </c>
      <c r="T29" s="1045"/>
      <c r="U29" s="1046"/>
      <c r="V29" s="1044" t="s">
        <v>901</v>
      </c>
      <c r="W29" s="1045"/>
      <c r="X29" s="1046"/>
    </row>
    <row r="30" spans="1:24" s="863" customFormat="1" ht="45" customHeight="1">
      <c r="A30" s="50"/>
      <c r="B30" s="50"/>
      <c r="D30" s="1038" t="s">
        <v>902</v>
      </c>
      <c r="E30" s="1039"/>
      <c r="F30" s="1040"/>
      <c r="G30" s="1041" t="s">
        <v>903</v>
      </c>
      <c r="H30" s="1042"/>
      <c r="I30" s="1043"/>
      <c r="J30"/>
      <c r="K30"/>
      <c r="L30"/>
      <c r="M30" s="1041" t="s">
        <v>903</v>
      </c>
      <c r="N30" s="1042"/>
      <c r="O30" s="1043"/>
      <c r="P30" s="1035" t="s">
        <v>904</v>
      </c>
      <c r="Q30" s="1036"/>
      <c r="R30" s="1037"/>
      <c r="S30" s="1041" t="s">
        <v>903</v>
      </c>
      <c r="T30" s="1042"/>
      <c r="U30" s="1043"/>
      <c r="V30" s="1041" t="s">
        <v>905</v>
      </c>
      <c r="W30" s="1042"/>
      <c r="X30" s="1043"/>
    </row>
    <row r="31" spans="1:24" s="863" customFormat="1" ht="43.5" customHeight="1">
      <c r="A31" s="50"/>
      <c r="B31" s="50"/>
      <c r="D31" s="1035" t="s">
        <v>906</v>
      </c>
      <c r="E31" s="1036"/>
      <c r="F31" s="1037"/>
      <c r="G31" s="1034" t="s">
        <v>907</v>
      </c>
      <c r="H31" s="1034"/>
      <c r="I31" s="1034"/>
      <c r="M31" s="1034" t="s">
        <v>907</v>
      </c>
      <c r="N31" s="1034"/>
      <c r="O31" s="1034"/>
      <c r="P31" s="1034" t="s">
        <v>907</v>
      </c>
      <c r="Q31" s="1034"/>
      <c r="R31" s="1034"/>
      <c r="S31" s="1034" t="s">
        <v>907</v>
      </c>
      <c r="T31" s="1034"/>
      <c r="U31" s="1034"/>
      <c r="V31" s="1034" t="s">
        <v>907</v>
      </c>
      <c r="W31" s="1034"/>
      <c r="X31" s="1034"/>
    </row>
    <row r="32" spans="1:24" s="863" customFormat="1" ht="15" customHeight="1">
      <c r="A32" s="50"/>
      <c r="B32" s="50"/>
      <c r="D32" s="1034" t="s">
        <v>907</v>
      </c>
      <c r="E32" s="1034"/>
      <c r="F32" s="1034"/>
      <c r="G32" s="1034"/>
      <c r="H32" s="1034"/>
      <c r="I32" s="883"/>
    </row>
    <row r="33" spans="21:21">
      <c r="U33" s="884"/>
    </row>
  </sheetData>
  <mergeCells count="59">
    <mergeCell ref="A1:B1"/>
    <mergeCell ref="D17:J17"/>
    <mergeCell ref="K17:Q17"/>
    <mergeCell ref="R17:T17"/>
    <mergeCell ref="D18:T18"/>
    <mergeCell ref="D22:D24"/>
    <mergeCell ref="E22:F23"/>
    <mergeCell ref="G22:G24"/>
    <mergeCell ref="H22:I23"/>
    <mergeCell ref="J22:J24"/>
    <mergeCell ref="D19:T19"/>
    <mergeCell ref="E21:F21"/>
    <mergeCell ref="H21:I21"/>
    <mergeCell ref="K21:L21"/>
    <mergeCell ref="N21:O21"/>
    <mergeCell ref="T22:U23"/>
    <mergeCell ref="V22:V24"/>
    <mergeCell ref="W22:X23"/>
    <mergeCell ref="D26:F26"/>
    <mergeCell ref="G27:I27"/>
    <mergeCell ref="J27:L27"/>
    <mergeCell ref="M27:O27"/>
    <mergeCell ref="P27:R27"/>
    <mergeCell ref="S27:U27"/>
    <mergeCell ref="V27:X27"/>
    <mergeCell ref="K22:L23"/>
    <mergeCell ref="M22:M24"/>
    <mergeCell ref="N22:O23"/>
    <mergeCell ref="P22:P24"/>
    <mergeCell ref="Q22:R23"/>
    <mergeCell ref="S22:S24"/>
    <mergeCell ref="V28:X28"/>
    <mergeCell ref="D29:F29"/>
    <mergeCell ref="G29:I29"/>
    <mergeCell ref="J29:L29"/>
    <mergeCell ref="M29:O29"/>
    <mergeCell ref="P29:R29"/>
    <mergeCell ref="S29:U29"/>
    <mergeCell ref="V29:X29"/>
    <mergeCell ref="D28:F28"/>
    <mergeCell ref="G28:I28"/>
    <mergeCell ref="J28:L28"/>
    <mergeCell ref="M28:O28"/>
    <mergeCell ref="P28:R28"/>
    <mergeCell ref="S28:U28"/>
    <mergeCell ref="P31:R31"/>
    <mergeCell ref="S31:U31"/>
    <mergeCell ref="V31:X31"/>
    <mergeCell ref="D30:F30"/>
    <mergeCell ref="G30:I30"/>
    <mergeCell ref="M30:O30"/>
    <mergeCell ref="P30:R30"/>
    <mergeCell ref="S30:U30"/>
    <mergeCell ref="V30:X30"/>
    <mergeCell ref="D32:F32"/>
    <mergeCell ref="G32:H32"/>
    <mergeCell ref="D31:F31"/>
    <mergeCell ref="G31:I31"/>
    <mergeCell ref="M31:O3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59371-D2C2-4501-BAF8-A19016E19801}">
  <sheetPr>
    <tabColor rgb="FF92D050"/>
  </sheetPr>
  <dimension ref="A1:U9"/>
  <sheetViews>
    <sheetView workbookViewId="0">
      <pane xSplit="3" ySplit="1" topLeftCell="G2" activePane="bottomRight" state="frozen"/>
      <selection activeCell="B15" sqref="B15"/>
      <selection pane="topRight" activeCell="B15" sqref="B15"/>
      <selection pane="bottomLeft" activeCell="B15" sqref="B15"/>
      <selection pane="bottomRight" activeCell="M9" sqref="M9"/>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Contraintes!A34+1</f>
        <v>18</v>
      </c>
      <c r="B2" t="str">
        <f>Produits!$B$2</f>
        <v>Graines récoltées</v>
      </c>
      <c r="C2" t="str">
        <f>Secteurs!$B$3</f>
        <v>Ferme</v>
      </c>
      <c r="D2" s="895">
        <f>'Pertes ferme - TERRES UNIVIA'!$C$6</f>
        <v>1E-3</v>
      </c>
      <c r="G2" t="str">
        <f>Etiquettes!$C$3</f>
        <v>kt</v>
      </c>
      <c r="H2" s="21" t="s">
        <v>929</v>
      </c>
      <c r="I2" s="21" t="str">
        <f>Etiquettes!$C$5</f>
        <v>2015-16:2019-20:2023-24</v>
      </c>
      <c r="J2" t="str">
        <f>Etiquettes!$C$4</f>
        <v>France entière</v>
      </c>
      <c r="P2" s="10"/>
      <c r="U2" s="1028" t="s">
        <v>920</v>
      </c>
    </row>
    <row r="3" spans="1:21">
      <c r="A3" s="10">
        <f>Contraintes!A35+1</f>
        <v>18</v>
      </c>
      <c r="B3" t="str">
        <f>Produits!$B$4</f>
        <v>Graines autoconsommées</v>
      </c>
      <c r="C3" t="str">
        <f>Secteurs!$B$47</f>
        <v>Elimination/Pertes</v>
      </c>
      <c r="D3">
        <v>-1</v>
      </c>
      <c r="G3" t="str">
        <f>Etiquettes!$C$3</f>
        <v>kt</v>
      </c>
      <c r="H3" s="21" t="s">
        <v>929</v>
      </c>
      <c r="I3" s="21" t="str">
        <f>Etiquettes!$C$5</f>
        <v>2015-16:2019-20:2023-24</v>
      </c>
      <c r="J3" t="str">
        <f>Etiquettes!$C$4</f>
        <v>France entière</v>
      </c>
      <c r="K3" s="10" t="s">
        <v>926</v>
      </c>
      <c r="M3" s="10" t="s">
        <v>1350</v>
      </c>
      <c r="N3" t="s">
        <v>1487</v>
      </c>
      <c r="O3" t="str">
        <f>Etiquettes!$I$11</f>
        <v>Rendement</v>
      </c>
      <c r="P3" t="str">
        <f>_xlfn.CONCAT(K3," = ",MROUND(D2*100,0.01)," % (",M3,")")</f>
        <v>Ratio de pertes à la ferme = 0,1 % (ORIFLAAM)</v>
      </c>
      <c r="Q3" t="str">
        <f>Etiquettes!$K$15</f>
        <v>Approximative</v>
      </c>
      <c r="R3" s="976" t="s">
        <v>1509</v>
      </c>
      <c r="S3" s="976" t="s">
        <v>1475</v>
      </c>
      <c r="U3" s="1027"/>
    </row>
    <row r="4" spans="1:21">
      <c r="A4" s="10">
        <f>A2+1</f>
        <v>19</v>
      </c>
      <c r="B4" t="str">
        <f>Produits!$B$2</f>
        <v>Graines récoltées</v>
      </c>
      <c r="C4" t="str">
        <f>Secteurs!$B$3</f>
        <v>Ferme</v>
      </c>
      <c r="D4" s="888">
        <f>'Pertes ferme - TERRES UNIVIA'!$C$7</f>
        <v>0.02</v>
      </c>
      <c r="G4" t="str">
        <f>Etiquettes!$C$3</f>
        <v>kt</v>
      </c>
      <c r="H4" s="21" t="s">
        <v>930</v>
      </c>
      <c r="I4" s="21" t="str">
        <f>Etiquettes!$C$5</f>
        <v>2015-16:2019-20:2023-24</v>
      </c>
      <c r="J4" t="str">
        <f>Etiquettes!$C$4</f>
        <v>France entière</v>
      </c>
      <c r="P4" s="10"/>
      <c r="U4" s="1027"/>
    </row>
    <row r="5" spans="1:21">
      <c r="A5" s="10">
        <f t="shared" ref="A5:A9" si="0">A3+1</f>
        <v>19</v>
      </c>
      <c r="B5" t="str">
        <f>Produits!$B$4</f>
        <v>Graines autoconsommées</v>
      </c>
      <c r="C5" t="str">
        <f>Secteurs!$B$47</f>
        <v>Elimination/Pertes</v>
      </c>
      <c r="D5">
        <v>-1</v>
      </c>
      <c r="G5" t="str">
        <f>Etiquettes!$C$3</f>
        <v>kt</v>
      </c>
      <c r="H5" s="21" t="s">
        <v>930</v>
      </c>
      <c r="I5" s="21" t="str">
        <f>Etiquettes!$C$5</f>
        <v>2015-16:2019-20:2023-24</v>
      </c>
      <c r="J5" t="str">
        <f>Etiquettes!$C$4</f>
        <v>France entière</v>
      </c>
      <c r="K5" s="10" t="s">
        <v>926</v>
      </c>
      <c r="M5" s="10" t="s">
        <v>1350</v>
      </c>
      <c r="N5" t="s">
        <v>1487</v>
      </c>
      <c r="O5" t="str">
        <f>Etiquettes!$I$11</f>
        <v>Rendement</v>
      </c>
      <c r="P5" t="str">
        <f>_xlfn.CONCAT(K5," = ",MROUND(D4*100,0.01)," % (",M5,")")</f>
        <v>Ratio de pertes à la ferme = 2 % (ORIFLAAM)</v>
      </c>
      <c r="Q5" t="str">
        <f>Etiquettes!$K$15</f>
        <v>Approximative</v>
      </c>
      <c r="R5" s="976" t="s">
        <v>1509</v>
      </c>
      <c r="S5" s="976" t="s">
        <v>1475</v>
      </c>
      <c r="U5" s="1027"/>
    </row>
    <row r="6" spans="1:21">
      <c r="A6" s="10">
        <f t="shared" si="0"/>
        <v>20</v>
      </c>
      <c r="B6" t="str">
        <f>Produits!$B$2</f>
        <v>Graines récoltées</v>
      </c>
      <c r="C6" t="str">
        <f>Secteurs!$B$3</f>
        <v>Ferme</v>
      </c>
      <c r="D6" s="895">
        <f>'Pertes ferme - TERRES UNIVIA'!$C$6</f>
        <v>1E-3</v>
      </c>
      <c r="G6" t="str">
        <f>Etiquettes!$C$3</f>
        <v>kt</v>
      </c>
      <c r="H6" s="21" t="str">
        <f>Etiquettes!$K$6</f>
        <v>Lin</v>
      </c>
      <c r="I6" s="21" t="str">
        <f>Etiquettes!$C$5</f>
        <v>2015-16:2019-20:2023-24</v>
      </c>
      <c r="J6" t="str">
        <f>Etiquettes!$C$4</f>
        <v>France entière</v>
      </c>
      <c r="P6" s="10"/>
      <c r="U6" s="1027"/>
    </row>
    <row r="7" spans="1:21">
      <c r="A7" s="10">
        <f t="shared" si="0"/>
        <v>20</v>
      </c>
      <c r="B7" t="str">
        <f>Produits!$B$4</f>
        <v>Graines autoconsommées</v>
      </c>
      <c r="C7" t="str">
        <f>Secteurs!$B$47</f>
        <v>Elimination/Pertes</v>
      </c>
      <c r="D7">
        <v>-1</v>
      </c>
      <c r="G7" t="str">
        <f>Etiquettes!$C$3</f>
        <v>kt</v>
      </c>
      <c r="H7" s="21" t="str">
        <f>Etiquettes!$K$6</f>
        <v>Lin</v>
      </c>
      <c r="I7" s="21" t="str">
        <f>Etiquettes!$C$5</f>
        <v>2015-16:2019-20:2023-24</v>
      </c>
      <c r="J7" t="str">
        <f>Etiquettes!$C$4</f>
        <v>France entière</v>
      </c>
      <c r="K7" s="10" t="s">
        <v>926</v>
      </c>
      <c r="L7" s="31" t="s">
        <v>928</v>
      </c>
      <c r="M7" s="10" t="s">
        <v>1350</v>
      </c>
      <c r="N7" t="s">
        <v>1487</v>
      </c>
      <c r="O7" t="str">
        <f>Etiquettes!$I$11</f>
        <v>Rendement</v>
      </c>
      <c r="P7" t="str">
        <f>_xlfn.CONCAT(K7," = ",MROUND(D6*100,0.01)," % (",M7,")")</f>
        <v>Ratio de pertes à la ferme = 0,1 % (ORIFLAAM)</v>
      </c>
      <c r="Q7" t="str">
        <f>Etiquettes!$K$15</f>
        <v>Approximative</v>
      </c>
      <c r="R7" s="976" t="s">
        <v>1509</v>
      </c>
      <c r="S7" s="976" t="s">
        <v>1475</v>
      </c>
      <c r="U7" s="1027"/>
    </row>
    <row r="8" spans="1:21" ht="14.4" customHeight="1">
      <c r="A8" s="10">
        <f t="shared" si="0"/>
        <v>21</v>
      </c>
      <c r="B8" t="str">
        <f>Produits!$B$2</f>
        <v>Graines récoltées</v>
      </c>
      <c r="C8" t="str">
        <f>Secteurs!$B$3</f>
        <v>Ferme</v>
      </c>
      <c r="D8" s="888">
        <f>'Pertes ferme - TERRES UNIVIA'!$C$7</f>
        <v>0.02</v>
      </c>
      <c r="G8" t="str">
        <f>Etiquettes!$C$3</f>
        <v>kt</v>
      </c>
      <c r="H8" s="21" t="s">
        <v>1249</v>
      </c>
      <c r="I8" s="21" t="str">
        <f>Etiquettes!$C$5</f>
        <v>2015-16:2019-20:2023-24</v>
      </c>
      <c r="J8" t="str">
        <f>Etiquettes!$C$4</f>
        <v>France entière</v>
      </c>
      <c r="P8" s="10"/>
      <c r="U8" s="1027"/>
    </row>
    <row r="9" spans="1:21">
      <c r="A9" s="10">
        <f t="shared" si="0"/>
        <v>21</v>
      </c>
      <c r="B9" t="str">
        <f>Produits!$B$4</f>
        <v>Graines autoconsommées</v>
      </c>
      <c r="C9" t="str">
        <f>Secteurs!$B$47</f>
        <v>Elimination/Pertes</v>
      </c>
      <c r="D9">
        <v>-1</v>
      </c>
      <c r="G9" t="str">
        <f>Etiquettes!$C$3</f>
        <v>kt</v>
      </c>
      <c r="H9" s="21" t="s">
        <v>1249</v>
      </c>
      <c r="I9" s="21" t="str">
        <f>Etiquettes!$C$5</f>
        <v>2015-16:2019-20:2023-24</v>
      </c>
      <c r="J9" t="str">
        <f>Etiquettes!$C$4</f>
        <v>France entière</v>
      </c>
      <c r="K9" s="10" t="s">
        <v>926</v>
      </c>
      <c r="L9" s="31" t="s">
        <v>927</v>
      </c>
      <c r="M9" s="10" t="s">
        <v>1350</v>
      </c>
      <c r="N9" t="s">
        <v>1487</v>
      </c>
      <c r="O9" t="str">
        <f>Etiquettes!$I$11</f>
        <v>Rendement</v>
      </c>
      <c r="P9" t="str">
        <f>_xlfn.CONCAT(K9," = ",MROUND(D8*100,0.01)," % (",M9,")")</f>
        <v>Ratio de pertes à la ferme = 2 % (ORIFLAAM)</v>
      </c>
      <c r="Q9" t="str">
        <f>Etiquettes!$K$15</f>
        <v>Approximative</v>
      </c>
      <c r="R9" s="976" t="s">
        <v>1509</v>
      </c>
      <c r="S9" s="976" t="s">
        <v>1475</v>
      </c>
      <c r="U9" s="1027"/>
    </row>
  </sheetData>
  <mergeCells count="1">
    <mergeCell ref="U2:U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7C0E3-DEB9-45FB-AF53-4E85BE3770C0}">
  <sheetPr>
    <tabColor theme="1"/>
  </sheetPr>
  <dimension ref="A1:Q52"/>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5">_xlfn._xlws.FILTER('Contraintes '!G1:S200,ISTEXT('Contraintes '!O1:O200))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5">_xlfn._xlws.FILTER('Contraintes '!B2:C200,ISTEXT('Contraintes '!O2:O200))</f>
        <v>Graines autoconsommées</v>
      </c>
      <c r="B2" t="str">
        <v>Elimination/Pertes</v>
      </c>
      <c r="E2" t="str">
        <v>kt</v>
      </c>
      <c r="F2" t="str">
        <v>Colza:Tournesol</v>
      </c>
      <c r="G2" t="str">
        <v>2015-16:2019-20:2023-24</v>
      </c>
      <c r="H2" t="str">
        <v>France entière</v>
      </c>
      <c r="I2" t="str">
        <v>Ratio de pertes à la ferme</v>
      </c>
      <c r="J2">
        <v>0</v>
      </c>
      <c r="K2" t="str">
        <v>ORIFLAAM</v>
      </c>
      <c r="L2" t="str">
        <v>Pertes ferme - TERRES UNIVIA</v>
      </c>
      <c r="M2" t="str">
        <v>Rendement</v>
      </c>
      <c r="N2" t="str">
        <v>Ratio de pertes à la ferme = 0,1 % (ORIFLAAM)</v>
      </c>
      <c r="O2" t="str">
        <v>Approximative</v>
      </c>
      <c r="P2" t="str">
        <v>Données collectées:Données déterminées</v>
      </c>
      <c r="Q2" t="str">
        <v>Donnée collectée (valeur du flux ou coefficient)</v>
      </c>
    </row>
    <row r="3" spans="1:17">
      <c r="A3" t="str">
        <v>Graines autoconsommées</v>
      </c>
      <c r="B3" t="str">
        <v>Elimination/Pertes</v>
      </c>
      <c r="E3" t="str">
        <v>kt</v>
      </c>
      <c r="F3" t="str">
        <v>Soja:Pois:Féverole</v>
      </c>
      <c r="G3" t="str">
        <v>2015-16:2019-20:2023-24</v>
      </c>
      <c r="H3" t="str">
        <v>France entière</v>
      </c>
      <c r="I3" t="str">
        <v>Ratio de pertes à la ferme</v>
      </c>
      <c r="J3">
        <v>0</v>
      </c>
      <c r="K3" t="str">
        <v>ORIFLAAM</v>
      </c>
      <c r="L3" t="str">
        <v>Pertes ferme - TERRES UNIVIA</v>
      </c>
      <c r="M3" t="str">
        <v>Rendement</v>
      </c>
      <c r="N3" t="str">
        <v>Ratio de pertes à la ferme = 2 % (ORIFLAAM)</v>
      </c>
      <c r="O3" t="str">
        <v>Approximative</v>
      </c>
      <c r="P3" t="str">
        <v>Données collectées:Données déterminées</v>
      </c>
      <c r="Q3" t="str">
        <v>Donnée collectée (valeur du flux ou coefficient)</v>
      </c>
    </row>
    <row r="4" spans="1:17">
      <c r="A4" t="str">
        <v>Graines autoconsommées</v>
      </c>
      <c r="B4" t="str">
        <v>Elimination/Pertes</v>
      </c>
      <c r="E4" t="str">
        <v>kt</v>
      </c>
      <c r="F4" t="str">
        <v>Lin</v>
      </c>
      <c r="G4" t="str">
        <v>2015-16:2019-20:2023-24</v>
      </c>
      <c r="H4" t="str">
        <v>France entière</v>
      </c>
      <c r="I4" t="str">
        <v>Ratio de pertes à la ferme</v>
      </c>
      <c r="J4" t="str">
        <v>Même ratio de pertes à la ferme que colza et tournesol</v>
      </c>
      <c r="K4" t="str">
        <v>ORIFLAAM</v>
      </c>
      <c r="L4" t="str">
        <v>Pertes ferme - TERRES UNIVIA</v>
      </c>
      <c r="M4" t="str">
        <v>Rendement</v>
      </c>
      <c r="N4" t="str">
        <v>Ratio de pertes à la ferme = 0,1 % (ORIFLAAM)</v>
      </c>
      <c r="O4" t="str">
        <v>Approximative</v>
      </c>
      <c r="P4" t="str">
        <v>Données collectées:Données déterminées</v>
      </c>
      <c r="Q4" t="str">
        <v>Donnée collectée (valeur du flux ou coefficient)</v>
      </c>
    </row>
    <row r="5" spans="1:17">
      <c r="A5" t="str">
        <v>Graines autoconsommées</v>
      </c>
      <c r="B5" t="str">
        <v>Elimination/Pertes</v>
      </c>
      <c r="E5" t="str">
        <v>kt</v>
      </c>
      <c r="F5" t="str">
        <v>Lupin:Lentille:Pois chiche:Haricot sec</v>
      </c>
      <c r="G5" t="str">
        <v>2015-16:2019-20:2023-24</v>
      </c>
      <c r="H5" t="str">
        <v>France entière</v>
      </c>
      <c r="I5" t="str">
        <v>Ratio de pertes à la ferme</v>
      </c>
      <c r="J5" t="str">
        <v>Même ratio de pertes à la ferme que soja, pois et féverole</v>
      </c>
      <c r="K5" t="str">
        <v>ORIFLAAM</v>
      </c>
      <c r="L5" t="str">
        <v>Pertes ferme - TERRES UNIVIA</v>
      </c>
      <c r="M5" t="str">
        <v>Rendement</v>
      </c>
      <c r="N5" t="str">
        <v>Ratio de pertes à la ferme = 2 % (ORIFLAAM)</v>
      </c>
      <c r="O5" t="str">
        <v>Approximative</v>
      </c>
      <c r="P5" t="str">
        <v>Données collectées:Données déterminées</v>
      </c>
      <c r="Q5" t="str">
        <v>Donnée collectée (valeur du flux ou coefficient)</v>
      </c>
    </row>
    <row r="6" spans="1:17">
      <c r="I6"/>
      <c r="J6"/>
      <c r="K6"/>
      <c r="L6"/>
      <c r="M6"/>
    </row>
    <row r="7" spans="1:17">
      <c r="I7"/>
      <c r="J7"/>
      <c r="K7"/>
      <c r="L7"/>
      <c r="M7"/>
    </row>
    <row r="8" spans="1:17">
      <c r="I8"/>
      <c r="J8"/>
      <c r="K8"/>
      <c r="L8"/>
      <c r="M8"/>
    </row>
    <row r="9" spans="1:17">
      <c r="I9"/>
      <c r="J9"/>
      <c r="K9"/>
      <c r="L9"/>
      <c r="M9"/>
    </row>
    <row r="10" spans="1:17">
      <c r="I10"/>
      <c r="J10"/>
      <c r="K10"/>
      <c r="L10"/>
      <c r="M10"/>
    </row>
    <row r="11" spans="1:17">
      <c r="I11"/>
      <c r="J11"/>
      <c r="K11"/>
      <c r="L11"/>
      <c r="M11"/>
    </row>
    <row r="12" spans="1:17">
      <c r="I12"/>
      <c r="J12"/>
      <c r="K12"/>
      <c r="L12"/>
      <c r="M12"/>
    </row>
    <row r="13" spans="1:17">
      <c r="I13"/>
      <c r="J13"/>
      <c r="K13"/>
      <c r="L13"/>
      <c r="M13"/>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68B0A-D81B-4C11-B313-B05FEB6E642A}">
  <sheetPr>
    <tabColor rgb="FFFFC000"/>
  </sheetPr>
  <dimension ref="B3:D7"/>
  <sheetViews>
    <sheetView workbookViewId="0">
      <selection activeCell="G11" sqref="G11"/>
    </sheetView>
  </sheetViews>
  <sheetFormatPr baseColWidth="10" defaultRowHeight="14.4"/>
  <cols>
    <col min="2" max="2" width="19.33203125" bestFit="1" customWidth="1"/>
  </cols>
  <sheetData>
    <row r="3" spans="2:4">
      <c r="B3" s="894" t="s">
        <v>17</v>
      </c>
      <c r="C3" s="862" t="s">
        <v>921</v>
      </c>
    </row>
    <row r="5" spans="2:4">
      <c r="C5" t="s">
        <v>920</v>
      </c>
    </row>
    <row r="6" spans="2:4">
      <c r="B6" t="s">
        <v>922</v>
      </c>
      <c r="C6" s="893">
        <v>1E-3</v>
      </c>
      <c r="D6" t="s">
        <v>923</v>
      </c>
    </row>
    <row r="7" spans="2:4">
      <c r="B7" t="s">
        <v>925</v>
      </c>
      <c r="C7" s="892">
        <v>0.02</v>
      </c>
      <c r="D7" t="s">
        <v>924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9D83-7128-4DB3-B7BD-32D5A0521EE3}">
  <sheetPr>
    <tabColor rgb="FF92D050"/>
  </sheetPr>
  <dimension ref="A1:U39"/>
  <sheetViews>
    <sheetView workbookViewId="0">
      <pane xSplit="3" ySplit="1" topLeftCell="O2" activePane="bottomRight" state="frozen"/>
      <selection activeCell="B15" sqref="B15"/>
      <selection pane="topRight" activeCell="B15" sqref="B15"/>
      <selection pane="bottomLeft" activeCell="B15" sqref="B15"/>
      <selection pane="bottomRight" activeCell="A20" sqref="A20:XFD20"/>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 '!A8+1</f>
        <v>22</v>
      </c>
      <c r="B2" t="str">
        <f>Produits!$B$11</f>
        <v>Graines collectées</v>
      </c>
      <c r="C2" t="str">
        <f>Secteurs!$B$44</f>
        <v>Semences certifiées</v>
      </c>
      <c r="D2" s="888">
        <f>'Prétraitement semences fermière'!D10</f>
        <v>0.20506634499396861</v>
      </c>
      <c r="G2" t="str">
        <f>Etiquettes!$C$3</f>
        <v>kt</v>
      </c>
      <c r="H2" s="21" t="str">
        <f>Etiquettes!$H$6</f>
        <v>Colza</v>
      </c>
      <c r="I2" s="21" t="str">
        <f>Etiquettes!$H$5</f>
        <v>2015-16</v>
      </c>
      <c r="J2" t="str">
        <f>Etiquettes!$C$4</f>
        <v>France entière</v>
      </c>
      <c r="P2" s="10"/>
      <c r="U2" s="1028" t="s">
        <v>950</v>
      </c>
    </row>
    <row r="3" spans="1:21">
      <c r="A3" s="10">
        <f>'Contraintes '!A9+1</f>
        <v>22</v>
      </c>
      <c r="B3" t="str">
        <f>Produits!$B$4</f>
        <v>Graines autoconsommées</v>
      </c>
      <c r="C3" t="str">
        <f>Secteurs!$B$43</f>
        <v>Semences fermières</v>
      </c>
      <c r="D3">
        <v>-1</v>
      </c>
      <c r="G3" t="str">
        <f>Etiquettes!$C$3</f>
        <v>kt</v>
      </c>
      <c r="H3" s="21" t="str">
        <f>Etiquettes!$H$6</f>
        <v>Colza</v>
      </c>
      <c r="I3" s="21" t="str">
        <f>Etiquettes!$H$5</f>
        <v>2015-16</v>
      </c>
      <c r="J3" t="str">
        <f>Etiquettes!$C$4</f>
        <v>France entière</v>
      </c>
      <c r="K3" s="31" t="s">
        <v>947</v>
      </c>
      <c r="M3" s="31" t="s">
        <v>949</v>
      </c>
      <c r="N3" t="s">
        <v>1488</v>
      </c>
      <c r="O3" t="str">
        <f>Etiquettes!$J$11</f>
        <v>Répartition</v>
      </c>
      <c r="P3" t="str">
        <f>_xlfn.CONCAT(K3," = ",MROUND(D2*100,0.01)," % (",M3,")")</f>
        <v>Part de semences fermières (par rapport aux semences certifiées) = 20,51 % (Enquête Pratiques culturales en grandes cultures - SSP)</v>
      </c>
      <c r="Q3" t="str">
        <f>Etiquettes!$K$15</f>
        <v>Approximative</v>
      </c>
      <c r="R3" s="976" t="s">
        <v>1509</v>
      </c>
      <c r="S3" s="976" t="s">
        <v>1475</v>
      </c>
      <c r="U3" s="1027"/>
    </row>
    <row r="4" spans="1:21">
      <c r="A4" s="10">
        <f>A2+1</f>
        <v>23</v>
      </c>
      <c r="B4" t="str">
        <f>Produits!$B$11</f>
        <v>Graines collectées</v>
      </c>
      <c r="C4" t="str">
        <f>Secteurs!$B$44</f>
        <v>Semences certifiées</v>
      </c>
      <c r="D4" s="888">
        <f>'Prétraitement semences fermière'!D11</f>
        <v>7.0493454179254783E-3</v>
      </c>
      <c r="G4" t="str">
        <f>Etiquettes!$C$3</f>
        <v>kt</v>
      </c>
      <c r="H4" s="21" t="str">
        <f>Etiquettes!$I$6</f>
        <v>Tournesol</v>
      </c>
      <c r="I4" s="21" t="str">
        <f>Etiquettes!$H$5</f>
        <v>2015-16</v>
      </c>
      <c r="J4" t="str">
        <f>Etiquettes!$C$4</f>
        <v>France entière</v>
      </c>
      <c r="K4" s="31"/>
      <c r="M4" s="31"/>
      <c r="P4" s="10"/>
      <c r="U4" s="1027"/>
    </row>
    <row r="5" spans="1:21">
      <c r="A5" s="10">
        <f t="shared" ref="A5:A39" si="0">A3+1</f>
        <v>23</v>
      </c>
      <c r="B5" t="str">
        <f>Produits!$B$4</f>
        <v>Graines autoconsommées</v>
      </c>
      <c r="C5" t="str">
        <f>Secteurs!$B$43</f>
        <v>Semences fermières</v>
      </c>
      <c r="D5">
        <v>-1</v>
      </c>
      <c r="G5" t="str">
        <f>Etiquettes!$C$3</f>
        <v>kt</v>
      </c>
      <c r="H5" s="21" t="str">
        <f>Etiquettes!$I$6</f>
        <v>Tournesol</v>
      </c>
      <c r="I5" s="21" t="str">
        <f>Etiquettes!$H$5</f>
        <v>2015-16</v>
      </c>
      <c r="J5" t="str">
        <f>Etiquettes!$C$4</f>
        <v>France entière</v>
      </c>
      <c r="K5" s="31" t="s">
        <v>947</v>
      </c>
      <c r="M5" s="31" t="s">
        <v>949</v>
      </c>
      <c r="N5" t="s">
        <v>1488</v>
      </c>
      <c r="O5" t="str">
        <f>Etiquettes!$J$11</f>
        <v>Répartition</v>
      </c>
      <c r="P5" t="str">
        <f>_xlfn.CONCAT(K5," = ",MROUND(D4*100,0.01)," % (",M5,")")</f>
        <v>Part de semences fermières (par rapport aux semences certifiées) = 0,7 % (Enquête Pratiques culturales en grandes cultures - SSP)</v>
      </c>
      <c r="Q5" t="str">
        <f>Etiquettes!$K$15</f>
        <v>Approximative</v>
      </c>
      <c r="R5" s="976" t="s">
        <v>1509</v>
      </c>
      <c r="S5" s="976" t="s">
        <v>1475</v>
      </c>
      <c r="U5" s="1027"/>
    </row>
    <row r="6" spans="1:21">
      <c r="A6" s="10">
        <f t="shared" si="0"/>
        <v>24</v>
      </c>
      <c r="B6" t="str">
        <f>Produits!$B$11</f>
        <v>Graines collectées</v>
      </c>
      <c r="C6" t="str">
        <f>Secteurs!$B$44</f>
        <v>Semences certifiées</v>
      </c>
      <c r="D6" s="888">
        <f>'Prétraitement semences fermière'!D12</f>
        <v>1.8011204481792715</v>
      </c>
      <c r="G6" t="str">
        <f>Etiquettes!$C$3</f>
        <v>kt</v>
      </c>
      <c r="H6" s="21" t="str">
        <f>Etiquettes!$J$6</f>
        <v>Soja</v>
      </c>
      <c r="I6" s="21" t="str">
        <f>Etiquettes!$H$5</f>
        <v>2015-16</v>
      </c>
      <c r="J6" t="str">
        <f>Etiquettes!$C$4</f>
        <v>France entière</v>
      </c>
      <c r="K6" s="31"/>
      <c r="M6" s="31"/>
      <c r="P6" s="10"/>
      <c r="U6" s="1027"/>
    </row>
    <row r="7" spans="1:21">
      <c r="A7" s="10">
        <f t="shared" si="0"/>
        <v>24</v>
      </c>
      <c r="B7" t="str">
        <f>Produits!$B$4</f>
        <v>Graines autoconsommées</v>
      </c>
      <c r="C7" t="str">
        <f>Secteurs!$B$43</f>
        <v>Semences fermières</v>
      </c>
      <c r="D7">
        <v>-1</v>
      </c>
      <c r="G7" t="str">
        <f>Etiquettes!$C$3</f>
        <v>kt</v>
      </c>
      <c r="H7" s="21" t="str">
        <f>Etiquettes!$J$6</f>
        <v>Soja</v>
      </c>
      <c r="I7" s="21" t="str">
        <f>Etiquettes!$H$5</f>
        <v>2015-16</v>
      </c>
      <c r="J7" t="str">
        <f>Etiquettes!$C$4</f>
        <v>France entière</v>
      </c>
      <c r="K7" s="31" t="s">
        <v>947</v>
      </c>
      <c r="L7" s="31"/>
      <c r="M7" s="31" t="s">
        <v>949</v>
      </c>
      <c r="N7" t="s">
        <v>1488</v>
      </c>
      <c r="O7" t="str">
        <f>Etiquettes!$J$11</f>
        <v>Répartition</v>
      </c>
      <c r="P7" t="str">
        <f>_xlfn.CONCAT(K7," = ",MROUND(D6*100,0.01)," % (",M7,")")</f>
        <v>Part de semences fermières (par rapport aux semences certifiées) = 180,11 % (Enquête Pratiques culturales en grandes cultures - SSP)</v>
      </c>
      <c r="Q7" t="str">
        <f>Etiquettes!$K$15</f>
        <v>Approximative</v>
      </c>
      <c r="R7" s="976" t="s">
        <v>1509</v>
      </c>
      <c r="S7" s="976" t="s">
        <v>1475</v>
      </c>
      <c r="U7" s="1027"/>
    </row>
    <row r="8" spans="1:21" ht="14.4" customHeight="1">
      <c r="A8" s="10">
        <f t="shared" si="0"/>
        <v>25</v>
      </c>
      <c r="B8" t="str">
        <f>Produits!$B$11</f>
        <v>Graines collectées</v>
      </c>
      <c r="C8" t="str">
        <f>Secteurs!$B$44</f>
        <v>Semences certifiées</v>
      </c>
      <c r="D8" s="888">
        <f>'Prétraitement semences fermière'!D13</f>
        <v>1.4330900243309002</v>
      </c>
      <c r="G8" t="str">
        <f>Etiquettes!$C$3</f>
        <v>kt</v>
      </c>
      <c r="H8" s="21" t="str">
        <f>Etiquettes!$K$6</f>
        <v>Lin</v>
      </c>
      <c r="I8" s="21" t="str">
        <f>Etiquettes!$H$5</f>
        <v>2015-16</v>
      </c>
      <c r="J8" t="str">
        <f>Etiquettes!$C$4</f>
        <v>France entière</v>
      </c>
      <c r="K8" s="31"/>
      <c r="M8" s="31"/>
      <c r="P8" s="10"/>
      <c r="U8" s="1027"/>
    </row>
    <row r="9" spans="1:21">
      <c r="A9" s="10">
        <f t="shared" si="0"/>
        <v>25</v>
      </c>
      <c r="B9" t="str">
        <f>Produits!$B$4</f>
        <v>Graines autoconsommées</v>
      </c>
      <c r="C9" t="str">
        <f>Secteurs!$B$43</f>
        <v>Semences fermières</v>
      </c>
      <c r="D9">
        <v>-1</v>
      </c>
      <c r="G9" t="str">
        <f>Etiquettes!$C$3</f>
        <v>kt</v>
      </c>
      <c r="H9" s="21" t="str">
        <f>Etiquettes!$K$6</f>
        <v>Lin</v>
      </c>
      <c r="I9" s="21" t="str">
        <f>Etiquettes!$H$5</f>
        <v>2015-16</v>
      </c>
      <c r="J9" t="str">
        <f>Etiquettes!$C$4</f>
        <v>France entière</v>
      </c>
      <c r="K9" s="31" t="s">
        <v>947</v>
      </c>
      <c r="L9" s="31"/>
      <c r="M9" s="31" t="s">
        <v>949</v>
      </c>
      <c r="N9" t="s">
        <v>1488</v>
      </c>
      <c r="O9" t="str">
        <f>Etiquettes!$J$11</f>
        <v>Répartition</v>
      </c>
      <c r="P9" t="str">
        <f>_xlfn.CONCAT(K9," = ",MROUND(D8*100,0.01)," % (",M9,")")</f>
        <v>Part de semences fermières (par rapport aux semences certifiées) = 143,31 % (Enquête Pratiques culturales en grandes cultures - SSP)</v>
      </c>
      <c r="Q9" t="str">
        <f>Etiquettes!$K$15</f>
        <v>Approximative</v>
      </c>
      <c r="R9" s="976" t="s">
        <v>1509</v>
      </c>
      <c r="S9" s="976" t="s">
        <v>1475</v>
      </c>
      <c r="U9" s="1027"/>
    </row>
    <row r="10" spans="1:21">
      <c r="A10" s="10">
        <f t="shared" si="0"/>
        <v>26</v>
      </c>
      <c r="B10" t="str">
        <f>Produits!$B$11</f>
        <v>Graines collectées</v>
      </c>
      <c r="C10" t="str">
        <f>Secteurs!$B$44</f>
        <v>Semences certifiées</v>
      </c>
      <c r="D10" s="888">
        <f>'Prétraitement semences fermière'!D14</f>
        <v>1.5</v>
      </c>
      <c r="G10" t="str">
        <f>Etiquettes!$C$3</f>
        <v>kt</v>
      </c>
      <c r="H10" s="21" t="str">
        <f>Etiquettes!$L$6</f>
        <v>Pois</v>
      </c>
      <c r="I10" s="21" t="str">
        <f>Etiquettes!$H$5</f>
        <v>2015-16</v>
      </c>
      <c r="J10" t="str">
        <f>Etiquettes!$C$4</f>
        <v>France entière</v>
      </c>
      <c r="K10" s="31"/>
      <c r="M10" s="31"/>
      <c r="P10" s="10"/>
      <c r="U10" s="1027"/>
    </row>
    <row r="11" spans="1:21">
      <c r="A11" s="10">
        <f t="shared" si="0"/>
        <v>26</v>
      </c>
      <c r="B11" t="str">
        <f>Produits!$B$4</f>
        <v>Graines autoconsommées</v>
      </c>
      <c r="C11" t="str">
        <f>Secteurs!$B$43</f>
        <v>Semences fermières</v>
      </c>
      <c r="D11">
        <v>-1</v>
      </c>
      <c r="G11" t="str">
        <f>Etiquettes!$C$3</f>
        <v>kt</v>
      </c>
      <c r="H11" s="21" t="str">
        <f>Etiquettes!$L$6</f>
        <v>Pois</v>
      </c>
      <c r="I11" s="21" t="str">
        <f>Etiquettes!$H$5</f>
        <v>2015-16</v>
      </c>
      <c r="J11" t="str">
        <f>Etiquettes!$C$4</f>
        <v>France entière</v>
      </c>
      <c r="K11" s="31" t="s">
        <v>947</v>
      </c>
      <c r="L11" s="31"/>
      <c r="M11" s="31" t="s">
        <v>1404</v>
      </c>
      <c r="N11" t="s">
        <v>1488</v>
      </c>
      <c r="O11" t="str">
        <f>Etiquettes!$J$11</f>
        <v>Répartition</v>
      </c>
      <c r="P11" t="str">
        <f>_xlfn.CONCAT(K11," = ",MROUND(D10*100,0.01)," % (",M11,")")</f>
        <v>Part de semences fermières (par rapport aux semences certifiées) = 150 % (Estimation - Terres Univia)</v>
      </c>
      <c r="Q11" t="str">
        <f>Etiquettes!$K$15</f>
        <v>Approximative</v>
      </c>
      <c r="R11" s="976" t="s">
        <v>1509</v>
      </c>
      <c r="S11" s="976" t="s">
        <v>1475</v>
      </c>
      <c r="U11" s="1027"/>
    </row>
    <row r="12" spans="1:21">
      <c r="A12" s="10">
        <f t="shared" si="0"/>
        <v>27</v>
      </c>
      <c r="B12" t="str">
        <f>Produits!$B$11</f>
        <v>Graines collectées</v>
      </c>
      <c r="C12" t="str">
        <f>Secteurs!$B$44</f>
        <v>Semences certifiées</v>
      </c>
      <c r="D12" s="888">
        <f>'Prétraitement semences fermière'!D15</f>
        <v>4.2857142857142856</v>
      </c>
      <c r="G12" t="str">
        <f>Etiquettes!$C$3</f>
        <v>kt</v>
      </c>
      <c r="H12" s="21" t="str">
        <f>Etiquettes!$M$6</f>
        <v>Féverole</v>
      </c>
      <c r="I12" s="21" t="str">
        <f>Etiquettes!$H$5</f>
        <v>2015-16</v>
      </c>
      <c r="J12" t="str">
        <f>Etiquettes!$C$4</f>
        <v>France entière</v>
      </c>
      <c r="K12" s="31"/>
      <c r="M12" s="31"/>
      <c r="P12" s="10"/>
      <c r="U12" s="1027"/>
    </row>
    <row r="13" spans="1:21">
      <c r="A13" s="10">
        <f t="shared" si="0"/>
        <v>27</v>
      </c>
      <c r="B13" t="str">
        <f>Produits!$B$4</f>
        <v>Graines autoconsommées</v>
      </c>
      <c r="C13" t="str">
        <f>Secteurs!$B$43</f>
        <v>Semences fermières</v>
      </c>
      <c r="D13">
        <v>-1</v>
      </c>
      <c r="G13" t="str">
        <f>Etiquettes!$C$3</f>
        <v>kt</v>
      </c>
      <c r="H13" s="21" t="str">
        <f>Etiquettes!$M$6</f>
        <v>Féverole</v>
      </c>
      <c r="I13" s="21" t="str">
        <f>Etiquettes!$H$5</f>
        <v>2015-16</v>
      </c>
      <c r="J13" t="str">
        <f>Etiquettes!$C$4</f>
        <v>France entière</v>
      </c>
      <c r="K13" s="31" t="s">
        <v>947</v>
      </c>
      <c r="L13" s="31"/>
      <c r="M13" s="31" t="s">
        <v>1404</v>
      </c>
      <c r="N13" t="s">
        <v>1488</v>
      </c>
      <c r="O13" t="str">
        <f>Etiquettes!$J$11</f>
        <v>Répartition</v>
      </c>
      <c r="P13" t="str">
        <f>_xlfn.CONCAT(K13," = ",MROUND(D12*100,0.01)," % (",M13,")")</f>
        <v>Part de semences fermières (par rapport aux semences certifiées) = 428,57 % (Estimation - Terres Univia)</v>
      </c>
      <c r="Q13" t="str">
        <f>Etiquettes!$K$15</f>
        <v>Approximative</v>
      </c>
      <c r="R13" s="976" t="s">
        <v>1509</v>
      </c>
      <c r="S13" s="976" t="s">
        <v>1475</v>
      </c>
      <c r="U13" s="1027"/>
    </row>
    <row r="14" spans="1:21">
      <c r="A14" s="10">
        <f t="shared" si="0"/>
        <v>28</v>
      </c>
      <c r="B14" t="str">
        <f>Produits!$B$11</f>
        <v>Graines collectées</v>
      </c>
      <c r="C14" t="str">
        <f>Secteurs!$B$44</f>
        <v>Semences certifiées</v>
      </c>
      <c r="D14" s="888">
        <f>'Prétraitement semences fermière'!E10</f>
        <v>0.17071499067880247</v>
      </c>
      <c r="G14" t="str">
        <f>Etiquettes!$C$3</f>
        <v>kt</v>
      </c>
      <c r="H14" s="21" t="str">
        <f>Etiquettes!$H$6</f>
        <v>Colza</v>
      </c>
      <c r="I14" s="21" t="str">
        <f>Etiquettes!$I$5</f>
        <v>2019-20</v>
      </c>
      <c r="J14" t="str">
        <f>Etiquettes!$C$4</f>
        <v>France entière</v>
      </c>
      <c r="K14" s="31"/>
      <c r="M14" s="31"/>
      <c r="P14" s="10"/>
      <c r="U14" s="1027"/>
    </row>
    <row r="15" spans="1:21">
      <c r="A15" s="10">
        <f t="shared" si="0"/>
        <v>28</v>
      </c>
      <c r="B15" t="str">
        <f>Produits!$B$4</f>
        <v>Graines autoconsommées</v>
      </c>
      <c r="C15" t="str">
        <f>Secteurs!$B$43</f>
        <v>Semences fermières</v>
      </c>
      <c r="D15">
        <v>-1</v>
      </c>
      <c r="G15" t="str">
        <f>Etiquettes!$C$3</f>
        <v>kt</v>
      </c>
      <c r="H15" s="21" t="str">
        <f>Etiquettes!$H$6</f>
        <v>Colza</v>
      </c>
      <c r="I15" s="21" t="str">
        <f>Etiquettes!$I$5</f>
        <v>2019-20</v>
      </c>
      <c r="J15" t="str">
        <f>Etiquettes!$C$4</f>
        <v>France entière</v>
      </c>
      <c r="K15" s="31" t="s">
        <v>947</v>
      </c>
      <c r="M15" s="31" t="s">
        <v>949</v>
      </c>
      <c r="N15" t="s">
        <v>1488</v>
      </c>
      <c r="O15" t="str">
        <f>Etiquettes!$J$11</f>
        <v>Répartition</v>
      </c>
      <c r="P15" t="str">
        <f>_xlfn.CONCAT(K15," = ",MROUND(D14*100,0.01)," % (",M15,")")</f>
        <v>Part de semences fermières (par rapport aux semences certifiées) = 17,07 % (Enquête Pratiques culturales en grandes cultures - SSP)</v>
      </c>
      <c r="Q15" t="str">
        <f>Etiquettes!$K$15</f>
        <v>Approximative</v>
      </c>
      <c r="R15" s="976" t="s">
        <v>1509</v>
      </c>
      <c r="S15" s="976" t="s">
        <v>1475</v>
      </c>
      <c r="U15" s="1027"/>
    </row>
    <row r="16" spans="1:21">
      <c r="A16" s="10">
        <f t="shared" si="0"/>
        <v>29</v>
      </c>
      <c r="B16" t="str">
        <f>Produits!$B$11</f>
        <v>Graines collectées</v>
      </c>
      <c r="C16" t="str">
        <f>Secteurs!$B$44</f>
        <v>Semences certifiées</v>
      </c>
      <c r="D16" s="888">
        <f>'Prétraitement semences fermière'!E11</f>
        <v>7.0493454179254783E-3</v>
      </c>
      <c r="G16" t="str">
        <f>Etiquettes!$C$3</f>
        <v>kt</v>
      </c>
      <c r="H16" s="21" t="str">
        <f>Etiquettes!$I$6</f>
        <v>Tournesol</v>
      </c>
      <c r="I16" s="21" t="str">
        <f>Etiquettes!$I$5</f>
        <v>2019-20</v>
      </c>
      <c r="J16" t="str">
        <f>Etiquettes!$C$4</f>
        <v>France entière</v>
      </c>
      <c r="K16" s="31"/>
      <c r="M16" s="31"/>
      <c r="P16" s="10"/>
      <c r="U16" s="1027"/>
    </row>
    <row r="17" spans="1:21">
      <c r="A17" s="10">
        <f t="shared" si="0"/>
        <v>29</v>
      </c>
      <c r="B17" t="str">
        <f>Produits!$B$4</f>
        <v>Graines autoconsommées</v>
      </c>
      <c r="C17" t="str">
        <f>Secteurs!$B$43</f>
        <v>Semences fermières</v>
      </c>
      <c r="D17">
        <v>-1</v>
      </c>
      <c r="G17" t="str">
        <f>Etiquettes!$C$3</f>
        <v>kt</v>
      </c>
      <c r="H17" s="21" t="str">
        <f>Etiquettes!$I$6</f>
        <v>Tournesol</v>
      </c>
      <c r="I17" s="21" t="str">
        <f>Etiquettes!$I$5</f>
        <v>2019-20</v>
      </c>
      <c r="J17" t="str">
        <f>Etiquettes!$C$4</f>
        <v>France entière</v>
      </c>
      <c r="K17" s="31" t="s">
        <v>947</v>
      </c>
      <c r="M17" s="31" t="s">
        <v>949</v>
      </c>
      <c r="N17" t="s">
        <v>1488</v>
      </c>
      <c r="O17" t="str">
        <f>Etiquettes!$J$11</f>
        <v>Répartition</v>
      </c>
      <c r="P17" t="str">
        <f>_xlfn.CONCAT(K17," = ",MROUND(D16*100,0.01)," % (",M17,")")</f>
        <v>Part de semences fermières (par rapport aux semences certifiées) = 0,7 % (Enquête Pratiques culturales en grandes cultures - SSP)</v>
      </c>
      <c r="Q17" t="str">
        <f>Etiquettes!$K$15</f>
        <v>Approximative</v>
      </c>
      <c r="R17" s="976" t="s">
        <v>1509</v>
      </c>
      <c r="S17" s="976" t="s">
        <v>1475</v>
      </c>
      <c r="U17" s="1027"/>
    </row>
    <row r="18" spans="1:21">
      <c r="A18" s="10">
        <f t="shared" si="0"/>
        <v>30</v>
      </c>
      <c r="B18" t="str">
        <f>Produits!$B$11</f>
        <v>Graines collectées</v>
      </c>
      <c r="C18" t="str">
        <f>Secteurs!$B$44</f>
        <v>Semences certifiées</v>
      </c>
      <c r="D18" s="888">
        <f>'Prétraitement semences fermière'!E12</f>
        <v>1.4005602240896358</v>
      </c>
      <c r="G18" t="str">
        <f>Etiquettes!$C$3</f>
        <v>kt</v>
      </c>
      <c r="H18" s="21" t="str">
        <f>Etiquettes!$J$6</f>
        <v>Soja</v>
      </c>
      <c r="I18" s="21" t="str">
        <f>Etiquettes!$I$5</f>
        <v>2019-20</v>
      </c>
      <c r="J18" t="str">
        <f>Etiquettes!$C$4</f>
        <v>France entière</v>
      </c>
      <c r="K18" s="31"/>
      <c r="M18" s="31"/>
      <c r="P18" s="10"/>
      <c r="U18" s="1027"/>
    </row>
    <row r="19" spans="1:21">
      <c r="A19" s="10">
        <f t="shared" si="0"/>
        <v>30</v>
      </c>
      <c r="B19" t="str">
        <f>Produits!$B$4</f>
        <v>Graines autoconsommées</v>
      </c>
      <c r="C19" t="str">
        <f>Secteurs!$B$43</f>
        <v>Semences fermières</v>
      </c>
      <c r="D19">
        <v>-1</v>
      </c>
      <c r="G19" t="str">
        <f>Etiquettes!$C$3</f>
        <v>kt</v>
      </c>
      <c r="H19" s="21" t="str">
        <f>Etiquettes!$J$6</f>
        <v>Soja</v>
      </c>
      <c r="I19" s="21" t="str">
        <f>Etiquettes!$I$5</f>
        <v>2019-20</v>
      </c>
      <c r="J19" t="str">
        <f>Etiquettes!$C$4</f>
        <v>France entière</v>
      </c>
      <c r="K19" s="31" t="s">
        <v>947</v>
      </c>
      <c r="L19" s="31"/>
      <c r="M19" s="31" t="s">
        <v>949</v>
      </c>
      <c r="N19" t="s">
        <v>1488</v>
      </c>
      <c r="O19" t="str">
        <f>Etiquettes!$J$11</f>
        <v>Répartition</v>
      </c>
      <c r="P19" t="str">
        <f>_xlfn.CONCAT(K19," = ",MROUND(D18*100,0.01)," % (",M19,")")</f>
        <v>Part de semences fermières (par rapport aux semences certifiées) = 140,06 % (Enquête Pratiques culturales en grandes cultures - SSP)</v>
      </c>
      <c r="Q19" t="str">
        <f>Etiquettes!$K$15</f>
        <v>Approximative</v>
      </c>
      <c r="R19" s="976" t="s">
        <v>1509</v>
      </c>
      <c r="S19" s="976" t="s">
        <v>1475</v>
      </c>
      <c r="U19" s="1027"/>
    </row>
    <row r="20" spans="1:21">
      <c r="A20" s="10">
        <f t="shared" si="0"/>
        <v>31</v>
      </c>
      <c r="B20" t="str">
        <f>Produits!$B$11</f>
        <v>Graines collectées</v>
      </c>
      <c r="C20" t="str">
        <f>Secteurs!$B$44</f>
        <v>Semences certifiées</v>
      </c>
      <c r="D20" s="888">
        <f>'Prétraitement semences fermière'!E13</f>
        <v>0.76299309959714412</v>
      </c>
      <c r="G20" t="str">
        <f>Etiquettes!$C$3</f>
        <v>kt</v>
      </c>
      <c r="H20" s="21" t="str">
        <f>Etiquettes!$K$6</f>
        <v>Lin</v>
      </c>
      <c r="I20" s="21" t="str">
        <f>Etiquettes!$I$5</f>
        <v>2019-20</v>
      </c>
      <c r="J20" t="str">
        <f>Etiquettes!$C$4</f>
        <v>France entière</v>
      </c>
      <c r="K20" s="31"/>
      <c r="M20" s="31"/>
      <c r="P20" s="10"/>
      <c r="U20" s="1027"/>
    </row>
    <row r="21" spans="1:21">
      <c r="A21" s="10">
        <f t="shared" si="0"/>
        <v>31</v>
      </c>
      <c r="B21" t="str">
        <f>Produits!$B$4</f>
        <v>Graines autoconsommées</v>
      </c>
      <c r="C21" t="str">
        <f>Secteurs!$B$43</f>
        <v>Semences fermières</v>
      </c>
      <c r="D21">
        <v>-1</v>
      </c>
      <c r="G21" t="str">
        <f>Etiquettes!$C$3</f>
        <v>kt</v>
      </c>
      <c r="H21" s="21" t="str">
        <f>Etiquettes!$K$6</f>
        <v>Lin</v>
      </c>
      <c r="I21" s="21" t="str">
        <f>Etiquettes!$I$5</f>
        <v>2019-20</v>
      </c>
      <c r="J21" t="str">
        <f>Etiquettes!$C$4</f>
        <v>France entière</v>
      </c>
      <c r="K21" s="31" t="s">
        <v>947</v>
      </c>
      <c r="L21" s="31"/>
      <c r="M21" s="31" t="s">
        <v>949</v>
      </c>
      <c r="N21" t="s">
        <v>1488</v>
      </c>
      <c r="O21" t="str">
        <f>Etiquettes!$J$11</f>
        <v>Répartition</v>
      </c>
      <c r="P21" t="str">
        <f>_xlfn.CONCAT(K21," = ",MROUND(D20*100,0.01)," % (",M21,")")</f>
        <v>Part de semences fermières (par rapport aux semences certifiées) = 76,3 % (Enquête Pratiques culturales en grandes cultures - SSP)</v>
      </c>
      <c r="Q21" t="str">
        <f>Etiquettes!$K$15</f>
        <v>Approximative</v>
      </c>
      <c r="R21" s="976" t="s">
        <v>1509</v>
      </c>
      <c r="S21" s="976" t="s">
        <v>1475</v>
      </c>
      <c r="U21" s="1027"/>
    </row>
    <row r="22" spans="1:21">
      <c r="A22" s="10">
        <f t="shared" si="0"/>
        <v>32</v>
      </c>
      <c r="B22" t="str">
        <f>Produits!$B$11</f>
        <v>Graines collectées</v>
      </c>
      <c r="C22" t="str">
        <f>Secteurs!$B$44</f>
        <v>Semences certifiées</v>
      </c>
      <c r="D22" s="888">
        <f>'Prétraitement semences fermière'!E14</f>
        <v>1.5</v>
      </c>
      <c r="G22" t="str">
        <f>Etiquettes!$C$3</f>
        <v>kt</v>
      </c>
      <c r="H22" s="21" t="str">
        <f>Etiquettes!$L$6</f>
        <v>Pois</v>
      </c>
      <c r="I22" s="21" t="str">
        <f>Etiquettes!$I$5</f>
        <v>2019-20</v>
      </c>
      <c r="J22" t="str">
        <f>Etiquettes!$C$4</f>
        <v>France entière</v>
      </c>
      <c r="K22" s="31"/>
      <c r="M22" s="31"/>
      <c r="P22" s="10"/>
      <c r="U22" s="1027"/>
    </row>
    <row r="23" spans="1:21">
      <c r="A23" s="10">
        <f t="shared" si="0"/>
        <v>32</v>
      </c>
      <c r="B23" t="str">
        <f>Produits!$B$4</f>
        <v>Graines autoconsommées</v>
      </c>
      <c r="C23" t="str">
        <f>Secteurs!$B$43</f>
        <v>Semences fermières</v>
      </c>
      <c r="D23">
        <v>-1</v>
      </c>
      <c r="G23" t="str">
        <f>Etiquettes!$C$3</f>
        <v>kt</v>
      </c>
      <c r="H23" s="21" t="str">
        <f>Etiquettes!$L$6</f>
        <v>Pois</v>
      </c>
      <c r="I23" s="21" t="str">
        <f>Etiquettes!$I$5</f>
        <v>2019-20</v>
      </c>
      <c r="J23" t="str">
        <f>Etiquettes!$C$4</f>
        <v>France entière</v>
      </c>
      <c r="K23" s="31" t="s">
        <v>947</v>
      </c>
      <c r="L23" s="31"/>
      <c r="M23" s="31" t="s">
        <v>1404</v>
      </c>
      <c r="N23" t="s">
        <v>1488</v>
      </c>
      <c r="O23" t="str">
        <f>Etiquettes!$J$11</f>
        <v>Répartition</v>
      </c>
      <c r="P23" t="str">
        <f>_xlfn.CONCAT(K23," = ",MROUND(D22*100,0.01)," % (",M23,")")</f>
        <v>Part de semences fermières (par rapport aux semences certifiées) = 150 % (Estimation - Terres Univia)</v>
      </c>
      <c r="Q23" t="str">
        <f>Etiquettes!$K$15</f>
        <v>Approximative</v>
      </c>
      <c r="R23" s="976" t="s">
        <v>1509</v>
      </c>
      <c r="S23" s="976" t="s">
        <v>1475</v>
      </c>
      <c r="U23" s="1027"/>
    </row>
    <row r="24" spans="1:21">
      <c r="A24" s="10">
        <f t="shared" si="0"/>
        <v>33</v>
      </c>
      <c r="B24" t="str">
        <f>Produits!$B$11</f>
        <v>Graines collectées</v>
      </c>
      <c r="C24" t="str">
        <f>Secteurs!$B$44</f>
        <v>Semences certifiées</v>
      </c>
      <c r="D24" s="888">
        <f>'Prétraitement semences fermière'!E15</f>
        <v>4.2857142857142856</v>
      </c>
      <c r="G24" t="str">
        <f>Etiquettes!$C$3</f>
        <v>kt</v>
      </c>
      <c r="H24" s="21" t="str">
        <f>Etiquettes!$M$6</f>
        <v>Féverole</v>
      </c>
      <c r="I24" s="21" t="str">
        <f>Etiquettes!$I$5</f>
        <v>2019-20</v>
      </c>
      <c r="J24" t="str">
        <f>Etiquettes!$C$4</f>
        <v>France entière</v>
      </c>
      <c r="K24" s="31"/>
      <c r="M24" s="31"/>
      <c r="P24" s="10"/>
      <c r="U24" s="1027"/>
    </row>
    <row r="25" spans="1:21">
      <c r="A25" s="10">
        <f t="shared" si="0"/>
        <v>33</v>
      </c>
      <c r="B25" t="str">
        <f>Produits!$B$4</f>
        <v>Graines autoconsommées</v>
      </c>
      <c r="C25" t="str">
        <f>Secteurs!$B$43</f>
        <v>Semences fermières</v>
      </c>
      <c r="D25">
        <v>-1</v>
      </c>
      <c r="G25" t="str">
        <f>Etiquettes!$C$3</f>
        <v>kt</v>
      </c>
      <c r="H25" s="21" t="str">
        <f>Etiquettes!$M$6</f>
        <v>Féverole</v>
      </c>
      <c r="I25" s="21" t="str">
        <f>Etiquettes!$I$5</f>
        <v>2019-20</v>
      </c>
      <c r="J25" t="str">
        <f>Etiquettes!$C$4</f>
        <v>France entière</v>
      </c>
      <c r="K25" s="31" t="s">
        <v>947</v>
      </c>
      <c r="L25" s="31"/>
      <c r="M25" s="31" t="s">
        <v>1404</v>
      </c>
      <c r="N25" t="s">
        <v>1488</v>
      </c>
      <c r="O25" t="str">
        <f>Etiquettes!$J$11</f>
        <v>Répartition</v>
      </c>
      <c r="P25" t="str">
        <f>_xlfn.CONCAT(K25," = ",MROUND(D24*100,0.01)," % (",M25,")")</f>
        <v>Part de semences fermières (par rapport aux semences certifiées) = 428,57 % (Estimation - Terres Univia)</v>
      </c>
      <c r="Q25" t="str">
        <f>Etiquettes!$K$15</f>
        <v>Approximative</v>
      </c>
      <c r="R25" s="976" t="s">
        <v>1509</v>
      </c>
      <c r="S25" s="976" t="s">
        <v>1475</v>
      </c>
      <c r="U25" s="1027"/>
    </row>
    <row r="26" spans="1:21">
      <c r="A26" s="10">
        <f t="shared" si="0"/>
        <v>34</v>
      </c>
      <c r="B26" t="str">
        <f>Produits!$B$11</f>
        <v>Graines collectées</v>
      </c>
      <c r="C26" t="str">
        <f>Secteurs!$B$44</f>
        <v>Semences certifiées</v>
      </c>
      <c r="D26" s="888">
        <f>'Prétraitement semences fermière'!F10</f>
        <v>0.13636363636363635</v>
      </c>
      <c r="G26" t="str">
        <f>Etiquettes!$C$3</f>
        <v>kt</v>
      </c>
      <c r="H26" s="21" t="str">
        <f>Etiquettes!$H$6</f>
        <v>Colza</v>
      </c>
      <c r="I26" s="21" t="str">
        <f>Etiquettes!$J$5</f>
        <v>2023-24</v>
      </c>
      <c r="J26" t="str">
        <f>Etiquettes!$C$4</f>
        <v>France entière</v>
      </c>
      <c r="K26" s="31"/>
      <c r="M26" s="31"/>
      <c r="P26" s="10"/>
      <c r="U26" s="1027"/>
    </row>
    <row r="27" spans="1:21">
      <c r="A27" s="10">
        <f t="shared" si="0"/>
        <v>34</v>
      </c>
      <c r="B27" t="str">
        <f>Produits!$B$4</f>
        <v>Graines autoconsommées</v>
      </c>
      <c r="C27" t="str">
        <f>Secteurs!$B$43</f>
        <v>Semences fermières</v>
      </c>
      <c r="D27">
        <v>-1</v>
      </c>
      <c r="G27" t="str">
        <f>Etiquettes!$C$3</f>
        <v>kt</v>
      </c>
      <c r="H27" s="21" t="str">
        <f>Etiquettes!$H$6</f>
        <v>Colza</v>
      </c>
      <c r="I27" s="21" t="str">
        <f>Etiquettes!$J$5</f>
        <v>2023-24</v>
      </c>
      <c r="J27" t="str">
        <f>Etiquettes!$C$4</f>
        <v>France entière</v>
      </c>
      <c r="K27" s="31" t="s">
        <v>947</v>
      </c>
      <c r="M27" s="31" t="s">
        <v>949</v>
      </c>
      <c r="N27" t="s">
        <v>1488</v>
      </c>
      <c r="O27" t="str">
        <f>Etiquettes!$J$11</f>
        <v>Répartition</v>
      </c>
      <c r="P27" t="str">
        <f>_xlfn.CONCAT(K27," = ",MROUND(D26*100,0.01)," % (",M27,")")</f>
        <v>Part de semences fermières (par rapport aux semences certifiées) = 13,64 % (Enquête Pratiques culturales en grandes cultures - SSP)</v>
      </c>
      <c r="Q27" t="str">
        <f>Etiquettes!$K$15</f>
        <v>Approximative</v>
      </c>
      <c r="R27" s="976" t="s">
        <v>1509</v>
      </c>
      <c r="S27" s="976" t="s">
        <v>1475</v>
      </c>
      <c r="U27" s="1027"/>
    </row>
    <row r="28" spans="1:21">
      <c r="A28" s="10">
        <f t="shared" si="0"/>
        <v>35</v>
      </c>
      <c r="B28" t="str">
        <f>Produits!$B$11</f>
        <v>Graines collectées</v>
      </c>
      <c r="C28" t="str">
        <f>Secteurs!$B$44</f>
        <v>Semences certifiées</v>
      </c>
      <c r="D28" s="888">
        <f>'Prétraitement semences fermière'!F11</f>
        <v>7.0493454179254783E-3</v>
      </c>
      <c r="G28" t="str">
        <f>Etiquettes!$C$3</f>
        <v>kt</v>
      </c>
      <c r="H28" s="21" t="str">
        <f>Etiquettes!$I$6</f>
        <v>Tournesol</v>
      </c>
      <c r="I28" s="21" t="str">
        <f>Etiquettes!$J$5</f>
        <v>2023-24</v>
      </c>
      <c r="J28" t="str">
        <f>Etiquettes!$C$4</f>
        <v>France entière</v>
      </c>
      <c r="K28" s="31"/>
      <c r="M28" s="31"/>
      <c r="P28" s="10"/>
      <c r="U28" s="1027"/>
    </row>
    <row r="29" spans="1:21">
      <c r="A29" s="10">
        <f t="shared" si="0"/>
        <v>35</v>
      </c>
      <c r="B29" t="str">
        <f>Produits!$B$4</f>
        <v>Graines autoconsommées</v>
      </c>
      <c r="C29" t="str">
        <f>Secteurs!$B$43</f>
        <v>Semences fermières</v>
      </c>
      <c r="D29">
        <v>-1</v>
      </c>
      <c r="G29" t="str">
        <f>Etiquettes!$C$3</f>
        <v>kt</v>
      </c>
      <c r="H29" s="21" t="str">
        <f>Etiquettes!$I$6</f>
        <v>Tournesol</v>
      </c>
      <c r="I29" s="21" t="str">
        <f>Etiquettes!$J$5</f>
        <v>2023-24</v>
      </c>
      <c r="J29" t="str">
        <f>Etiquettes!$C$4</f>
        <v>France entière</v>
      </c>
      <c r="K29" s="31" t="s">
        <v>947</v>
      </c>
      <c r="M29" s="31" t="s">
        <v>949</v>
      </c>
      <c r="N29" t="s">
        <v>1488</v>
      </c>
      <c r="O29" t="str">
        <f>Etiquettes!$J$11</f>
        <v>Répartition</v>
      </c>
      <c r="P29" t="str">
        <f>_xlfn.CONCAT(K29," = ",MROUND(D28*100,0.01)," % (",M29,")")</f>
        <v>Part de semences fermières (par rapport aux semences certifiées) = 0,7 % (Enquête Pratiques culturales en grandes cultures - SSP)</v>
      </c>
      <c r="Q29" t="str">
        <f>Etiquettes!$K$15</f>
        <v>Approximative</v>
      </c>
      <c r="R29" s="976" t="s">
        <v>1509</v>
      </c>
      <c r="S29" s="976" t="s">
        <v>1475</v>
      </c>
      <c r="U29" s="1027"/>
    </row>
    <row r="30" spans="1:21">
      <c r="A30" s="10">
        <f t="shared" si="0"/>
        <v>36</v>
      </c>
      <c r="B30" t="str">
        <f>Produits!$B$11</f>
        <v>Graines collectées</v>
      </c>
      <c r="C30" t="str">
        <f>Secteurs!$B$44</f>
        <v>Semences certifiées</v>
      </c>
      <c r="D30" s="888">
        <f>'Prétraitement semences fermière'!F12</f>
        <v>1</v>
      </c>
      <c r="G30" t="str">
        <f>Etiquettes!$C$3</f>
        <v>kt</v>
      </c>
      <c r="H30" s="21" t="str">
        <f>Etiquettes!$J$6</f>
        <v>Soja</v>
      </c>
      <c r="I30" s="21" t="str">
        <f>Etiquettes!$J$5</f>
        <v>2023-24</v>
      </c>
      <c r="J30" t="str">
        <f>Etiquettes!$C$4</f>
        <v>France entière</v>
      </c>
      <c r="K30" s="31"/>
      <c r="M30" s="31"/>
      <c r="P30" s="10"/>
      <c r="U30" s="1027"/>
    </row>
    <row r="31" spans="1:21">
      <c r="A31" s="10">
        <f t="shared" si="0"/>
        <v>36</v>
      </c>
      <c r="B31" t="str">
        <f>Produits!$B$4</f>
        <v>Graines autoconsommées</v>
      </c>
      <c r="C31" t="str">
        <f>Secteurs!$B$43</f>
        <v>Semences fermières</v>
      </c>
      <c r="D31">
        <v>-1</v>
      </c>
      <c r="G31" t="str">
        <f>Etiquettes!$C$3</f>
        <v>kt</v>
      </c>
      <c r="H31" s="21" t="str">
        <f>Etiquettes!$J$6</f>
        <v>Soja</v>
      </c>
      <c r="I31" s="21" t="str">
        <f>Etiquettes!$J$5</f>
        <v>2023-24</v>
      </c>
      <c r="J31" t="str">
        <f>Etiquettes!$C$4</f>
        <v>France entière</v>
      </c>
      <c r="K31" s="31" t="s">
        <v>947</v>
      </c>
      <c r="L31" s="31"/>
      <c r="M31" s="31" t="s">
        <v>949</v>
      </c>
      <c r="N31" t="s">
        <v>1488</v>
      </c>
      <c r="O31" t="str">
        <f>Etiquettes!$J$11</f>
        <v>Répartition</v>
      </c>
      <c r="P31" t="str">
        <f>_xlfn.CONCAT(K31," = ",MROUND(D30*100,0.01)," % (",M31,")")</f>
        <v>Part de semences fermières (par rapport aux semences certifiées) = 100 % (Enquête Pratiques culturales en grandes cultures - SSP)</v>
      </c>
      <c r="Q31" t="str">
        <f>Etiquettes!$K$15</f>
        <v>Approximative</v>
      </c>
      <c r="R31" s="976" t="s">
        <v>1509</v>
      </c>
      <c r="S31" s="976" t="s">
        <v>1475</v>
      </c>
      <c r="U31" s="1027"/>
    </row>
    <row r="32" spans="1:21">
      <c r="A32" s="10">
        <f t="shared" si="0"/>
        <v>37</v>
      </c>
      <c r="B32" t="str">
        <f>Produits!$B$11</f>
        <v>Graines collectées</v>
      </c>
      <c r="C32" t="str">
        <f>Secteurs!$B$44</f>
        <v>Semences certifiées</v>
      </c>
      <c r="D32" s="888">
        <f>'Prétraitement semences fermière'!F13</f>
        <v>9.2896174863387984E-2</v>
      </c>
      <c r="G32" t="str">
        <f>Etiquettes!$C$3</f>
        <v>kt</v>
      </c>
      <c r="H32" s="21" t="str">
        <f>Etiquettes!$K$6</f>
        <v>Lin</v>
      </c>
      <c r="I32" s="21" t="str">
        <f>Etiquettes!$J$5</f>
        <v>2023-24</v>
      </c>
      <c r="J32" t="str">
        <f>Etiquettes!$C$4</f>
        <v>France entière</v>
      </c>
      <c r="K32" s="31"/>
      <c r="M32" s="31"/>
      <c r="P32" s="10"/>
      <c r="U32" s="1027"/>
    </row>
    <row r="33" spans="1:21">
      <c r="A33" s="10">
        <f t="shared" si="0"/>
        <v>37</v>
      </c>
      <c r="B33" t="str">
        <f>Produits!$B$4</f>
        <v>Graines autoconsommées</v>
      </c>
      <c r="C33" t="str">
        <f>Secteurs!$B$43</f>
        <v>Semences fermières</v>
      </c>
      <c r="D33">
        <v>-1</v>
      </c>
      <c r="G33" t="str">
        <f>Etiquettes!$C$3</f>
        <v>kt</v>
      </c>
      <c r="H33" s="21" t="str">
        <f>Etiquettes!$K$6</f>
        <v>Lin</v>
      </c>
      <c r="I33" s="21" t="str">
        <f>Etiquettes!$J$5</f>
        <v>2023-24</v>
      </c>
      <c r="J33" t="str">
        <f>Etiquettes!$C$4</f>
        <v>France entière</v>
      </c>
      <c r="K33" s="31" t="s">
        <v>947</v>
      </c>
      <c r="L33" s="31"/>
      <c r="M33" s="31" t="s">
        <v>949</v>
      </c>
      <c r="N33" t="s">
        <v>1488</v>
      </c>
      <c r="O33" t="str">
        <f>Etiquettes!$J$11</f>
        <v>Répartition</v>
      </c>
      <c r="P33" t="str">
        <f>_xlfn.CONCAT(K33," = ",MROUND(D32*100,0.01)," % (",M33,")")</f>
        <v>Part de semences fermières (par rapport aux semences certifiées) = 9,29 % (Enquête Pratiques culturales en grandes cultures - SSP)</v>
      </c>
      <c r="Q33" t="str">
        <f>Etiquettes!$K$15</f>
        <v>Approximative</v>
      </c>
      <c r="R33" s="976" t="s">
        <v>1509</v>
      </c>
      <c r="S33" s="976" t="s">
        <v>1475</v>
      </c>
      <c r="U33" s="1027"/>
    </row>
    <row r="34" spans="1:21">
      <c r="A34" s="10">
        <f t="shared" si="0"/>
        <v>38</v>
      </c>
      <c r="B34" t="str">
        <f>Produits!$B$11</f>
        <v>Graines collectées</v>
      </c>
      <c r="C34" t="str">
        <f>Secteurs!$B$44</f>
        <v>Semences certifiées</v>
      </c>
      <c r="D34" s="888">
        <f>'Prétraitement semences fermière'!F14</f>
        <v>1.5</v>
      </c>
      <c r="G34" t="str">
        <f>Etiquettes!$C$3</f>
        <v>kt</v>
      </c>
      <c r="H34" s="21" t="str">
        <f>Etiquettes!$L$6</f>
        <v>Pois</v>
      </c>
      <c r="I34" s="21" t="str">
        <f>Etiquettes!$J$5</f>
        <v>2023-24</v>
      </c>
      <c r="J34" t="str">
        <f>Etiquettes!$C$4</f>
        <v>France entière</v>
      </c>
      <c r="K34" s="31"/>
      <c r="M34" s="31"/>
      <c r="P34" s="10"/>
      <c r="U34" s="1027"/>
    </row>
    <row r="35" spans="1:21">
      <c r="A35" s="10">
        <f t="shared" si="0"/>
        <v>38</v>
      </c>
      <c r="B35" t="str">
        <f>Produits!$B$4</f>
        <v>Graines autoconsommées</v>
      </c>
      <c r="C35" t="str">
        <f>Secteurs!$B$43</f>
        <v>Semences fermières</v>
      </c>
      <c r="D35">
        <v>-1</v>
      </c>
      <c r="G35" t="str">
        <f>Etiquettes!$C$3</f>
        <v>kt</v>
      </c>
      <c r="H35" s="21" t="str">
        <f>Etiquettes!$L$6</f>
        <v>Pois</v>
      </c>
      <c r="I35" s="21" t="str">
        <f>Etiquettes!$J$5</f>
        <v>2023-24</v>
      </c>
      <c r="J35" t="str">
        <f>Etiquettes!$C$4</f>
        <v>France entière</v>
      </c>
      <c r="K35" s="31" t="s">
        <v>947</v>
      </c>
      <c r="L35" s="31"/>
      <c r="M35" s="31" t="s">
        <v>1404</v>
      </c>
      <c r="N35" t="s">
        <v>1488</v>
      </c>
      <c r="O35" t="str">
        <f>Etiquettes!$J$11</f>
        <v>Répartition</v>
      </c>
      <c r="P35" t="str">
        <f>_xlfn.CONCAT(K35," = ",MROUND(D34*100,0.01)," % (",M35,")")</f>
        <v>Part de semences fermières (par rapport aux semences certifiées) = 150 % (Estimation - Terres Univia)</v>
      </c>
      <c r="Q35" t="str">
        <f>Etiquettes!$K$15</f>
        <v>Approximative</v>
      </c>
      <c r="R35" s="976" t="s">
        <v>1509</v>
      </c>
      <c r="S35" s="976" t="s">
        <v>1475</v>
      </c>
      <c r="U35" s="1027"/>
    </row>
    <row r="36" spans="1:21">
      <c r="A36" s="10">
        <f t="shared" si="0"/>
        <v>39</v>
      </c>
      <c r="B36" t="str">
        <f>Produits!$B$11</f>
        <v>Graines collectées</v>
      </c>
      <c r="C36" t="str">
        <f>Secteurs!$B$44</f>
        <v>Semences certifiées</v>
      </c>
      <c r="D36" s="888">
        <f>'Prétraitement semences fermière'!F15</f>
        <v>4.2857142857142856</v>
      </c>
      <c r="G36" t="str">
        <f>Etiquettes!$C$3</f>
        <v>kt</v>
      </c>
      <c r="H36" s="21" t="str">
        <f>Etiquettes!$M$6</f>
        <v>Féverole</v>
      </c>
      <c r="I36" s="21" t="str">
        <f>Etiquettes!$J$5</f>
        <v>2023-24</v>
      </c>
      <c r="J36" t="str">
        <f>Etiquettes!$C$4</f>
        <v>France entière</v>
      </c>
      <c r="K36" s="31"/>
      <c r="M36" s="31"/>
      <c r="P36" s="10"/>
      <c r="U36" s="1027"/>
    </row>
    <row r="37" spans="1:21">
      <c r="A37" s="10">
        <f t="shared" si="0"/>
        <v>39</v>
      </c>
      <c r="B37" t="str">
        <f>Produits!$B$4</f>
        <v>Graines autoconsommées</v>
      </c>
      <c r="C37" t="str">
        <f>Secteurs!$B$43</f>
        <v>Semences fermières</v>
      </c>
      <c r="D37">
        <v>-1</v>
      </c>
      <c r="G37" t="str">
        <f>Etiquettes!$C$3</f>
        <v>kt</v>
      </c>
      <c r="H37" s="21" t="str">
        <f>Etiquettes!$M$6</f>
        <v>Féverole</v>
      </c>
      <c r="I37" s="21" t="str">
        <f>Etiquettes!$J$5</f>
        <v>2023-24</v>
      </c>
      <c r="J37" t="str">
        <f>Etiquettes!$C$4</f>
        <v>France entière</v>
      </c>
      <c r="K37" s="31" t="s">
        <v>947</v>
      </c>
      <c r="L37" s="31"/>
      <c r="M37" s="31" t="s">
        <v>1404</v>
      </c>
      <c r="N37" t="s">
        <v>1488</v>
      </c>
      <c r="O37" t="str">
        <f>Etiquettes!$J$11</f>
        <v>Répartition</v>
      </c>
      <c r="P37" t="str">
        <f>_xlfn.CONCAT(K37," = ",MROUND(D36*100,0.01)," % (",M37,")")</f>
        <v>Part de semences fermières (par rapport aux semences certifiées) = 428,57 % (Estimation - Terres Univia)</v>
      </c>
      <c r="Q37" t="str">
        <f>Etiquettes!$K$15</f>
        <v>Approximative</v>
      </c>
      <c r="R37" s="976" t="s">
        <v>1509</v>
      </c>
      <c r="S37" s="976" t="s">
        <v>1475</v>
      </c>
      <c r="U37" s="1027"/>
    </row>
    <row r="38" spans="1:21">
      <c r="A38" s="10">
        <f t="shared" si="0"/>
        <v>40</v>
      </c>
      <c r="B38" t="str">
        <f>Produits!$B$11</f>
        <v>Graines collectées</v>
      </c>
      <c r="C38" t="str">
        <f>Secteurs!$B$44</f>
        <v>Semences certifiées</v>
      </c>
      <c r="D38" s="888">
        <v>1</v>
      </c>
      <c r="G38" t="str">
        <f>Etiquettes!$C$3</f>
        <v>kt</v>
      </c>
      <c r="H38" s="21" t="s">
        <v>1249</v>
      </c>
      <c r="I38" s="21" t="str">
        <f>Etiquettes!$C$5</f>
        <v>2015-16:2019-20:2023-24</v>
      </c>
      <c r="J38" t="str">
        <f>Etiquettes!$C$4</f>
        <v>France entière</v>
      </c>
      <c r="K38" s="31"/>
      <c r="M38" s="31"/>
      <c r="P38" s="10"/>
      <c r="U38" s="1027"/>
    </row>
    <row r="39" spans="1:21">
      <c r="A39" s="10">
        <f t="shared" si="0"/>
        <v>40</v>
      </c>
      <c r="B39" t="str">
        <f>Produits!$B$4</f>
        <v>Graines autoconsommées</v>
      </c>
      <c r="C39" t="str">
        <f>Secteurs!$B$43</f>
        <v>Semences fermières</v>
      </c>
      <c r="D39">
        <v>-1</v>
      </c>
      <c r="G39" t="str">
        <f>Etiquettes!$C$3</f>
        <v>kt</v>
      </c>
      <c r="H39" s="21" t="s">
        <v>1249</v>
      </c>
      <c r="I39" s="21" t="str">
        <f>Etiquettes!$C$5</f>
        <v>2015-16:2019-20:2023-24</v>
      </c>
      <c r="J39" t="str">
        <f>Etiquettes!$C$4</f>
        <v>France entière</v>
      </c>
      <c r="K39" s="31" t="s">
        <v>947</v>
      </c>
      <c r="L39" s="31" t="s">
        <v>948</v>
      </c>
      <c r="M39" s="31"/>
      <c r="O39" t="str">
        <f>Etiquettes!$J$11</f>
        <v>Répartition</v>
      </c>
      <c r="Q39" t="str">
        <f>Etiquettes!$L$15</f>
        <v>Indicative</v>
      </c>
      <c r="R39" s="976" t="s">
        <v>1509</v>
      </c>
      <c r="S39" s="976" t="s">
        <v>1475</v>
      </c>
      <c r="U39" s="1027"/>
    </row>
  </sheetData>
  <mergeCells count="1">
    <mergeCell ref="U2:U3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7CE16-0AAC-4F91-A411-200DD5AB49AA}">
  <sheetPr>
    <tabColor theme="1"/>
  </sheetPr>
  <dimension ref="A1:Q52"/>
  <sheetViews>
    <sheetView workbookViewId="0">
      <pane xSplit="2" ySplit="1" topLeftCell="C2" activePane="bottomRight" state="frozen"/>
      <selection activeCell="F19" sqref="F19"/>
      <selection pane="topRight" activeCell="F19" sqref="F19"/>
      <selection pane="bottomLeft" activeCell="F19" sqref="F19"/>
      <selection pane="bottomRight" activeCell="D44" sqref="D44"/>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20">_xlfn._xlws.FILTER('Contraintes  '!G1:S200,ISTEXT('Contraintes  '!O1:O200))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20">_xlfn._xlws.FILTER('Contraintes  '!B2:C200,ISTEXT('Contraintes  '!O2:O200))</f>
        <v>Graines autoconsommées</v>
      </c>
      <c r="B2" t="str">
        <v>Semences fermières</v>
      </c>
      <c r="E2" t="str">
        <v>kt</v>
      </c>
      <c r="F2" t="str">
        <v>Colza</v>
      </c>
      <c r="G2" t="str">
        <v>2015-16</v>
      </c>
      <c r="H2" t="str">
        <v>France entière</v>
      </c>
      <c r="I2" t="str">
        <v>Part de semences fermières (par rapport aux semences certifiées)</v>
      </c>
      <c r="J2">
        <v>0</v>
      </c>
      <c r="K2" t="str">
        <v>Enquête Pratiques culturales en grandes cultures - SSP</v>
      </c>
      <c r="L2" t="str">
        <v>Semences fermières - AGRESTE</v>
      </c>
      <c r="M2" t="str">
        <v>Répartition</v>
      </c>
      <c r="N2" t="str">
        <v>Part de semences fermières (par rapport aux semences certifiées) = 20,51 % (Enquête Pratiques culturales en grandes cultures - SSP)</v>
      </c>
      <c r="O2" t="str">
        <v>Approximative</v>
      </c>
      <c r="P2" t="str">
        <v>Données collectées:Données déterminées</v>
      </c>
      <c r="Q2" t="str">
        <v>Donnée collectée (valeur du flux ou coefficient)</v>
      </c>
    </row>
    <row r="3" spans="1:17">
      <c r="A3" t="str">
        <v>Graines autoconsommées</v>
      </c>
      <c r="B3" t="str">
        <v>Semences fermières</v>
      </c>
      <c r="E3" t="str">
        <v>kt</v>
      </c>
      <c r="F3" t="str">
        <v>Tournesol</v>
      </c>
      <c r="G3" t="str">
        <v>2015-16</v>
      </c>
      <c r="H3" t="str">
        <v>France entière</v>
      </c>
      <c r="I3" t="str">
        <v>Part de semences fermières (par rapport aux semences certifiées)</v>
      </c>
      <c r="J3">
        <v>0</v>
      </c>
      <c r="K3" t="str">
        <v>Enquête Pratiques culturales en grandes cultures - SSP</v>
      </c>
      <c r="L3" t="str">
        <v>Semences fermières - AGRESTE</v>
      </c>
      <c r="M3" t="str">
        <v>Répartition</v>
      </c>
      <c r="N3" t="str">
        <v>Part de semences fermières (par rapport aux semences certifiées) = 0,7 % (Enquête Pratiques culturales en grandes cultures - SSP)</v>
      </c>
      <c r="O3" t="str">
        <v>Approximative</v>
      </c>
      <c r="P3" t="str">
        <v>Données collectées:Données déterminées</v>
      </c>
      <c r="Q3" t="str">
        <v>Donnée collectée (valeur du flux ou coefficient)</v>
      </c>
    </row>
    <row r="4" spans="1:17">
      <c r="A4" t="str">
        <v>Graines autoconsommées</v>
      </c>
      <c r="B4" t="str">
        <v>Semences fermières</v>
      </c>
      <c r="E4" t="str">
        <v>kt</v>
      </c>
      <c r="F4" t="str">
        <v>Soja</v>
      </c>
      <c r="G4" t="str">
        <v>2015-16</v>
      </c>
      <c r="H4" t="str">
        <v>France entière</v>
      </c>
      <c r="I4" t="str">
        <v>Part de semences fermières (par rapport aux semences certifiées)</v>
      </c>
      <c r="J4">
        <v>0</v>
      </c>
      <c r="K4" t="str">
        <v>Enquête Pratiques culturales en grandes cultures - SSP</v>
      </c>
      <c r="L4" t="str">
        <v>Semences fermières - AGRESTE</v>
      </c>
      <c r="M4" t="str">
        <v>Répartition</v>
      </c>
      <c r="N4" t="str">
        <v>Part de semences fermières (par rapport aux semences certifiées) = 180,11 % (Enquête Pratiques culturales en grandes cultures - SSP)</v>
      </c>
      <c r="O4" t="str">
        <v>Approximative</v>
      </c>
      <c r="P4" t="str">
        <v>Données collectées:Données déterminées</v>
      </c>
      <c r="Q4" t="str">
        <v>Donnée collectée (valeur du flux ou coefficient)</v>
      </c>
    </row>
    <row r="5" spans="1:17">
      <c r="A5" t="str">
        <v>Graines autoconsommées</v>
      </c>
      <c r="B5" t="str">
        <v>Semences fermières</v>
      </c>
      <c r="E5" t="str">
        <v>kt</v>
      </c>
      <c r="F5" t="str">
        <v>Lin</v>
      </c>
      <c r="G5" t="str">
        <v>2015-16</v>
      </c>
      <c r="H5" t="str">
        <v>France entière</v>
      </c>
      <c r="I5" t="str">
        <v>Part de semences fermières (par rapport aux semences certifiées)</v>
      </c>
      <c r="J5">
        <v>0</v>
      </c>
      <c r="K5" t="str">
        <v>Enquête Pratiques culturales en grandes cultures - SSP</v>
      </c>
      <c r="L5" t="str">
        <v>Semences fermières - AGRESTE</v>
      </c>
      <c r="M5" t="str">
        <v>Répartition</v>
      </c>
      <c r="N5" t="str">
        <v>Part de semences fermières (par rapport aux semences certifiées) = 143,31 % (Enquête Pratiques culturales en grandes cultures - SSP)</v>
      </c>
      <c r="O5" t="str">
        <v>Approximative</v>
      </c>
      <c r="P5" t="str">
        <v>Données collectées:Données déterminées</v>
      </c>
      <c r="Q5" t="str">
        <v>Donnée collectée (valeur du flux ou coefficient)</v>
      </c>
    </row>
    <row r="6" spans="1:17">
      <c r="A6" t="str">
        <v>Graines autoconsommées</v>
      </c>
      <c r="B6" t="str">
        <v>Semences fermières</v>
      </c>
      <c r="E6" t="str">
        <v>kt</v>
      </c>
      <c r="F6" t="str">
        <v>Pois</v>
      </c>
      <c r="G6" t="str">
        <v>2015-16</v>
      </c>
      <c r="H6" t="str">
        <v>France entière</v>
      </c>
      <c r="I6" t="str">
        <v>Part de semences fermières (par rapport aux semences certifiées)</v>
      </c>
      <c r="J6">
        <v>0</v>
      </c>
      <c r="K6" t="str">
        <v>Estimation - Terres Univia</v>
      </c>
      <c r="L6" t="str">
        <v>Semences fermières - AGRESTE</v>
      </c>
      <c r="M6" t="str">
        <v>Répartition</v>
      </c>
      <c r="N6" t="str">
        <v>Part de semences fermières (par rapport aux semences certifiées) = 150 % (Estimation - Terres Univia)</v>
      </c>
      <c r="O6" t="str">
        <v>Approximative</v>
      </c>
      <c r="P6" t="str">
        <v>Données collectées:Données déterminées</v>
      </c>
      <c r="Q6" t="str">
        <v>Donnée collectée (valeur du flux ou coefficient)</v>
      </c>
    </row>
    <row r="7" spans="1:17">
      <c r="A7" t="str">
        <v>Graines autoconsommées</v>
      </c>
      <c r="B7" t="str">
        <v>Semences fermières</v>
      </c>
      <c r="E7" t="str">
        <v>kt</v>
      </c>
      <c r="F7" t="str">
        <v>Féverole</v>
      </c>
      <c r="G7" t="str">
        <v>2015-16</v>
      </c>
      <c r="H7" t="str">
        <v>France entière</v>
      </c>
      <c r="I7" t="str">
        <v>Part de semences fermières (par rapport aux semences certifiées)</v>
      </c>
      <c r="J7">
        <v>0</v>
      </c>
      <c r="K7" t="str">
        <v>Estimation - Terres Univia</v>
      </c>
      <c r="L7" t="str">
        <v>Semences fermières - AGRESTE</v>
      </c>
      <c r="M7" t="str">
        <v>Répartition</v>
      </c>
      <c r="N7" t="str">
        <v>Part de semences fermières (par rapport aux semences certifiées) = 428,57 % (Estimation - Terres Univia)</v>
      </c>
      <c r="O7" t="str">
        <v>Approximative</v>
      </c>
      <c r="P7" t="str">
        <v>Données collectées:Données déterminées</v>
      </c>
      <c r="Q7" t="str">
        <v>Donnée collectée (valeur du flux ou coefficient)</v>
      </c>
    </row>
    <row r="8" spans="1:17">
      <c r="A8" t="str">
        <v>Graines autoconsommées</v>
      </c>
      <c r="B8" t="str">
        <v>Semences fermières</v>
      </c>
      <c r="E8" t="str">
        <v>kt</v>
      </c>
      <c r="F8" t="str">
        <v>Colza</v>
      </c>
      <c r="G8" t="str">
        <v>2019-20</v>
      </c>
      <c r="H8" t="str">
        <v>France entière</v>
      </c>
      <c r="I8" t="str">
        <v>Part de semences fermières (par rapport aux semences certifiées)</v>
      </c>
      <c r="J8">
        <v>0</v>
      </c>
      <c r="K8" t="str">
        <v>Enquête Pratiques culturales en grandes cultures - SSP</v>
      </c>
      <c r="L8" t="str">
        <v>Semences fermières - AGRESTE</v>
      </c>
      <c r="M8" t="str">
        <v>Répartition</v>
      </c>
      <c r="N8" t="str">
        <v>Part de semences fermières (par rapport aux semences certifiées) = 17,07 % (Enquête Pratiques culturales en grandes cultures - SSP)</v>
      </c>
      <c r="O8" t="str">
        <v>Approximative</v>
      </c>
      <c r="P8" t="str">
        <v>Données collectées:Données déterminées</v>
      </c>
      <c r="Q8" t="str">
        <v>Donnée collectée (valeur du flux ou coefficient)</v>
      </c>
    </row>
    <row r="9" spans="1:17">
      <c r="A9" t="str">
        <v>Graines autoconsommées</v>
      </c>
      <c r="B9" t="str">
        <v>Semences fermières</v>
      </c>
      <c r="E9" t="str">
        <v>kt</v>
      </c>
      <c r="F9" t="str">
        <v>Tournesol</v>
      </c>
      <c r="G9" t="str">
        <v>2019-20</v>
      </c>
      <c r="H9" t="str">
        <v>France entière</v>
      </c>
      <c r="I9" t="str">
        <v>Part de semences fermières (par rapport aux semences certifiées)</v>
      </c>
      <c r="J9">
        <v>0</v>
      </c>
      <c r="K9" t="str">
        <v>Enquête Pratiques culturales en grandes cultures - SSP</v>
      </c>
      <c r="L9" t="str">
        <v>Semences fermières - AGRESTE</v>
      </c>
      <c r="M9" t="str">
        <v>Répartition</v>
      </c>
      <c r="N9" t="str">
        <v>Part de semences fermières (par rapport aux semences certifiées) = 0,7 % (Enquête Pratiques culturales en grandes cultures - SSP)</v>
      </c>
      <c r="O9" t="str">
        <v>Approximative</v>
      </c>
      <c r="P9" t="str">
        <v>Données collectées:Données déterminées</v>
      </c>
      <c r="Q9" t="str">
        <v>Donnée collectée (valeur du flux ou coefficient)</v>
      </c>
    </row>
    <row r="10" spans="1:17">
      <c r="A10" t="str">
        <v>Graines autoconsommées</v>
      </c>
      <c r="B10" t="str">
        <v>Semences fermières</v>
      </c>
      <c r="E10" t="str">
        <v>kt</v>
      </c>
      <c r="F10" t="str">
        <v>Soja</v>
      </c>
      <c r="G10" t="str">
        <v>2019-20</v>
      </c>
      <c r="H10" t="str">
        <v>France entière</v>
      </c>
      <c r="I10" t="str">
        <v>Part de semences fermières (par rapport aux semences certifiées)</v>
      </c>
      <c r="J10">
        <v>0</v>
      </c>
      <c r="K10" t="str">
        <v>Enquête Pratiques culturales en grandes cultures - SSP</v>
      </c>
      <c r="L10" t="str">
        <v>Semences fermières - AGRESTE</v>
      </c>
      <c r="M10" t="str">
        <v>Répartition</v>
      </c>
      <c r="N10" t="str">
        <v>Part de semences fermières (par rapport aux semences certifiées) = 140,06 % (Enquête Pratiques culturales en grandes cultures - SSP)</v>
      </c>
      <c r="O10" t="str">
        <v>Approximative</v>
      </c>
      <c r="P10" t="str">
        <v>Données collectées:Données déterminées</v>
      </c>
      <c r="Q10" t="str">
        <v>Donnée collectée (valeur du flux ou coefficient)</v>
      </c>
    </row>
    <row r="11" spans="1:17">
      <c r="A11" t="str">
        <v>Graines autoconsommées</v>
      </c>
      <c r="B11" t="str">
        <v>Semences fermières</v>
      </c>
      <c r="E11" t="str">
        <v>kt</v>
      </c>
      <c r="F11" t="str">
        <v>Lin</v>
      </c>
      <c r="G11" t="str">
        <v>2019-20</v>
      </c>
      <c r="H11" t="str">
        <v>France entière</v>
      </c>
      <c r="I11" t="str">
        <v>Part de semences fermières (par rapport aux semences certifiées)</v>
      </c>
      <c r="J11">
        <v>0</v>
      </c>
      <c r="K11" t="str">
        <v>Enquête Pratiques culturales en grandes cultures - SSP</v>
      </c>
      <c r="L11" t="str">
        <v>Semences fermières - AGRESTE</v>
      </c>
      <c r="M11" t="str">
        <v>Répartition</v>
      </c>
      <c r="N11" t="str">
        <v>Part de semences fermières (par rapport aux semences certifiées) = 76,3 % (Enquête Pratiques culturales en grandes cultures - SSP)</v>
      </c>
      <c r="O11" t="str">
        <v>Approximative</v>
      </c>
      <c r="P11" t="str">
        <v>Données collectées:Données déterminées</v>
      </c>
      <c r="Q11" t="str">
        <v>Donnée collectée (valeur du flux ou coefficient)</v>
      </c>
    </row>
    <row r="12" spans="1:17">
      <c r="A12" t="str">
        <v>Graines autoconsommées</v>
      </c>
      <c r="B12" t="str">
        <v>Semences fermières</v>
      </c>
      <c r="E12" t="str">
        <v>kt</v>
      </c>
      <c r="F12" t="str">
        <v>Pois</v>
      </c>
      <c r="G12" t="str">
        <v>2019-20</v>
      </c>
      <c r="H12" t="str">
        <v>France entière</v>
      </c>
      <c r="I12" t="str">
        <v>Part de semences fermières (par rapport aux semences certifiées)</v>
      </c>
      <c r="J12">
        <v>0</v>
      </c>
      <c r="K12" t="str">
        <v>Estimation - Terres Univia</v>
      </c>
      <c r="L12" t="str">
        <v>Semences fermières - AGRESTE</v>
      </c>
      <c r="M12" t="str">
        <v>Répartition</v>
      </c>
      <c r="N12" t="str">
        <v>Part de semences fermières (par rapport aux semences certifiées) = 150 % (Estimation - Terres Univia)</v>
      </c>
      <c r="O12" t="str">
        <v>Approximative</v>
      </c>
      <c r="P12" t="str">
        <v>Données collectées:Données déterminées</v>
      </c>
      <c r="Q12" t="str">
        <v>Donnée collectée (valeur du flux ou coefficient)</v>
      </c>
    </row>
    <row r="13" spans="1:17">
      <c r="A13" t="str">
        <v>Graines autoconsommées</v>
      </c>
      <c r="B13" t="str">
        <v>Semences fermières</v>
      </c>
      <c r="E13" t="str">
        <v>kt</v>
      </c>
      <c r="F13" t="str">
        <v>Féverole</v>
      </c>
      <c r="G13" t="str">
        <v>2019-20</v>
      </c>
      <c r="H13" t="str">
        <v>France entière</v>
      </c>
      <c r="I13" t="str">
        <v>Part de semences fermières (par rapport aux semences certifiées)</v>
      </c>
      <c r="J13">
        <v>0</v>
      </c>
      <c r="K13" t="str">
        <v>Estimation - Terres Univia</v>
      </c>
      <c r="L13" t="str">
        <v>Semences fermières - AGRESTE</v>
      </c>
      <c r="M13" t="str">
        <v>Répartition</v>
      </c>
      <c r="N13" t="str">
        <v>Part de semences fermières (par rapport aux semences certifiées) = 428,57 % (Estimation - Terres Univia)</v>
      </c>
      <c r="O13" t="str">
        <v>Approximative</v>
      </c>
      <c r="P13" t="str">
        <v>Données collectées:Données déterminées</v>
      </c>
      <c r="Q13" t="str">
        <v>Donnée collectée (valeur du flux ou coefficient)</v>
      </c>
    </row>
    <row r="14" spans="1:17">
      <c r="A14" t="str">
        <v>Graines autoconsommées</v>
      </c>
      <c r="B14" t="str">
        <v>Semences fermières</v>
      </c>
      <c r="E14" t="str">
        <v>kt</v>
      </c>
      <c r="F14" t="str">
        <v>Colza</v>
      </c>
      <c r="G14" t="str">
        <v>2023-24</v>
      </c>
      <c r="H14" t="str">
        <v>France entière</v>
      </c>
      <c r="I14" t="str">
        <v>Part de semences fermières (par rapport aux semences certifiées)</v>
      </c>
      <c r="J14">
        <v>0</v>
      </c>
      <c r="K14" t="str">
        <v>Enquête Pratiques culturales en grandes cultures - SSP</v>
      </c>
      <c r="L14" t="str">
        <v>Semences fermières - AGRESTE</v>
      </c>
      <c r="M14" t="str">
        <v>Répartition</v>
      </c>
      <c r="N14" t="str">
        <v>Part de semences fermières (par rapport aux semences certifiées) = 13,64 % (Enquête Pratiques culturales en grandes cultures - SSP)</v>
      </c>
      <c r="O14" t="str">
        <v>Approximative</v>
      </c>
      <c r="P14" t="str">
        <v>Données collectées:Données déterminées</v>
      </c>
      <c r="Q14" t="str">
        <v>Donnée collectée (valeur du flux ou coefficient)</v>
      </c>
    </row>
    <row r="15" spans="1:17">
      <c r="A15" t="str">
        <v>Graines autoconsommées</v>
      </c>
      <c r="B15" t="str">
        <v>Semences fermières</v>
      </c>
      <c r="E15" t="str">
        <v>kt</v>
      </c>
      <c r="F15" t="str">
        <v>Tournesol</v>
      </c>
      <c r="G15" t="str">
        <v>2023-24</v>
      </c>
      <c r="H15" t="str">
        <v>France entière</v>
      </c>
      <c r="I15" t="str">
        <v>Part de semences fermières (par rapport aux semences certifiées)</v>
      </c>
      <c r="J15">
        <v>0</v>
      </c>
      <c r="K15" t="str">
        <v>Enquête Pratiques culturales en grandes cultures - SSP</v>
      </c>
      <c r="L15" t="str">
        <v>Semences fermières - AGRESTE</v>
      </c>
      <c r="M15" t="str">
        <v>Répartition</v>
      </c>
      <c r="N15" t="str">
        <v>Part de semences fermières (par rapport aux semences certifiées) = 0,7 % (Enquête Pratiques culturales en grandes cultures - SSP)</v>
      </c>
      <c r="O15" t="str">
        <v>Approximative</v>
      </c>
      <c r="P15" t="str">
        <v>Données collectées:Données déterminées</v>
      </c>
      <c r="Q15" t="str">
        <v>Donnée collectée (valeur du flux ou coefficient)</v>
      </c>
    </row>
    <row r="16" spans="1:17">
      <c r="A16" t="str">
        <v>Graines autoconsommées</v>
      </c>
      <c r="B16" t="str">
        <v>Semences fermières</v>
      </c>
      <c r="E16" t="str">
        <v>kt</v>
      </c>
      <c r="F16" t="str">
        <v>Soja</v>
      </c>
      <c r="G16" t="str">
        <v>2023-24</v>
      </c>
      <c r="H16" t="str">
        <v>France entière</v>
      </c>
      <c r="I16" t="str">
        <v>Part de semences fermières (par rapport aux semences certifiées)</v>
      </c>
      <c r="J16">
        <v>0</v>
      </c>
      <c r="K16" t="str">
        <v>Enquête Pratiques culturales en grandes cultures - SSP</v>
      </c>
      <c r="L16" t="str">
        <v>Semences fermières - AGRESTE</v>
      </c>
      <c r="M16" t="str">
        <v>Répartition</v>
      </c>
      <c r="N16" t="str">
        <v>Part de semences fermières (par rapport aux semences certifiées) = 100 % (Enquête Pratiques culturales en grandes cultures - SSP)</v>
      </c>
      <c r="O16" t="str">
        <v>Approximative</v>
      </c>
      <c r="P16" t="str">
        <v>Données collectées:Données déterminées</v>
      </c>
      <c r="Q16" t="str">
        <v>Donnée collectée (valeur du flux ou coefficient)</v>
      </c>
    </row>
    <row r="17" spans="1:17">
      <c r="A17" t="str">
        <v>Graines autoconsommées</v>
      </c>
      <c r="B17" t="str">
        <v>Semences fermières</v>
      </c>
      <c r="E17" t="str">
        <v>kt</v>
      </c>
      <c r="F17" t="str">
        <v>Lin</v>
      </c>
      <c r="G17" t="str">
        <v>2023-24</v>
      </c>
      <c r="H17" t="str">
        <v>France entière</v>
      </c>
      <c r="I17" t="str">
        <v>Part de semences fermières (par rapport aux semences certifiées)</v>
      </c>
      <c r="J17">
        <v>0</v>
      </c>
      <c r="K17" t="str">
        <v>Enquête Pratiques culturales en grandes cultures - SSP</v>
      </c>
      <c r="L17" t="str">
        <v>Semences fermières - AGRESTE</v>
      </c>
      <c r="M17" t="str">
        <v>Répartition</v>
      </c>
      <c r="N17" t="str">
        <v>Part de semences fermières (par rapport aux semences certifiées) = 9,29 % (Enquête Pratiques culturales en grandes cultures - SSP)</v>
      </c>
      <c r="O17" t="str">
        <v>Approximative</v>
      </c>
      <c r="P17" t="str">
        <v>Données collectées:Données déterminées</v>
      </c>
      <c r="Q17" t="str">
        <v>Donnée collectée (valeur du flux ou coefficient)</v>
      </c>
    </row>
    <row r="18" spans="1:17">
      <c r="A18" t="str">
        <v>Graines autoconsommées</v>
      </c>
      <c r="B18" t="str">
        <v>Semences fermières</v>
      </c>
      <c r="E18" t="str">
        <v>kt</v>
      </c>
      <c r="F18" t="str">
        <v>Pois</v>
      </c>
      <c r="G18" t="str">
        <v>2023-24</v>
      </c>
      <c r="H18" t="str">
        <v>France entière</v>
      </c>
      <c r="I18" t="str">
        <v>Part de semences fermières (par rapport aux semences certifiées)</v>
      </c>
      <c r="J18">
        <v>0</v>
      </c>
      <c r="K18" t="str">
        <v>Estimation - Terres Univia</v>
      </c>
      <c r="L18" t="str">
        <v>Semences fermières - AGRESTE</v>
      </c>
      <c r="M18" t="str">
        <v>Répartition</v>
      </c>
      <c r="N18" t="str">
        <v>Part de semences fermières (par rapport aux semences certifiées) = 150 % (Estimation - Terres Univia)</v>
      </c>
      <c r="O18" t="str">
        <v>Approximative</v>
      </c>
      <c r="P18" t="str">
        <v>Données collectées:Données déterminées</v>
      </c>
      <c r="Q18" t="str">
        <v>Donnée collectée (valeur du flux ou coefficient)</v>
      </c>
    </row>
    <row r="19" spans="1:17">
      <c r="A19" t="str">
        <v>Graines autoconsommées</v>
      </c>
      <c r="B19" t="str">
        <v>Semences fermières</v>
      </c>
      <c r="E19" t="str">
        <v>kt</v>
      </c>
      <c r="F19" t="str">
        <v>Féverole</v>
      </c>
      <c r="G19" t="str">
        <v>2023-24</v>
      </c>
      <c r="H19" t="str">
        <v>France entière</v>
      </c>
      <c r="I19" t="str">
        <v>Part de semences fermières (par rapport aux semences certifiées)</v>
      </c>
      <c r="J19">
        <v>0</v>
      </c>
      <c r="K19" t="str">
        <v>Estimation - Terres Univia</v>
      </c>
      <c r="L19" t="str">
        <v>Semences fermières - AGRESTE</v>
      </c>
      <c r="M19" t="str">
        <v>Répartition</v>
      </c>
      <c r="N19" t="str">
        <v>Part de semences fermières (par rapport aux semences certifiées) = 428,57 % (Estimation - Terres Univia)</v>
      </c>
      <c r="O19" t="str">
        <v>Approximative</v>
      </c>
      <c r="P19" t="str">
        <v>Données collectées:Données déterminées</v>
      </c>
      <c r="Q19" t="str">
        <v>Donnée collectée (valeur du flux ou coefficient)</v>
      </c>
    </row>
    <row r="20" spans="1:17">
      <c r="A20" t="str">
        <v>Graines autoconsommées</v>
      </c>
      <c r="B20" t="str">
        <v>Semences fermières</v>
      </c>
      <c r="E20" t="str">
        <v>kt</v>
      </c>
      <c r="F20" t="str">
        <v>Lupin:Lentille:Pois chiche:Haricot sec</v>
      </c>
      <c r="G20" t="str">
        <v>2015-16:2019-20:2023-24</v>
      </c>
      <c r="H20" t="str">
        <v>France entière</v>
      </c>
      <c r="I20" t="str">
        <v>Part de semences fermières (par rapport aux semences certifiées)</v>
      </c>
      <c r="J20" t="str">
        <v>Autant de semences fermières que de semences certifiées sont produites</v>
      </c>
      <c r="K20">
        <v>0</v>
      </c>
      <c r="L20">
        <v>0</v>
      </c>
      <c r="M20" t="str">
        <v>Répartition</v>
      </c>
      <c r="N20">
        <v>0</v>
      </c>
      <c r="O20" t="str">
        <v>Indicative</v>
      </c>
      <c r="P20" t="str">
        <v>Données collectées:Données déterminées</v>
      </c>
      <c r="Q20" t="str">
        <v>Donnée collectée (valeur du flux ou coefficient)</v>
      </c>
    </row>
    <row r="21" spans="1:17">
      <c r="I21"/>
      <c r="J21"/>
      <c r="K21"/>
      <c r="L21"/>
      <c r="M21"/>
    </row>
    <row r="22" spans="1:17">
      <c r="I22"/>
      <c r="J22"/>
      <c r="K22"/>
      <c r="L22"/>
      <c r="M22"/>
    </row>
    <row r="23" spans="1:17">
      <c r="I23"/>
      <c r="J23"/>
      <c r="K23"/>
      <c r="L23"/>
      <c r="M23"/>
    </row>
    <row r="24" spans="1:17">
      <c r="I24"/>
      <c r="J24"/>
      <c r="K24"/>
      <c r="L24"/>
      <c r="M24"/>
    </row>
    <row r="25" spans="1:17">
      <c r="I25"/>
      <c r="J25"/>
      <c r="K25"/>
      <c r="L25"/>
      <c r="M25"/>
    </row>
    <row r="26" spans="1:17">
      <c r="I26"/>
      <c r="J26"/>
      <c r="K26"/>
      <c r="L26"/>
      <c r="M26"/>
    </row>
    <row r="27" spans="1:17">
      <c r="I27"/>
      <c r="J27"/>
      <c r="K27"/>
      <c r="L27"/>
      <c r="M27"/>
    </row>
    <row r="28" spans="1:17">
      <c r="I28"/>
      <c r="J28"/>
      <c r="K28"/>
      <c r="L28"/>
      <c r="M28"/>
    </row>
    <row r="29" spans="1:17">
      <c r="I29"/>
      <c r="J29"/>
      <c r="K29"/>
      <c r="L29"/>
      <c r="M29"/>
    </row>
    <row r="30" spans="1:17">
      <c r="I30"/>
      <c r="J30"/>
      <c r="K30"/>
      <c r="L30"/>
      <c r="M30"/>
    </row>
    <row r="31" spans="1:17">
      <c r="I31"/>
      <c r="J31"/>
      <c r="K31"/>
      <c r="L31"/>
      <c r="M31"/>
    </row>
    <row r="32" spans="1:17">
      <c r="I32"/>
      <c r="J32"/>
      <c r="K32"/>
      <c r="L32"/>
      <c r="M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1A9C0-5C7B-42C1-B594-C4870372006D}">
  <dimension ref="A1:G17"/>
  <sheetViews>
    <sheetView workbookViewId="0">
      <selection activeCell="E15" sqref="E15"/>
    </sheetView>
  </sheetViews>
  <sheetFormatPr baseColWidth="10" defaultRowHeight="14.4"/>
  <cols>
    <col min="1" max="1" width="11.5546875" style="50"/>
    <col min="2" max="2" width="39.88671875" style="50" bestFit="1" customWidth="1"/>
  </cols>
  <sheetData>
    <row r="1" spans="1:7" s="50" customFormat="1" ht="15" thickBot="1">
      <c r="A1" s="1061" t="s">
        <v>155</v>
      </c>
      <c r="B1" s="1062"/>
    </row>
    <row r="2" spans="1:7" s="50" customFormat="1">
      <c r="A2" s="51" t="s">
        <v>156</v>
      </c>
      <c r="B2" s="52" t="s">
        <v>931</v>
      </c>
    </row>
    <row r="3" spans="1:7" s="50" customFormat="1">
      <c r="A3" s="53" t="s">
        <v>158</v>
      </c>
      <c r="B3" s="58" t="s">
        <v>932</v>
      </c>
    </row>
    <row r="4" spans="1:7" s="50" customFormat="1">
      <c r="A4" s="53" t="s">
        <v>159</v>
      </c>
      <c r="B4" s="54" t="s">
        <v>160</v>
      </c>
    </row>
    <row r="5" spans="1:7" s="50" customFormat="1">
      <c r="A5" s="53" t="s">
        <v>15</v>
      </c>
      <c r="B5" s="54"/>
    </row>
    <row r="6" spans="1:7" s="50" customFormat="1">
      <c r="A6" s="53" t="s">
        <v>17</v>
      </c>
      <c r="B6" s="54" t="s">
        <v>933</v>
      </c>
    </row>
    <row r="7" spans="1:7" s="50" customFormat="1" ht="15" thickBot="1">
      <c r="A7" s="55" t="s">
        <v>162</v>
      </c>
      <c r="B7" s="56" t="s">
        <v>163</v>
      </c>
    </row>
    <row r="8" spans="1:7">
      <c r="D8" s="894" t="s">
        <v>934</v>
      </c>
    </row>
    <row r="9" spans="1:7">
      <c r="D9" s="11" t="s">
        <v>935</v>
      </c>
      <c r="E9" s="11" t="s">
        <v>936</v>
      </c>
      <c r="F9" s="11" t="s">
        <v>937</v>
      </c>
    </row>
    <row r="10" spans="1:7">
      <c r="C10" s="11" t="s">
        <v>80</v>
      </c>
      <c r="D10" s="896">
        <f>('Semences fermières - AGRESTE'!F15+('Semences fermières - AGRESTE'!E15/2))/('Semences fermières - AGRESTE'!D15+('Semences fermières - AGRESTE'!E15/2))</f>
        <v>0.20506634499396861</v>
      </c>
      <c r="E10" s="892">
        <f>AVERAGE(D10,F10)</f>
        <v>0.17071499067880247</v>
      </c>
      <c r="F10" s="896">
        <f>('Semences fermières - AGRESTE'!K14+('Semences fermières - AGRESTE'!J14/2))/('Semences fermières - AGRESTE'!I14+('Semences fermières - AGRESTE'!J14/2))</f>
        <v>0.13636363636363635</v>
      </c>
    </row>
    <row r="11" spans="1:7">
      <c r="C11" s="11" t="s">
        <v>81</v>
      </c>
      <c r="D11" s="896">
        <f>('Semences fermières - AGRESTE'!F16+('Semences fermières - AGRESTE'!E16/2))/('Semences fermières - AGRESTE'!D16+('Semences fermières - AGRESTE'!E16/2))</f>
        <v>7.0493454179254783E-3</v>
      </c>
      <c r="E11" s="892">
        <f t="shared" ref="E11:E13" si="0">AVERAGE(D11,F11)</f>
        <v>7.0493454179254783E-3</v>
      </c>
      <c r="F11" s="896">
        <f>D11</f>
        <v>7.0493454179254783E-3</v>
      </c>
      <c r="G11" s="11" t="s">
        <v>951</v>
      </c>
    </row>
    <row r="12" spans="1:7">
      <c r="C12" s="11" t="s">
        <v>82</v>
      </c>
      <c r="D12" s="896">
        <f>('Semences fermières - AGRESTE'!F21+('Semences fermières - AGRESTE'!E21/2))/('Semences fermières - AGRESTE'!D21+('Semences fermières - AGRESTE'!E21/2))</f>
        <v>1.8011204481792715</v>
      </c>
      <c r="E12" s="892">
        <f t="shared" si="0"/>
        <v>1.4005602240896358</v>
      </c>
      <c r="F12" s="896">
        <f>('Semences fermières - AGRESTE'!K21+('Semences fermières - AGRESTE'!J21/2))/('Semences fermières - AGRESTE'!I21+('Semences fermières - AGRESTE'!J21/2))</f>
        <v>1</v>
      </c>
    </row>
    <row r="13" spans="1:7">
      <c r="C13" s="11" t="s">
        <v>83</v>
      </c>
      <c r="D13" s="896">
        <f>('Semences fermières - AGRESTE'!F22+('Semences fermières - AGRESTE'!E22/2))/('Semences fermières - AGRESTE'!D22+('Semences fermières - AGRESTE'!E22/2))</f>
        <v>1.4330900243309002</v>
      </c>
      <c r="E13" s="892">
        <f t="shared" si="0"/>
        <v>0.76299309959714412</v>
      </c>
      <c r="F13" s="896">
        <f>('Semences fermières - AGRESTE'!K22+('Semences fermières - AGRESTE'!J22/2))/('Semences fermières - AGRESTE'!I22+('Semences fermières - AGRESTE'!J22/2))</f>
        <v>9.2896174863387984E-2</v>
      </c>
    </row>
    <row r="14" spans="1:7">
      <c r="C14" s="11" t="s">
        <v>87</v>
      </c>
      <c r="D14" s="896">
        <f>60/40</f>
        <v>1.5</v>
      </c>
      <c r="E14" s="896">
        <f t="shared" ref="E14:F14" si="1">60/40</f>
        <v>1.5</v>
      </c>
      <c r="F14" s="896">
        <f t="shared" si="1"/>
        <v>1.5</v>
      </c>
      <c r="G14" t="s">
        <v>1403</v>
      </c>
    </row>
    <row r="15" spans="1:7">
      <c r="C15" s="11" t="s">
        <v>84</v>
      </c>
      <c r="D15" s="896">
        <f>30/7</f>
        <v>4.2857142857142856</v>
      </c>
      <c r="E15" s="896">
        <f t="shared" ref="E15:F15" si="2">30/7</f>
        <v>4.2857142857142856</v>
      </c>
      <c r="F15" s="896">
        <f t="shared" si="2"/>
        <v>4.2857142857142856</v>
      </c>
      <c r="G15" t="s">
        <v>1403</v>
      </c>
    </row>
    <row r="17" spans="3:3">
      <c r="C17" t="s">
        <v>938</v>
      </c>
    </row>
  </sheetData>
  <mergeCells count="1">
    <mergeCell ref="A1:B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50B7A-66F3-457C-B6A4-3E51EAA51686}">
  <sheetPr>
    <tabColor rgb="FFFFC000"/>
  </sheetPr>
  <dimension ref="A1:K29"/>
  <sheetViews>
    <sheetView workbookViewId="0">
      <selection activeCell="R12" sqref="R12"/>
    </sheetView>
  </sheetViews>
  <sheetFormatPr baseColWidth="10" defaultRowHeight="14.4"/>
  <cols>
    <col min="1" max="1" width="11.5546875" style="50"/>
    <col min="2" max="2" width="60" style="50" bestFit="1" customWidth="1"/>
    <col min="3" max="3" width="15.6640625" customWidth="1"/>
    <col min="8" max="8" width="18.77734375" customWidth="1"/>
  </cols>
  <sheetData>
    <row r="1" spans="1:11" s="50" customFormat="1" ht="15" thickBot="1">
      <c r="A1" s="1065" t="s">
        <v>155</v>
      </c>
      <c r="B1" s="1066"/>
    </row>
    <row r="2" spans="1:11" s="50" customFormat="1">
      <c r="A2" s="51" t="s">
        <v>156</v>
      </c>
      <c r="B2" s="52" t="s">
        <v>169</v>
      </c>
    </row>
    <row r="3" spans="1:11" s="50" customFormat="1">
      <c r="A3" s="53" t="s">
        <v>158</v>
      </c>
      <c r="B3" s="58" t="s">
        <v>932</v>
      </c>
    </row>
    <row r="4" spans="1:11" s="50" customFormat="1">
      <c r="A4" s="53" t="s">
        <v>159</v>
      </c>
      <c r="B4" s="54" t="s">
        <v>160</v>
      </c>
    </row>
    <row r="5" spans="1:11" s="50" customFormat="1">
      <c r="A5" s="53" t="s">
        <v>15</v>
      </c>
      <c r="B5" s="54"/>
    </row>
    <row r="6" spans="1:11" s="50" customFormat="1">
      <c r="A6" s="53" t="s">
        <v>17</v>
      </c>
      <c r="B6" s="54" t="s">
        <v>170</v>
      </c>
    </row>
    <row r="7" spans="1:11" s="50" customFormat="1" ht="15" thickBot="1">
      <c r="A7" s="55" t="s">
        <v>162</v>
      </c>
      <c r="B7" s="56" t="s">
        <v>163</v>
      </c>
    </row>
    <row r="8" spans="1:11" ht="18">
      <c r="C8" s="59" t="s">
        <v>171</v>
      </c>
      <c r="D8" s="60"/>
      <c r="E8" s="60"/>
      <c r="F8" s="60"/>
      <c r="H8" s="897" t="s">
        <v>171</v>
      </c>
    </row>
    <row r="9" spans="1:11">
      <c r="C9" s="61" t="s">
        <v>172</v>
      </c>
      <c r="D9" s="60"/>
      <c r="E9" s="60"/>
      <c r="F9" s="60"/>
      <c r="H9" s="898" t="s">
        <v>172</v>
      </c>
    </row>
    <row r="10" spans="1:11" ht="86.4">
      <c r="C10" s="62" t="s">
        <v>173</v>
      </c>
      <c r="D10" s="62" t="s">
        <v>174</v>
      </c>
      <c r="E10" s="62" t="s">
        <v>175</v>
      </c>
      <c r="F10" s="62" t="s">
        <v>176</v>
      </c>
      <c r="H10" s="899" t="s">
        <v>173</v>
      </c>
      <c r="I10" s="900" t="s">
        <v>174</v>
      </c>
      <c r="J10" s="900" t="s">
        <v>175</v>
      </c>
      <c r="K10" s="900" t="s">
        <v>176</v>
      </c>
    </row>
    <row r="11" spans="1:11">
      <c r="C11" s="63" t="s">
        <v>177</v>
      </c>
      <c r="D11" s="906">
        <v>46.9</v>
      </c>
      <c r="E11" s="906">
        <v>2.2999999999999998</v>
      </c>
      <c r="F11" s="906">
        <v>50.9</v>
      </c>
      <c r="H11" s="902" t="s">
        <v>177</v>
      </c>
      <c r="I11" s="904">
        <v>45</v>
      </c>
      <c r="J11" s="904">
        <v>3</v>
      </c>
      <c r="K11" s="904">
        <v>52</v>
      </c>
    </row>
    <row r="12" spans="1:11">
      <c r="C12" s="63" t="s">
        <v>178</v>
      </c>
      <c r="D12" s="906">
        <v>71.599999999999994</v>
      </c>
      <c r="E12" s="906">
        <v>1.9</v>
      </c>
      <c r="F12" s="906">
        <v>26.5</v>
      </c>
      <c r="H12" s="902" t="s">
        <v>178</v>
      </c>
      <c r="I12" s="904">
        <v>54</v>
      </c>
      <c r="J12" s="904">
        <v>3</v>
      </c>
      <c r="K12" s="904">
        <v>43</v>
      </c>
    </row>
    <row r="13" spans="1:11">
      <c r="C13" s="63" t="s">
        <v>179</v>
      </c>
      <c r="D13" s="906">
        <v>55.5</v>
      </c>
      <c r="E13" s="906">
        <v>2.8</v>
      </c>
      <c r="F13" s="906">
        <v>41.7</v>
      </c>
      <c r="H13" s="902" t="s">
        <v>180</v>
      </c>
      <c r="I13" s="904">
        <v>40</v>
      </c>
      <c r="J13" s="904">
        <v>3</v>
      </c>
      <c r="K13" s="904">
        <v>56</v>
      </c>
    </row>
    <row r="14" spans="1:11">
      <c r="C14" s="63" t="s">
        <v>180</v>
      </c>
      <c r="D14" s="906">
        <v>44.9</v>
      </c>
      <c r="E14" s="906">
        <v>4.4000000000000004</v>
      </c>
      <c r="F14" s="906">
        <v>50.7</v>
      </c>
      <c r="H14" s="902" t="s">
        <v>80</v>
      </c>
      <c r="I14" s="903">
        <v>86</v>
      </c>
      <c r="J14" s="903">
        <v>4</v>
      </c>
      <c r="K14" s="903">
        <v>10</v>
      </c>
    </row>
    <row r="15" spans="1:11">
      <c r="C15" s="63" t="s">
        <v>80</v>
      </c>
      <c r="D15" s="901">
        <v>81.2</v>
      </c>
      <c r="E15" s="901">
        <v>3.4</v>
      </c>
      <c r="F15" s="901">
        <v>15.3</v>
      </c>
      <c r="H15" s="902" t="s">
        <v>81</v>
      </c>
      <c r="I15" s="903">
        <v>99</v>
      </c>
      <c r="J15" s="903" t="s">
        <v>939</v>
      </c>
      <c r="K15" s="903" t="s">
        <v>939</v>
      </c>
    </row>
    <row r="16" spans="1:11">
      <c r="C16" s="63" t="s">
        <v>81</v>
      </c>
      <c r="D16" s="901">
        <v>99.2</v>
      </c>
      <c r="E16" s="901">
        <v>0.2</v>
      </c>
      <c r="F16" s="901">
        <v>0.6</v>
      </c>
      <c r="H16" s="902" t="s">
        <v>181</v>
      </c>
      <c r="I16" s="903">
        <v>39</v>
      </c>
      <c r="J16" s="903">
        <v>7</v>
      </c>
      <c r="K16" s="903">
        <v>53</v>
      </c>
    </row>
    <row r="17" spans="3:11">
      <c r="C17" s="63" t="s">
        <v>181</v>
      </c>
      <c r="D17" s="901">
        <v>44</v>
      </c>
      <c r="E17" s="901">
        <v>4.8</v>
      </c>
      <c r="F17" s="901">
        <v>51.1</v>
      </c>
      <c r="H17" s="902" t="s">
        <v>182</v>
      </c>
      <c r="I17" s="904">
        <v>99</v>
      </c>
      <c r="J17" s="904">
        <v>0</v>
      </c>
      <c r="K17" s="904">
        <v>1</v>
      </c>
    </row>
    <row r="18" spans="3:11">
      <c r="C18" s="63" t="s">
        <v>182</v>
      </c>
      <c r="D18" s="64">
        <v>99.1</v>
      </c>
      <c r="E18" s="64">
        <v>0</v>
      </c>
      <c r="F18" s="64">
        <v>0.9</v>
      </c>
      <c r="H18" s="902" t="s">
        <v>183</v>
      </c>
      <c r="I18" s="904">
        <v>99</v>
      </c>
      <c r="J18" s="904">
        <v>0</v>
      </c>
      <c r="K18" s="904">
        <v>1</v>
      </c>
    </row>
    <row r="19" spans="3:11">
      <c r="C19" s="63" t="s">
        <v>183</v>
      </c>
      <c r="D19" s="906">
        <v>99.9</v>
      </c>
      <c r="E19" s="906">
        <v>0</v>
      </c>
      <c r="F19" s="906">
        <v>0.1</v>
      </c>
      <c r="H19" s="902" t="s">
        <v>184</v>
      </c>
      <c r="I19" s="904">
        <v>91</v>
      </c>
      <c r="J19" s="904">
        <v>5</v>
      </c>
      <c r="K19" s="904">
        <v>4</v>
      </c>
    </row>
    <row r="20" spans="3:11">
      <c r="C20" s="63" t="s">
        <v>184</v>
      </c>
      <c r="D20" s="64">
        <v>93.7</v>
      </c>
      <c r="E20" s="64">
        <v>2.7</v>
      </c>
      <c r="F20" s="64">
        <v>3.6</v>
      </c>
      <c r="H20" s="902" t="s">
        <v>84</v>
      </c>
      <c r="I20" s="903">
        <v>28</v>
      </c>
      <c r="J20" s="903">
        <v>3</v>
      </c>
      <c r="K20" s="903">
        <v>69</v>
      </c>
    </row>
    <row r="21" spans="3:11">
      <c r="C21" s="63" t="s">
        <v>84</v>
      </c>
      <c r="D21" s="901">
        <v>34.1</v>
      </c>
      <c r="E21" s="901">
        <v>3.2</v>
      </c>
      <c r="F21" s="901">
        <v>62.7</v>
      </c>
      <c r="H21" s="902" t="s">
        <v>82</v>
      </c>
      <c r="I21" s="903">
        <v>49</v>
      </c>
      <c r="J21" s="903">
        <v>3</v>
      </c>
      <c r="K21" s="903">
        <v>49</v>
      </c>
    </row>
    <row r="22" spans="3:11">
      <c r="C22" s="63" t="s">
        <v>82</v>
      </c>
      <c r="D22" s="901">
        <v>40.1</v>
      </c>
      <c r="E22" s="901">
        <v>2</v>
      </c>
      <c r="F22" s="901">
        <v>57.9</v>
      </c>
      <c r="H22" s="902" t="s">
        <v>185</v>
      </c>
      <c r="I22" s="903">
        <v>91</v>
      </c>
      <c r="J22" s="903">
        <v>1</v>
      </c>
      <c r="K22" s="903">
        <v>8</v>
      </c>
    </row>
    <row r="23" spans="3:11">
      <c r="C23" s="63" t="s">
        <v>185</v>
      </c>
      <c r="D23" s="901">
        <v>94.6</v>
      </c>
      <c r="E23" s="901">
        <v>0.3</v>
      </c>
      <c r="F23" s="901">
        <v>5.0999999999999996</v>
      </c>
      <c r="H23" s="902" t="s">
        <v>940</v>
      </c>
      <c r="I23" s="904">
        <v>54</v>
      </c>
      <c r="J23" s="904">
        <v>4</v>
      </c>
      <c r="K23" s="904">
        <v>42</v>
      </c>
    </row>
    <row r="24" spans="3:11">
      <c r="C24" s="61" t="s">
        <v>186</v>
      </c>
      <c r="D24" s="60"/>
      <c r="E24" s="60"/>
      <c r="F24" s="60"/>
      <c r="H24" s="902" t="s">
        <v>941</v>
      </c>
      <c r="I24" s="904">
        <v>51</v>
      </c>
      <c r="J24" s="904">
        <v>3</v>
      </c>
      <c r="K24" s="904">
        <v>46</v>
      </c>
    </row>
    <row r="25" spans="3:11">
      <c r="H25" s="902" t="s">
        <v>942</v>
      </c>
      <c r="I25" s="904">
        <v>52</v>
      </c>
      <c r="J25" s="904">
        <v>2</v>
      </c>
      <c r="K25" s="904">
        <v>46</v>
      </c>
    </row>
    <row r="26" spans="3:11">
      <c r="H26" s="902" t="s">
        <v>943</v>
      </c>
      <c r="I26" s="904">
        <v>38</v>
      </c>
      <c r="J26" s="904">
        <v>4</v>
      </c>
      <c r="K26" s="904">
        <v>58</v>
      </c>
    </row>
    <row r="27" spans="3:11">
      <c r="H27" s="902" t="s">
        <v>702</v>
      </c>
      <c r="I27" s="904">
        <v>98</v>
      </c>
      <c r="J27" s="904" t="s">
        <v>939</v>
      </c>
      <c r="K27" s="904" t="s">
        <v>939</v>
      </c>
    </row>
    <row r="28" spans="3:11">
      <c r="H28" s="902" t="s">
        <v>944</v>
      </c>
      <c r="I28" s="905">
        <v>16</v>
      </c>
      <c r="J28" s="905">
        <v>24</v>
      </c>
      <c r="K28" s="905">
        <v>60</v>
      </c>
    </row>
    <row r="29" spans="3:11">
      <c r="H29" s="898" t="s">
        <v>945</v>
      </c>
    </row>
  </sheetData>
  <mergeCells count="1">
    <mergeCell ref="A1:B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BDF60-D956-4FEA-82CE-3895E1026E13}">
  <sheetPr>
    <tabColor rgb="FF92D050"/>
  </sheetPr>
  <dimension ref="A1:Y129"/>
  <sheetViews>
    <sheetView workbookViewId="0">
      <pane xSplit="2" ySplit="1" topLeftCell="K2" activePane="bottomRight" state="frozen"/>
      <selection activeCell="B15" sqref="B15"/>
      <selection pane="topRight" activeCell="B15" sqref="B15"/>
      <selection pane="bottomLeft" activeCell="B15" sqref="B15"/>
      <selection pane="bottomRight" activeCell="P37" sqref="P37:Q37"/>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51"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Etiquettes!$A$8</f>
        <v>Rendement, répartition ou volume d'échange collecté</v>
      </c>
      <c r="O1" s="18" t="str">
        <f>Etiquettes!$A$15</f>
        <v>Fiabilité des données</v>
      </c>
      <c r="P1" s="18" t="str">
        <f>Etiquettes!$A$16</f>
        <v>Méthode</v>
      </c>
      <c r="Q1" s="18" t="str">
        <f>Etiquettes!$A$17</f>
        <v>Analyse des résultats</v>
      </c>
      <c r="R1" s="17" t="s">
        <v>3</v>
      </c>
      <c r="S1" s="19" t="s">
        <v>5</v>
      </c>
    </row>
    <row r="2" spans="1:19">
      <c r="A2" t="str">
        <f>Secteurs!$B$45</f>
        <v>Importations</v>
      </c>
      <c r="B2" t="str">
        <f>Produits!$B$11</f>
        <v>Graines collectées</v>
      </c>
      <c r="C2" s="911">
        <f>'Prétraitement échanges'!D10+'Prétraitement échanges'!D9</f>
        <v>9.2927499999999998</v>
      </c>
      <c r="D2" s="100"/>
      <c r="E2" t="str">
        <f>Etiquettes!$C$3</f>
        <v>kt</v>
      </c>
      <c r="F2" s="21" t="str">
        <f>Etiquettes!$L$6</f>
        <v>Pois</v>
      </c>
      <c r="G2" s="21" t="str">
        <f>Etiquettes!$H$5</f>
        <v>2015-16</v>
      </c>
      <c r="H2" t="str">
        <f>Etiquettes!$C$4</f>
        <v>France entière</v>
      </c>
      <c r="I2" t="s">
        <v>1047</v>
      </c>
      <c r="K2" t="s">
        <v>1049</v>
      </c>
      <c r="L2" s="101" t="s">
        <v>1489</v>
      </c>
      <c r="M2" s="21" t="str">
        <f>Etiquettes!$H$11</f>
        <v>Volume</v>
      </c>
      <c r="N2" s="21" t="str">
        <f t="shared" ref="N2:N33" si="0">_xlfn.CONCAT(I2,IF(ISBLANK(C2),"",_xlfn.CONCAT(" = ",MROUND(C2,1)," ",E2))," (",K2,")")</f>
        <v>Importation de graines = 9 kt (Douanes françaises - Eurostat)</v>
      </c>
      <c r="O2" t="str">
        <f>Etiquettes!$I$15</f>
        <v>Robuste</v>
      </c>
      <c r="P2" s="976" t="s">
        <v>1468</v>
      </c>
      <c r="Q2" s="976" t="str">
        <f>Etiquettes!$H$17</f>
        <v>Donnée collectée (valeur du flux ou coefficient)</v>
      </c>
      <c r="S2" s="1028" t="s">
        <v>1004</v>
      </c>
    </row>
    <row r="3" spans="1:19">
      <c r="A3" t="str">
        <f>Produits!$B$11</f>
        <v>Graines collectées</v>
      </c>
      <c r="B3" t="str">
        <f>Secteurs!$B$46</f>
        <v>Exportations</v>
      </c>
      <c r="C3" s="911">
        <f>'Prétraitement échanges'!E10+'Prétraitement échanges'!E9</f>
        <v>333.69516799999997</v>
      </c>
      <c r="D3" s="858"/>
      <c r="E3" t="str">
        <f>Etiquettes!$C$3</f>
        <v>kt</v>
      </c>
      <c r="F3" s="21" t="str">
        <f>Etiquettes!$L$6</f>
        <v>Pois</v>
      </c>
      <c r="G3" s="21" t="str">
        <f>Etiquettes!$H$5</f>
        <v>2015-16</v>
      </c>
      <c r="H3" t="str">
        <f>Etiquettes!$C$4</f>
        <v>France entière</v>
      </c>
      <c r="I3" t="s">
        <v>1048</v>
      </c>
      <c r="K3" t="s">
        <v>1049</v>
      </c>
      <c r="L3" s="101" t="s">
        <v>1489</v>
      </c>
      <c r="M3" s="21" t="str">
        <f>Etiquettes!$H$11</f>
        <v>Volume</v>
      </c>
      <c r="N3" s="21" t="str">
        <f t="shared" si="0"/>
        <v>Exportation de graines = 334 kt (Douanes françaises - Eurostat)</v>
      </c>
      <c r="O3" t="str">
        <f>Etiquettes!$I$15</f>
        <v>Robuste</v>
      </c>
      <c r="P3" s="976" t="s">
        <v>1468</v>
      </c>
      <c r="Q3" s="976" t="str">
        <f>Etiquettes!$H$17</f>
        <v>Donnée collectée (valeur du flux ou coefficient)</v>
      </c>
      <c r="S3" s="1027"/>
    </row>
    <row r="4" spans="1:19">
      <c r="A4" t="str">
        <f>Secteurs!$B$45</f>
        <v>Importations</v>
      </c>
      <c r="B4" t="str">
        <f>Produits!$B$11</f>
        <v>Graines collectées</v>
      </c>
      <c r="C4" s="911">
        <f>'Prétraitement échanges'!F10+'Prétraitement échanges'!F9</f>
        <v>18.828952000000001</v>
      </c>
      <c r="D4" s="100"/>
      <c r="E4" t="str">
        <f>Etiquettes!$C$3</f>
        <v>kt</v>
      </c>
      <c r="F4" s="21" t="str">
        <f>Etiquettes!$L$6</f>
        <v>Pois</v>
      </c>
      <c r="G4" s="21" t="str">
        <f>Etiquettes!$I$5</f>
        <v>2019-20</v>
      </c>
      <c r="H4" t="str">
        <f>Etiquettes!$C$4</f>
        <v>France entière</v>
      </c>
      <c r="I4" t="s">
        <v>1047</v>
      </c>
      <c r="K4" t="s">
        <v>1049</v>
      </c>
      <c r="L4" s="101" t="s">
        <v>1489</v>
      </c>
      <c r="M4" s="21" t="str">
        <f>Etiquettes!$H$11</f>
        <v>Volume</v>
      </c>
      <c r="N4" s="21" t="str">
        <f t="shared" si="0"/>
        <v>Importation de graines = 19 kt (Douanes françaises - Eurostat)</v>
      </c>
      <c r="O4" t="str">
        <f>Etiquettes!$I$15</f>
        <v>Robuste</v>
      </c>
      <c r="P4" s="976" t="s">
        <v>1468</v>
      </c>
      <c r="Q4" s="976" t="str">
        <f>Etiquettes!$H$17</f>
        <v>Donnée collectée (valeur du flux ou coefficient)</v>
      </c>
      <c r="S4" s="1027"/>
    </row>
    <row r="5" spans="1:19">
      <c r="A5" t="str">
        <f>Produits!$B$11</f>
        <v>Graines collectées</v>
      </c>
      <c r="B5" t="str">
        <f>Secteurs!$B$46</f>
        <v>Exportations</v>
      </c>
      <c r="C5" s="911">
        <f>'Prétraitement échanges'!G10+'Prétraitement échanges'!G9</f>
        <v>274.57780499999996</v>
      </c>
      <c r="D5" s="858"/>
      <c r="E5" t="str">
        <f>Etiquettes!$C$3</f>
        <v>kt</v>
      </c>
      <c r="F5" s="21" t="str">
        <f>Etiquettes!$L$6</f>
        <v>Pois</v>
      </c>
      <c r="G5" s="21" t="str">
        <f>Etiquettes!$I$5</f>
        <v>2019-20</v>
      </c>
      <c r="H5" t="str">
        <f>Etiquettes!$C$4</f>
        <v>France entière</v>
      </c>
      <c r="I5" t="s">
        <v>1048</v>
      </c>
      <c r="K5" t="s">
        <v>1049</v>
      </c>
      <c r="L5" s="101" t="s">
        <v>1489</v>
      </c>
      <c r="M5" s="21" t="str">
        <f>Etiquettes!$H$11</f>
        <v>Volume</v>
      </c>
      <c r="N5" s="21" t="str">
        <f t="shared" si="0"/>
        <v>Exportation de graines = 275 kt (Douanes françaises - Eurostat)</v>
      </c>
      <c r="O5" t="str">
        <f>Etiquettes!$I$15</f>
        <v>Robuste</v>
      </c>
      <c r="P5" s="976" t="s">
        <v>1468</v>
      </c>
      <c r="Q5" s="976" t="str">
        <f>Etiquettes!$H$17</f>
        <v>Donnée collectée (valeur du flux ou coefficient)</v>
      </c>
      <c r="S5" s="1027"/>
    </row>
    <row r="6" spans="1:19">
      <c r="A6" t="str">
        <f>Secteurs!$B$45</f>
        <v>Importations</v>
      </c>
      <c r="B6" t="str">
        <f>Produits!$B$11</f>
        <v>Graines collectées</v>
      </c>
      <c r="C6" s="911">
        <f>'Prétraitement échanges'!H10+'Prétraitement échanges'!H9</f>
        <v>21.398509000000001</v>
      </c>
      <c r="D6" s="100"/>
      <c r="E6" t="str">
        <f>Etiquettes!$C$3</f>
        <v>kt</v>
      </c>
      <c r="F6" s="21" t="str">
        <f>Etiquettes!$L$6</f>
        <v>Pois</v>
      </c>
      <c r="G6" s="21" t="str">
        <f>Etiquettes!$J$5</f>
        <v>2023-24</v>
      </c>
      <c r="H6" t="str">
        <f>Etiquettes!$C$4</f>
        <v>France entière</v>
      </c>
      <c r="I6" t="s">
        <v>1047</v>
      </c>
      <c r="K6" t="s">
        <v>1049</v>
      </c>
      <c r="L6" s="101" t="s">
        <v>1489</v>
      </c>
      <c r="M6" s="21" t="str">
        <f>Etiquettes!$H$11</f>
        <v>Volume</v>
      </c>
      <c r="N6" s="21" t="str">
        <f t="shared" si="0"/>
        <v>Importation de graines = 21 kt (Douanes françaises - Eurostat)</v>
      </c>
      <c r="O6" t="str">
        <f>Etiquettes!$I$15</f>
        <v>Robuste</v>
      </c>
      <c r="P6" s="976" t="s">
        <v>1468</v>
      </c>
      <c r="Q6" s="976" t="str">
        <f>Etiquettes!$H$17</f>
        <v>Donnée collectée (valeur du flux ou coefficient)</v>
      </c>
      <c r="S6" s="1027"/>
    </row>
    <row r="7" spans="1:19">
      <c r="A7" t="str">
        <f>Produits!$B$11</f>
        <v>Graines collectées</v>
      </c>
      <c r="B7" t="str">
        <f>Secteurs!$B$46</f>
        <v>Exportations</v>
      </c>
      <c r="C7" s="911">
        <f>'Bilans Pois - FAM'!U32</f>
        <v>219.45099999999999</v>
      </c>
      <c r="D7" s="858"/>
      <c r="E7" t="str">
        <f>Etiquettes!$C$3</f>
        <v>kt</v>
      </c>
      <c r="F7" s="21" t="str">
        <f>Etiquettes!$L$6</f>
        <v>Pois</v>
      </c>
      <c r="G7" s="21" t="str">
        <f>Etiquettes!$J$5</f>
        <v>2023-24</v>
      </c>
      <c r="H7" t="str">
        <f>Etiquettes!$C$4</f>
        <v>France entière</v>
      </c>
      <c r="I7" t="s">
        <v>1048</v>
      </c>
      <c r="K7" t="s">
        <v>741</v>
      </c>
      <c r="L7" s="101" t="s">
        <v>1484</v>
      </c>
      <c r="M7" s="21" t="str">
        <f>Etiquettes!$H$11</f>
        <v>Volume</v>
      </c>
      <c r="N7" s="21" t="str">
        <f t="shared" si="0"/>
        <v>Exportation de graines = 219 kt (Bilans par campagne - FranceAgriMer)</v>
      </c>
      <c r="O7" t="str">
        <f>Etiquettes!$I$15</f>
        <v>Robuste</v>
      </c>
      <c r="P7" s="976" t="s">
        <v>1468</v>
      </c>
      <c r="Q7" s="976" t="str">
        <f>Etiquettes!$H$17</f>
        <v>Donnée collectée (valeur du flux ou coefficient)</v>
      </c>
      <c r="R7" t="s">
        <v>1421</v>
      </c>
      <c r="S7" s="1027"/>
    </row>
    <row r="8" spans="1:19">
      <c r="A8" t="str">
        <f>Secteurs!$B$45</f>
        <v>Importations</v>
      </c>
      <c r="B8" t="str">
        <f>Produits!$B$11</f>
        <v>Graines collectées</v>
      </c>
      <c r="C8" s="911">
        <f>'Prétraitement échanges'!D11</f>
        <v>6.5271749999999997</v>
      </c>
      <c r="D8" s="100"/>
      <c r="E8" t="str">
        <f>Etiquettes!$C$3</f>
        <v>kt</v>
      </c>
      <c r="F8" s="21" t="str">
        <f>Etiquettes!$P$6</f>
        <v>Pois chiche</v>
      </c>
      <c r="G8" s="21" t="str">
        <f>Etiquettes!$H$5</f>
        <v>2015-16</v>
      </c>
      <c r="H8" t="str">
        <f>Etiquettes!$C$4</f>
        <v>France entière</v>
      </c>
      <c r="I8" t="s">
        <v>1047</v>
      </c>
      <c r="K8" t="s">
        <v>1049</v>
      </c>
      <c r="L8" s="101" t="s">
        <v>1489</v>
      </c>
      <c r="M8" s="21" t="str">
        <f>Etiquettes!$H$11</f>
        <v>Volume</v>
      </c>
      <c r="N8" s="21" t="str">
        <f t="shared" si="0"/>
        <v>Importation de graines = 7 kt (Douanes françaises - Eurostat)</v>
      </c>
      <c r="O8" t="str">
        <f>Etiquettes!$I$15</f>
        <v>Robuste</v>
      </c>
      <c r="P8" s="976" t="s">
        <v>1468</v>
      </c>
      <c r="Q8" s="976" t="str">
        <f>Etiquettes!$H$17</f>
        <v>Donnée collectée (valeur du flux ou coefficient)</v>
      </c>
      <c r="S8" s="1027"/>
    </row>
    <row r="9" spans="1:19">
      <c r="A9" t="str">
        <f>Produits!$B$11</f>
        <v>Graines collectées</v>
      </c>
      <c r="B9" t="str">
        <f>Secteurs!$B$46</f>
        <v>Exportations</v>
      </c>
      <c r="C9" s="911">
        <f>'Prétraitement échanges'!E11</f>
        <v>6.0803720000000006</v>
      </c>
      <c r="D9" s="858"/>
      <c r="E9" t="str">
        <f>Etiquettes!$C$3</f>
        <v>kt</v>
      </c>
      <c r="F9" s="21" t="str">
        <f>Etiquettes!$P$6</f>
        <v>Pois chiche</v>
      </c>
      <c r="G9" s="21" t="str">
        <f>Etiquettes!$H$5</f>
        <v>2015-16</v>
      </c>
      <c r="H9" t="str">
        <f>Etiquettes!$C$4</f>
        <v>France entière</v>
      </c>
      <c r="I9" t="s">
        <v>1048</v>
      </c>
      <c r="K9" t="s">
        <v>1049</v>
      </c>
      <c r="L9" s="101" t="s">
        <v>1489</v>
      </c>
      <c r="M9" s="21" t="str">
        <f>Etiquettes!$H$11</f>
        <v>Volume</v>
      </c>
      <c r="N9" s="21" t="str">
        <f t="shared" si="0"/>
        <v>Exportation de graines = 6 kt (Douanes françaises - Eurostat)</v>
      </c>
      <c r="O9" t="str">
        <f>Etiquettes!$I$15</f>
        <v>Robuste</v>
      </c>
      <c r="P9" s="976" t="s">
        <v>1468</v>
      </c>
      <c r="Q9" s="976" t="str">
        <f>Etiquettes!$H$17</f>
        <v>Donnée collectée (valeur du flux ou coefficient)</v>
      </c>
      <c r="S9" s="1027"/>
    </row>
    <row r="10" spans="1:19">
      <c r="A10" t="str">
        <f>Secteurs!$B$45</f>
        <v>Importations</v>
      </c>
      <c r="B10" t="str">
        <f>Produits!$B$11</f>
        <v>Graines collectées</v>
      </c>
      <c r="C10" s="911">
        <f>'Prétraitement échanges'!F11</f>
        <v>7.0259539999999996</v>
      </c>
      <c r="D10" s="100"/>
      <c r="E10" t="str">
        <f>Etiquettes!$C$3</f>
        <v>kt</v>
      </c>
      <c r="F10" s="21" t="str">
        <f>Etiquettes!$P$6</f>
        <v>Pois chiche</v>
      </c>
      <c r="G10" s="21" t="str">
        <f>Etiquettes!$I$5</f>
        <v>2019-20</v>
      </c>
      <c r="H10" t="str">
        <f>Etiquettes!$C$4</f>
        <v>France entière</v>
      </c>
      <c r="I10" t="s">
        <v>1047</v>
      </c>
      <c r="K10" t="s">
        <v>1049</v>
      </c>
      <c r="L10" s="101" t="s">
        <v>1489</v>
      </c>
      <c r="M10" s="21" t="str">
        <f>Etiquettes!$H$11</f>
        <v>Volume</v>
      </c>
      <c r="N10" s="21" t="str">
        <f t="shared" si="0"/>
        <v>Importation de graines = 7 kt (Douanes françaises - Eurostat)</v>
      </c>
      <c r="O10" t="str">
        <f>Etiquettes!$I$15</f>
        <v>Robuste</v>
      </c>
      <c r="P10" s="976" t="s">
        <v>1468</v>
      </c>
      <c r="Q10" s="976" t="str">
        <f>Etiquettes!$H$17</f>
        <v>Donnée collectée (valeur du flux ou coefficient)</v>
      </c>
      <c r="S10" s="1027"/>
    </row>
    <row r="11" spans="1:19">
      <c r="A11" t="str">
        <f>Produits!$B$11</f>
        <v>Graines collectées</v>
      </c>
      <c r="B11" t="str">
        <f>Secteurs!$B$46</f>
        <v>Exportations</v>
      </c>
      <c r="C11" s="911">
        <f>'Prétraitement échanges'!G11</f>
        <v>15.559516</v>
      </c>
      <c r="D11" s="858"/>
      <c r="E11" t="str">
        <f>Etiquettes!$C$3</f>
        <v>kt</v>
      </c>
      <c r="F11" s="21" t="str">
        <f>Etiquettes!$P$6</f>
        <v>Pois chiche</v>
      </c>
      <c r="G11" s="21" t="str">
        <f>Etiquettes!$I$5</f>
        <v>2019-20</v>
      </c>
      <c r="H11" t="str">
        <f>Etiquettes!$C$4</f>
        <v>France entière</v>
      </c>
      <c r="I11" t="s">
        <v>1048</v>
      </c>
      <c r="K11" t="s">
        <v>1049</v>
      </c>
      <c r="L11" s="101" t="s">
        <v>1489</v>
      </c>
      <c r="M11" s="21" t="str">
        <f>Etiquettes!$H$11</f>
        <v>Volume</v>
      </c>
      <c r="N11" s="21" t="str">
        <f t="shared" si="0"/>
        <v>Exportation de graines = 16 kt (Douanes françaises - Eurostat)</v>
      </c>
      <c r="O11" t="str">
        <f>Etiquettes!$I$15</f>
        <v>Robuste</v>
      </c>
      <c r="P11" s="976" t="s">
        <v>1468</v>
      </c>
      <c r="Q11" s="976" t="str">
        <f>Etiquettes!$H$17</f>
        <v>Donnée collectée (valeur du flux ou coefficient)</v>
      </c>
      <c r="S11" s="1027"/>
    </row>
    <row r="12" spans="1:19">
      <c r="A12" t="str">
        <f>Secteurs!$B$45</f>
        <v>Importations</v>
      </c>
      <c r="B12" t="str">
        <f>Produits!$B$11</f>
        <v>Graines collectées</v>
      </c>
      <c r="C12" s="911">
        <f>'Prétraitement échanges'!H11</f>
        <v>13.045798000000001</v>
      </c>
      <c r="D12" s="100"/>
      <c r="E12" t="str">
        <f>Etiquettes!$C$3</f>
        <v>kt</v>
      </c>
      <c r="F12" s="21" t="str">
        <f>Etiquettes!$P$6</f>
        <v>Pois chiche</v>
      </c>
      <c r="G12" s="21" t="str">
        <f>Etiquettes!$J$5</f>
        <v>2023-24</v>
      </c>
      <c r="H12" t="str">
        <f>Etiquettes!$C$4</f>
        <v>France entière</v>
      </c>
      <c r="I12" t="s">
        <v>1047</v>
      </c>
      <c r="K12" t="s">
        <v>1049</v>
      </c>
      <c r="L12" s="101" t="s">
        <v>1489</v>
      </c>
      <c r="M12" s="21" t="str">
        <f>Etiquettes!$H$11</f>
        <v>Volume</v>
      </c>
      <c r="N12" s="21" t="str">
        <f t="shared" si="0"/>
        <v>Importation de graines = 13 kt (Douanes françaises - Eurostat)</v>
      </c>
      <c r="O12" t="str">
        <f>Etiquettes!$I$15</f>
        <v>Robuste</v>
      </c>
      <c r="P12" s="976" t="s">
        <v>1468</v>
      </c>
      <c r="Q12" s="976" t="str">
        <f>Etiquettes!$H$17</f>
        <v>Donnée collectée (valeur du flux ou coefficient)</v>
      </c>
      <c r="S12" s="1027"/>
    </row>
    <row r="13" spans="1:19">
      <c r="A13" t="str">
        <f>Produits!$B$11</f>
        <v>Graines collectées</v>
      </c>
      <c r="B13" t="str">
        <f>Secteurs!$B$46</f>
        <v>Exportations</v>
      </c>
      <c r="C13" s="911">
        <f>'Prétraitement échanges'!I11</f>
        <v>17.401329000000004</v>
      </c>
      <c r="D13" s="858"/>
      <c r="E13" t="str">
        <f>Etiquettes!$C$3</f>
        <v>kt</v>
      </c>
      <c r="F13" s="21" t="str">
        <f>Etiquettes!$P$6</f>
        <v>Pois chiche</v>
      </c>
      <c r="G13" s="21" t="str">
        <f>Etiquettes!$J$5</f>
        <v>2023-24</v>
      </c>
      <c r="H13" t="str">
        <f>Etiquettes!$C$4</f>
        <v>France entière</v>
      </c>
      <c r="I13" t="s">
        <v>1048</v>
      </c>
      <c r="K13" t="s">
        <v>1049</v>
      </c>
      <c r="L13" s="101" t="s">
        <v>1489</v>
      </c>
      <c r="M13" s="21" t="str">
        <f>Etiquettes!$H$11</f>
        <v>Volume</v>
      </c>
      <c r="N13" s="21" t="str">
        <f t="shared" si="0"/>
        <v>Exportation de graines = 17 kt (Douanes françaises - Eurostat)</v>
      </c>
      <c r="O13" t="str">
        <f>Etiquettes!$I$15</f>
        <v>Robuste</v>
      </c>
      <c r="P13" s="976" t="s">
        <v>1468</v>
      </c>
      <c r="Q13" s="976" t="str">
        <f>Etiquettes!$H$17</f>
        <v>Donnée collectée (valeur du flux ou coefficient)</v>
      </c>
      <c r="S13" s="1027"/>
    </row>
    <row r="14" spans="1:19">
      <c r="A14" t="str">
        <f>Secteurs!$B$45</f>
        <v>Importations</v>
      </c>
      <c r="B14" t="str">
        <f>Produits!$B$11</f>
        <v>Graines collectées</v>
      </c>
      <c r="C14" s="911">
        <f>'Prétraitement échanges'!D15+'Prétraitement échanges'!D14</f>
        <v>34.224842000000002</v>
      </c>
      <c r="D14" s="100"/>
      <c r="E14" t="str">
        <f>Etiquettes!$C$3</f>
        <v>kt</v>
      </c>
      <c r="F14" s="21" t="str">
        <f>Etiquettes!$Q$6</f>
        <v>Haricot sec</v>
      </c>
      <c r="G14" s="21" t="str">
        <f>Etiquettes!$H$5</f>
        <v>2015-16</v>
      </c>
      <c r="H14" t="str">
        <f>Etiquettes!$C$4</f>
        <v>France entière</v>
      </c>
      <c r="I14" t="s">
        <v>1047</v>
      </c>
      <c r="K14" t="s">
        <v>1049</v>
      </c>
      <c r="L14" s="101" t="s">
        <v>1489</v>
      </c>
      <c r="M14" s="21" t="str">
        <f>Etiquettes!$H$11</f>
        <v>Volume</v>
      </c>
      <c r="N14" s="21" t="str">
        <f t="shared" si="0"/>
        <v>Importation de graines = 34 kt (Douanes françaises - Eurostat)</v>
      </c>
      <c r="O14" t="str">
        <f>Etiquettes!$I$15</f>
        <v>Robuste</v>
      </c>
      <c r="P14" s="976" t="s">
        <v>1468</v>
      </c>
      <c r="Q14" s="976" t="str">
        <f>Etiquettes!$H$17</f>
        <v>Donnée collectée (valeur du flux ou coefficient)</v>
      </c>
      <c r="S14" s="1027"/>
    </row>
    <row r="15" spans="1:19">
      <c r="A15" t="str">
        <f>Produits!$B$11</f>
        <v>Graines collectées</v>
      </c>
      <c r="B15" t="str">
        <f>Secteurs!$B$46</f>
        <v>Exportations</v>
      </c>
      <c r="C15" s="911">
        <f>'Prétraitement échanges'!E15+'Prétraitement échanges'!E14</f>
        <v>4.6296439999999999</v>
      </c>
      <c r="D15" s="858"/>
      <c r="E15" t="str">
        <f>Etiquettes!$C$3</f>
        <v>kt</v>
      </c>
      <c r="F15" s="21" t="str">
        <f>Etiquettes!$Q$6</f>
        <v>Haricot sec</v>
      </c>
      <c r="G15" s="21" t="str">
        <f>Etiquettes!$H$5</f>
        <v>2015-16</v>
      </c>
      <c r="H15" t="str">
        <f>Etiquettes!$C$4</f>
        <v>France entière</v>
      </c>
      <c r="I15" t="s">
        <v>1048</v>
      </c>
      <c r="K15" t="s">
        <v>1049</v>
      </c>
      <c r="L15" s="101" t="s">
        <v>1489</v>
      </c>
      <c r="M15" s="21" t="str">
        <f>Etiquettes!$H$11</f>
        <v>Volume</v>
      </c>
      <c r="N15" s="21" t="str">
        <f t="shared" si="0"/>
        <v>Exportation de graines = 5 kt (Douanes françaises - Eurostat)</v>
      </c>
      <c r="O15" t="str">
        <f>Etiquettes!$I$15</f>
        <v>Robuste</v>
      </c>
      <c r="P15" s="976" t="s">
        <v>1468</v>
      </c>
      <c r="Q15" s="976" t="str">
        <f>Etiquettes!$H$17</f>
        <v>Donnée collectée (valeur du flux ou coefficient)</v>
      </c>
      <c r="S15" s="1027"/>
    </row>
    <row r="16" spans="1:19">
      <c r="A16" t="str">
        <f>Secteurs!$B$45</f>
        <v>Importations</v>
      </c>
      <c r="B16" t="str">
        <f>Produits!$B$11</f>
        <v>Graines collectées</v>
      </c>
      <c r="C16" s="911">
        <f>'Prétraitement échanges'!F15+'Prétraitement échanges'!F14</f>
        <v>35.235977000000005</v>
      </c>
      <c r="D16" s="100"/>
      <c r="E16" t="str">
        <f>Etiquettes!$C$3</f>
        <v>kt</v>
      </c>
      <c r="F16" s="21" t="str">
        <f>Etiquettes!$Q$6</f>
        <v>Haricot sec</v>
      </c>
      <c r="G16" s="21" t="str">
        <f>Etiquettes!$I$5</f>
        <v>2019-20</v>
      </c>
      <c r="H16" t="str">
        <f>Etiquettes!$C$4</f>
        <v>France entière</v>
      </c>
      <c r="I16" t="s">
        <v>1047</v>
      </c>
      <c r="K16" t="s">
        <v>1049</v>
      </c>
      <c r="L16" s="101" t="s">
        <v>1489</v>
      </c>
      <c r="M16" s="21" t="str">
        <f>Etiquettes!$H$11</f>
        <v>Volume</v>
      </c>
      <c r="N16" s="21" t="str">
        <f t="shared" si="0"/>
        <v>Importation de graines = 35 kt (Douanes françaises - Eurostat)</v>
      </c>
      <c r="O16" t="str">
        <f>Etiquettes!$I$15</f>
        <v>Robuste</v>
      </c>
      <c r="P16" s="976" t="s">
        <v>1468</v>
      </c>
      <c r="Q16" s="976" t="str">
        <f>Etiquettes!$H$17</f>
        <v>Donnée collectée (valeur du flux ou coefficient)</v>
      </c>
      <c r="S16" s="1027"/>
    </row>
    <row r="17" spans="1:19">
      <c r="A17" t="str">
        <f>Produits!$B$11</f>
        <v>Graines collectées</v>
      </c>
      <c r="B17" t="str">
        <f>Secteurs!$B$46</f>
        <v>Exportations</v>
      </c>
      <c r="C17" s="911">
        <f>'Prétraitement échanges'!G15+'Prétraitement échanges'!G14</f>
        <v>8.3315970000000004</v>
      </c>
      <c r="D17" s="858"/>
      <c r="E17" t="str">
        <f>Etiquettes!$C$3</f>
        <v>kt</v>
      </c>
      <c r="F17" s="21" t="str">
        <f>Etiquettes!$Q$6</f>
        <v>Haricot sec</v>
      </c>
      <c r="G17" s="21" t="str">
        <f>Etiquettes!$I$5</f>
        <v>2019-20</v>
      </c>
      <c r="H17" t="str">
        <f>Etiquettes!$C$4</f>
        <v>France entière</v>
      </c>
      <c r="I17" t="s">
        <v>1048</v>
      </c>
      <c r="K17" t="s">
        <v>1049</v>
      </c>
      <c r="L17" s="101" t="s">
        <v>1489</v>
      </c>
      <c r="M17" s="21" t="str">
        <f>Etiquettes!$H$11</f>
        <v>Volume</v>
      </c>
      <c r="N17" s="21" t="str">
        <f t="shared" si="0"/>
        <v>Exportation de graines = 8 kt (Douanes françaises - Eurostat)</v>
      </c>
      <c r="O17" t="str">
        <f>Etiquettes!$I$15</f>
        <v>Robuste</v>
      </c>
      <c r="P17" s="976" t="s">
        <v>1468</v>
      </c>
      <c r="Q17" s="976" t="str">
        <f>Etiquettes!$H$17</f>
        <v>Donnée collectée (valeur du flux ou coefficient)</v>
      </c>
      <c r="S17" s="1027"/>
    </row>
    <row r="18" spans="1:19">
      <c r="A18" t="str">
        <f>Secteurs!$B$45</f>
        <v>Importations</v>
      </c>
      <c r="B18" t="str">
        <f>Produits!$B$11</f>
        <v>Graines collectées</v>
      </c>
      <c r="C18" s="911">
        <f>'Prétraitement échanges'!H15+'Prétraitement échanges'!H14</f>
        <v>33.889925999999996</v>
      </c>
      <c r="D18" s="100"/>
      <c r="E18" t="str">
        <f>Etiquettes!$C$3</f>
        <v>kt</v>
      </c>
      <c r="F18" s="21" t="str">
        <f>Etiquettes!$Q$6</f>
        <v>Haricot sec</v>
      </c>
      <c r="G18" s="21" t="str">
        <f>Etiquettes!$J$5</f>
        <v>2023-24</v>
      </c>
      <c r="H18" t="str">
        <f>Etiquettes!$C$4</f>
        <v>France entière</v>
      </c>
      <c r="I18" t="s">
        <v>1047</v>
      </c>
      <c r="K18" t="s">
        <v>1049</v>
      </c>
      <c r="L18" s="101" t="s">
        <v>1489</v>
      </c>
      <c r="M18" s="21" t="str">
        <f>Etiquettes!$H$11</f>
        <v>Volume</v>
      </c>
      <c r="N18" s="21" t="str">
        <f t="shared" si="0"/>
        <v>Importation de graines = 34 kt (Douanes françaises - Eurostat)</v>
      </c>
      <c r="O18" t="str">
        <f>Etiquettes!$I$15</f>
        <v>Robuste</v>
      </c>
      <c r="P18" s="976" t="s">
        <v>1468</v>
      </c>
      <c r="Q18" s="976" t="str">
        <f>Etiquettes!$H$17</f>
        <v>Donnée collectée (valeur du flux ou coefficient)</v>
      </c>
      <c r="S18" s="1027"/>
    </row>
    <row r="19" spans="1:19">
      <c r="A19" t="str">
        <f>Produits!$B$11</f>
        <v>Graines collectées</v>
      </c>
      <c r="B19" t="str">
        <f>Secteurs!$B$46</f>
        <v>Exportations</v>
      </c>
      <c r="C19" s="911">
        <f>'Prétraitement échanges'!I15+'Prétraitement échanges'!I14</f>
        <v>8.0010170000000009</v>
      </c>
      <c r="D19" s="858"/>
      <c r="E19" t="str">
        <f>Etiquettes!$C$3</f>
        <v>kt</v>
      </c>
      <c r="F19" s="21" t="str">
        <f>Etiquettes!$Q$6</f>
        <v>Haricot sec</v>
      </c>
      <c r="G19" s="21" t="str">
        <f>Etiquettes!$J$5</f>
        <v>2023-24</v>
      </c>
      <c r="H19" t="str">
        <f>Etiquettes!$C$4</f>
        <v>France entière</v>
      </c>
      <c r="I19" t="s">
        <v>1048</v>
      </c>
      <c r="K19" t="s">
        <v>1049</v>
      </c>
      <c r="L19" s="101" t="s">
        <v>1489</v>
      </c>
      <c r="M19" s="21" t="str">
        <f>Etiquettes!$H$11</f>
        <v>Volume</v>
      </c>
      <c r="N19" s="21" t="str">
        <f t="shared" si="0"/>
        <v>Exportation de graines = 8 kt (Douanes françaises - Eurostat)</v>
      </c>
      <c r="O19" t="str">
        <f>Etiquettes!$I$15</f>
        <v>Robuste</v>
      </c>
      <c r="P19" s="976" t="s">
        <v>1468</v>
      </c>
      <c r="Q19" s="976" t="str">
        <f>Etiquettes!$H$17</f>
        <v>Donnée collectée (valeur du flux ou coefficient)</v>
      </c>
      <c r="S19" s="1027"/>
    </row>
    <row r="20" spans="1:19">
      <c r="A20" t="str">
        <f>Secteurs!$B$45</f>
        <v>Importations</v>
      </c>
      <c r="B20" t="str">
        <f>Produits!$B$11</f>
        <v>Graines collectées</v>
      </c>
      <c r="C20" s="911">
        <f>'Prétraitement échanges'!D19</f>
        <v>28.823082999999997</v>
      </c>
      <c r="D20" s="100"/>
      <c r="E20" t="str">
        <f>Etiquettes!$C$3</f>
        <v>kt</v>
      </c>
      <c r="F20" s="21" t="str">
        <f>Etiquettes!$O$6</f>
        <v>Lentille</v>
      </c>
      <c r="G20" s="21" t="str">
        <f>Etiquettes!$H$5</f>
        <v>2015-16</v>
      </c>
      <c r="H20" t="str">
        <f>Etiquettes!$C$4</f>
        <v>France entière</v>
      </c>
      <c r="I20" t="s">
        <v>1047</v>
      </c>
      <c r="K20" t="s">
        <v>1049</v>
      </c>
      <c r="L20" s="101" t="s">
        <v>1489</v>
      </c>
      <c r="M20" s="21" t="str">
        <f>Etiquettes!$H$11</f>
        <v>Volume</v>
      </c>
      <c r="N20" s="21" t="str">
        <f t="shared" si="0"/>
        <v>Importation de graines = 29 kt (Douanes françaises - Eurostat)</v>
      </c>
      <c r="O20" t="str">
        <f>Etiquettes!$I$15</f>
        <v>Robuste</v>
      </c>
      <c r="P20" s="976" t="s">
        <v>1468</v>
      </c>
      <c r="Q20" s="976" t="str">
        <f>Etiquettes!$H$17</f>
        <v>Donnée collectée (valeur du flux ou coefficient)</v>
      </c>
      <c r="S20" s="1027"/>
    </row>
    <row r="21" spans="1:19">
      <c r="A21" t="str">
        <f>Produits!$B$11</f>
        <v>Graines collectées</v>
      </c>
      <c r="B21" t="str">
        <f>Secteurs!$B$46</f>
        <v>Exportations</v>
      </c>
      <c r="C21" s="911">
        <f>'Prétraitement échanges'!E19</f>
        <v>4.7377379999999993</v>
      </c>
      <c r="D21" s="858"/>
      <c r="E21" t="str">
        <f>Etiquettes!$C$3</f>
        <v>kt</v>
      </c>
      <c r="F21" s="21" t="str">
        <f>Etiquettes!$O$6</f>
        <v>Lentille</v>
      </c>
      <c r="G21" s="21" t="str">
        <f>Etiquettes!$H$5</f>
        <v>2015-16</v>
      </c>
      <c r="H21" t="str">
        <f>Etiquettes!$C$4</f>
        <v>France entière</v>
      </c>
      <c r="I21" t="s">
        <v>1048</v>
      </c>
      <c r="K21" t="s">
        <v>1049</v>
      </c>
      <c r="L21" s="101" t="s">
        <v>1489</v>
      </c>
      <c r="M21" s="21" t="str">
        <f>Etiquettes!$H$11</f>
        <v>Volume</v>
      </c>
      <c r="N21" s="21" t="str">
        <f t="shared" si="0"/>
        <v>Exportation de graines = 5 kt (Douanes françaises - Eurostat)</v>
      </c>
      <c r="O21" t="str">
        <f>Etiquettes!$I$15</f>
        <v>Robuste</v>
      </c>
      <c r="P21" s="976" t="s">
        <v>1468</v>
      </c>
      <c r="Q21" s="976" t="str">
        <f>Etiquettes!$H$17</f>
        <v>Donnée collectée (valeur du flux ou coefficient)</v>
      </c>
      <c r="S21" s="1027"/>
    </row>
    <row r="22" spans="1:19">
      <c r="A22" t="str">
        <f>Secteurs!$B$45</f>
        <v>Importations</v>
      </c>
      <c r="B22" t="str">
        <f>Produits!$B$11</f>
        <v>Graines collectées</v>
      </c>
      <c r="C22" s="911">
        <f>'Prétraitement échanges'!F19</f>
        <v>27.647139000000003</v>
      </c>
      <c r="D22" s="100"/>
      <c r="E22" t="str">
        <f>Etiquettes!$C$3</f>
        <v>kt</v>
      </c>
      <c r="F22" s="21" t="str">
        <f>Etiquettes!$O$6</f>
        <v>Lentille</v>
      </c>
      <c r="G22" s="21" t="str">
        <f>Etiquettes!$I$5</f>
        <v>2019-20</v>
      </c>
      <c r="H22" t="str">
        <f>Etiquettes!$C$4</f>
        <v>France entière</v>
      </c>
      <c r="I22" t="s">
        <v>1047</v>
      </c>
      <c r="K22" t="s">
        <v>1049</v>
      </c>
      <c r="L22" s="101" t="s">
        <v>1489</v>
      </c>
      <c r="M22" s="21" t="str">
        <f>Etiquettes!$H$11</f>
        <v>Volume</v>
      </c>
      <c r="N22" s="21" t="str">
        <f t="shared" si="0"/>
        <v>Importation de graines = 28 kt (Douanes françaises - Eurostat)</v>
      </c>
      <c r="O22" t="str">
        <f>Etiquettes!$I$15</f>
        <v>Robuste</v>
      </c>
      <c r="P22" s="976" t="s">
        <v>1468</v>
      </c>
      <c r="Q22" s="976" t="str">
        <f>Etiquettes!$H$17</f>
        <v>Donnée collectée (valeur du flux ou coefficient)</v>
      </c>
      <c r="S22" s="1027"/>
    </row>
    <row r="23" spans="1:19">
      <c r="A23" t="str">
        <f>Produits!$B$11</f>
        <v>Graines collectées</v>
      </c>
      <c r="B23" t="str">
        <f>Secteurs!$B$46</f>
        <v>Exportations</v>
      </c>
      <c r="C23" s="911">
        <f>'Prétraitement échanges'!G19</f>
        <v>6.0430320000000011</v>
      </c>
      <c r="D23" s="858"/>
      <c r="E23" t="str">
        <f>Etiquettes!$C$3</f>
        <v>kt</v>
      </c>
      <c r="F23" s="21" t="str">
        <f>Etiquettes!$O$6</f>
        <v>Lentille</v>
      </c>
      <c r="G23" s="21" t="str">
        <f>Etiquettes!$I$5</f>
        <v>2019-20</v>
      </c>
      <c r="H23" t="str">
        <f>Etiquettes!$C$4</f>
        <v>France entière</v>
      </c>
      <c r="I23" t="s">
        <v>1048</v>
      </c>
      <c r="K23" t="s">
        <v>1049</v>
      </c>
      <c r="L23" s="101" t="s">
        <v>1489</v>
      </c>
      <c r="M23" s="21" t="str">
        <f>Etiquettes!$H$11</f>
        <v>Volume</v>
      </c>
      <c r="N23" s="21" t="str">
        <f t="shared" si="0"/>
        <v>Exportation de graines = 6 kt (Douanes françaises - Eurostat)</v>
      </c>
      <c r="O23" t="str">
        <f>Etiquettes!$I$15</f>
        <v>Robuste</v>
      </c>
      <c r="P23" s="976" t="s">
        <v>1468</v>
      </c>
      <c r="Q23" s="976" t="str">
        <f>Etiquettes!$H$17</f>
        <v>Donnée collectée (valeur du flux ou coefficient)</v>
      </c>
      <c r="S23" s="1027"/>
    </row>
    <row r="24" spans="1:19">
      <c r="A24" t="str">
        <f>Secteurs!$B$45</f>
        <v>Importations</v>
      </c>
      <c r="B24" t="str">
        <f>Produits!$B$11</f>
        <v>Graines collectées</v>
      </c>
      <c r="C24" s="911">
        <f>'Prétraitement échanges'!H19</f>
        <v>37.820242</v>
      </c>
      <c r="D24" s="100"/>
      <c r="E24" t="str">
        <f>Etiquettes!$C$3</f>
        <v>kt</v>
      </c>
      <c r="F24" s="21" t="str">
        <f>Etiquettes!$O$6</f>
        <v>Lentille</v>
      </c>
      <c r="G24" s="21" t="str">
        <f>Etiquettes!$J$5</f>
        <v>2023-24</v>
      </c>
      <c r="H24" t="str">
        <f>Etiquettes!$C$4</f>
        <v>France entière</v>
      </c>
      <c r="I24" t="s">
        <v>1047</v>
      </c>
      <c r="K24" t="s">
        <v>1049</v>
      </c>
      <c r="L24" s="101" t="s">
        <v>1489</v>
      </c>
      <c r="M24" s="21" t="str">
        <f>Etiquettes!$H$11</f>
        <v>Volume</v>
      </c>
      <c r="N24" s="21" t="str">
        <f t="shared" si="0"/>
        <v>Importation de graines = 38 kt (Douanes françaises - Eurostat)</v>
      </c>
      <c r="O24" t="str">
        <f>Etiquettes!$I$15</f>
        <v>Robuste</v>
      </c>
      <c r="P24" s="976" t="s">
        <v>1468</v>
      </c>
      <c r="Q24" s="976" t="str">
        <f>Etiquettes!$H$17</f>
        <v>Donnée collectée (valeur du flux ou coefficient)</v>
      </c>
      <c r="S24" s="1027"/>
    </row>
    <row r="25" spans="1:19">
      <c r="A25" t="str">
        <f>Produits!$B$11</f>
        <v>Graines collectées</v>
      </c>
      <c r="B25" t="str">
        <f>Secteurs!$B$46</f>
        <v>Exportations</v>
      </c>
      <c r="C25" s="911">
        <f>'Prétraitement échanges'!I19</f>
        <v>3.8168229999999994</v>
      </c>
      <c r="D25" s="858"/>
      <c r="E25" t="str">
        <f>Etiquettes!$C$3</f>
        <v>kt</v>
      </c>
      <c r="F25" s="21" t="str">
        <f>Etiquettes!$O$6</f>
        <v>Lentille</v>
      </c>
      <c r="G25" s="21" t="str">
        <f>Etiquettes!$J$5</f>
        <v>2023-24</v>
      </c>
      <c r="H25" t="str">
        <f>Etiquettes!$C$4</f>
        <v>France entière</v>
      </c>
      <c r="I25" t="s">
        <v>1048</v>
      </c>
      <c r="K25" t="s">
        <v>1049</v>
      </c>
      <c r="L25" s="101" t="s">
        <v>1489</v>
      </c>
      <c r="M25" s="21" t="str">
        <f>Etiquettes!$H$11</f>
        <v>Volume</v>
      </c>
      <c r="N25" s="21" t="str">
        <f t="shared" si="0"/>
        <v>Exportation de graines = 4 kt (Douanes françaises - Eurostat)</v>
      </c>
      <c r="O25" t="str">
        <f>Etiquettes!$I$15</f>
        <v>Robuste</v>
      </c>
      <c r="P25" s="976" t="s">
        <v>1468</v>
      </c>
      <c r="Q25" s="976" t="str">
        <f>Etiquettes!$H$17</f>
        <v>Donnée collectée (valeur du flux ou coefficient)</v>
      </c>
      <c r="S25" s="1027"/>
    </row>
    <row r="26" spans="1:19">
      <c r="A26" t="str">
        <f>Secteurs!$B$45</f>
        <v>Importations</v>
      </c>
      <c r="B26" t="str">
        <f>Produits!$B$11</f>
        <v>Graines collectées</v>
      </c>
      <c r="C26" s="911">
        <f>'Prétraitement échanges'!D20</f>
        <v>15.233430999999998</v>
      </c>
      <c r="D26" s="100"/>
      <c r="E26" t="str">
        <f>Etiquettes!$C$3</f>
        <v>kt</v>
      </c>
      <c r="F26" s="21" t="str">
        <f>Etiquettes!$M$6</f>
        <v>Féverole</v>
      </c>
      <c r="G26" s="21" t="str">
        <f>Etiquettes!$H$5</f>
        <v>2015-16</v>
      </c>
      <c r="H26" t="str">
        <f>Etiquettes!$C$4</f>
        <v>France entière</v>
      </c>
      <c r="I26" t="s">
        <v>1047</v>
      </c>
      <c r="K26" t="s">
        <v>1049</v>
      </c>
      <c r="L26" s="101" t="s">
        <v>1489</v>
      </c>
      <c r="M26" s="21" t="str">
        <f>Etiquettes!$H$11</f>
        <v>Volume</v>
      </c>
      <c r="N26" s="21" t="str">
        <f t="shared" si="0"/>
        <v>Importation de graines = 15 kt (Douanes françaises - Eurostat)</v>
      </c>
      <c r="O26" t="str">
        <f>Etiquettes!$I$15</f>
        <v>Robuste</v>
      </c>
      <c r="P26" s="976" t="s">
        <v>1468</v>
      </c>
      <c r="Q26" s="976" t="str">
        <f>Etiquettes!$H$17</f>
        <v>Donnée collectée (valeur du flux ou coefficient)</v>
      </c>
      <c r="S26" s="1027"/>
    </row>
    <row r="27" spans="1:19">
      <c r="A27" t="str">
        <f>Produits!$B$11</f>
        <v>Graines collectées</v>
      </c>
      <c r="B27" t="str">
        <f>Secteurs!$B$46</f>
        <v>Exportations</v>
      </c>
      <c r="C27" s="911">
        <f>'Prétraitement échanges'!E20</f>
        <v>92.836865999999986</v>
      </c>
      <c r="D27" s="858"/>
      <c r="E27" t="str">
        <f>Etiquettes!$C$3</f>
        <v>kt</v>
      </c>
      <c r="F27" s="21" t="str">
        <f>Etiquettes!$M$6</f>
        <v>Féverole</v>
      </c>
      <c r="G27" s="21" t="str">
        <f>Etiquettes!$H$5</f>
        <v>2015-16</v>
      </c>
      <c r="H27" t="str">
        <f>Etiquettes!$C$4</f>
        <v>France entière</v>
      </c>
      <c r="I27" t="s">
        <v>1048</v>
      </c>
      <c r="K27" t="s">
        <v>1049</v>
      </c>
      <c r="L27" s="101" t="s">
        <v>1489</v>
      </c>
      <c r="M27" s="21" t="str">
        <f>Etiquettes!$H$11</f>
        <v>Volume</v>
      </c>
      <c r="N27" s="21" t="str">
        <f t="shared" si="0"/>
        <v>Exportation de graines = 93 kt (Douanes françaises - Eurostat)</v>
      </c>
      <c r="O27" t="str">
        <f>Etiquettes!$I$15</f>
        <v>Robuste</v>
      </c>
      <c r="P27" s="976" t="s">
        <v>1468</v>
      </c>
      <c r="Q27" s="976" t="str">
        <f>Etiquettes!$H$17</f>
        <v>Donnée collectée (valeur du flux ou coefficient)</v>
      </c>
      <c r="S27" s="1027"/>
    </row>
    <row r="28" spans="1:19">
      <c r="A28" t="str">
        <f>Secteurs!$B$45</f>
        <v>Importations</v>
      </c>
      <c r="B28" t="str">
        <f>Produits!$B$11</f>
        <v>Graines collectées</v>
      </c>
      <c r="C28" s="911">
        <f>'Prétraitement échanges'!F20</f>
        <v>30.361481000000001</v>
      </c>
      <c r="D28" s="100"/>
      <c r="E28" t="str">
        <f>Etiquettes!$C$3</f>
        <v>kt</v>
      </c>
      <c r="F28" s="21" t="str">
        <f>Etiquettes!$M$6</f>
        <v>Féverole</v>
      </c>
      <c r="G28" s="21" t="str">
        <f>Etiquettes!$I$5</f>
        <v>2019-20</v>
      </c>
      <c r="H28" t="str">
        <f>Etiquettes!$C$4</f>
        <v>France entière</v>
      </c>
      <c r="I28" t="s">
        <v>1047</v>
      </c>
      <c r="K28" t="s">
        <v>1049</v>
      </c>
      <c r="L28" s="101" t="s">
        <v>1489</v>
      </c>
      <c r="M28" s="21" t="str">
        <f>Etiquettes!$H$11</f>
        <v>Volume</v>
      </c>
      <c r="N28" s="21" t="str">
        <f t="shared" si="0"/>
        <v>Importation de graines = 30 kt (Douanes françaises - Eurostat)</v>
      </c>
      <c r="O28" t="str">
        <f>Etiquettes!$I$15</f>
        <v>Robuste</v>
      </c>
      <c r="P28" s="976" t="s">
        <v>1468</v>
      </c>
      <c r="Q28" s="976" t="str">
        <f>Etiquettes!$H$17</f>
        <v>Donnée collectée (valeur du flux ou coefficient)</v>
      </c>
      <c r="S28" s="1027"/>
    </row>
    <row r="29" spans="1:19">
      <c r="A29" t="str">
        <f>Produits!$B$11</f>
        <v>Graines collectées</v>
      </c>
      <c r="B29" t="str">
        <f>Secteurs!$B$46</f>
        <v>Exportations</v>
      </c>
      <c r="C29" s="911">
        <f>'Prétraitement échanges'!G20</f>
        <v>46.014671999999997</v>
      </c>
      <c r="D29" s="858"/>
      <c r="E29" t="str">
        <f>Etiquettes!$C$3</f>
        <v>kt</v>
      </c>
      <c r="F29" s="21" t="str">
        <f>Etiquettes!$M$6</f>
        <v>Féverole</v>
      </c>
      <c r="G29" s="21" t="str">
        <f>Etiquettes!$I$5</f>
        <v>2019-20</v>
      </c>
      <c r="H29" t="str">
        <f>Etiquettes!$C$4</f>
        <v>France entière</v>
      </c>
      <c r="I29" t="s">
        <v>1048</v>
      </c>
      <c r="K29" t="s">
        <v>1049</v>
      </c>
      <c r="L29" s="101" t="s">
        <v>1489</v>
      </c>
      <c r="M29" s="21" t="str">
        <f>Etiquettes!$H$11</f>
        <v>Volume</v>
      </c>
      <c r="N29" s="21" t="str">
        <f t="shared" si="0"/>
        <v>Exportation de graines = 46 kt (Douanes françaises - Eurostat)</v>
      </c>
      <c r="O29" t="str">
        <f>Etiquettes!$I$15</f>
        <v>Robuste</v>
      </c>
      <c r="P29" s="976" t="s">
        <v>1468</v>
      </c>
      <c r="Q29" s="976" t="str">
        <f>Etiquettes!$H$17</f>
        <v>Donnée collectée (valeur du flux ou coefficient)</v>
      </c>
      <c r="S29" s="1027"/>
    </row>
    <row r="30" spans="1:19">
      <c r="A30" t="str">
        <f>Secteurs!$B$45</f>
        <v>Importations</v>
      </c>
      <c r="B30" t="str">
        <f>Produits!$B$11</f>
        <v>Graines collectées</v>
      </c>
      <c r="C30" s="911">
        <f>'Prétraitement échanges'!H20</f>
        <v>36.386161999999992</v>
      </c>
      <c r="D30" s="100"/>
      <c r="E30" t="str">
        <f>Etiquettes!$C$3</f>
        <v>kt</v>
      </c>
      <c r="F30" s="21" t="str">
        <f>Etiquettes!$M$6</f>
        <v>Féverole</v>
      </c>
      <c r="G30" s="21" t="str">
        <f>Etiquettes!$J$5</f>
        <v>2023-24</v>
      </c>
      <c r="H30" t="str">
        <f>Etiquettes!$C$4</f>
        <v>France entière</v>
      </c>
      <c r="I30" t="s">
        <v>1047</v>
      </c>
      <c r="K30" t="s">
        <v>1049</v>
      </c>
      <c r="L30" s="101" t="s">
        <v>1489</v>
      </c>
      <c r="M30" s="21" t="str">
        <f>Etiquettes!$H$11</f>
        <v>Volume</v>
      </c>
      <c r="N30" s="21" t="str">
        <f t="shared" si="0"/>
        <v>Importation de graines = 36 kt (Douanes françaises - Eurostat)</v>
      </c>
      <c r="O30" t="str">
        <f>Etiquettes!$I$15</f>
        <v>Robuste</v>
      </c>
      <c r="P30" s="976" t="s">
        <v>1468</v>
      </c>
      <c r="Q30" s="976" t="str">
        <f>Etiquettes!$H$17</f>
        <v>Donnée collectée (valeur du flux ou coefficient)</v>
      </c>
      <c r="S30" s="1027"/>
    </row>
    <row r="31" spans="1:19">
      <c r="A31" t="str">
        <f>Produits!$B$11</f>
        <v>Graines collectées</v>
      </c>
      <c r="B31" t="str">
        <f>Secteurs!$B$46</f>
        <v>Exportations</v>
      </c>
      <c r="C31" s="911">
        <f>'Prétraitement échanges'!I20</f>
        <v>74.796026999999995</v>
      </c>
      <c r="D31" s="858"/>
      <c r="E31" t="str">
        <f>Etiquettes!$C$3</f>
        <v>kt</v>
      </c>
      <c r="F31" s="21" t="str">
        <f>Etiquettes!$M$6</f>
        <v>Féverole</v>
      </c>
      <c r="G31" s="21" t="str">
        <f>Etiquettes!$J$5</f>
        <v>2023-24</v>
      </c>
      <c r="H31" t="str">
        <f>Etiquettes!$C$4</f>
        <v>France entière</v>
      </c>
      <c r="I31" t="s">
        <v>1048</v>
      </c>
      <c r="K31" t="s">
        <v>1049</v>
      </c>
      <c r="L31" s="101" t="s">
        <v>1489</v>
      </c>
      <c r="M31" s="21" t="str">
        <f>Etiquettes!$H$11</f>
        <v>Volume</v>
      </c>
      <c r="N31" s="21" t="str">
        <f t="shared" si="0"/>
        <v>Exportation de graines = 75 kt (Douanes françaises - Eurostat)</v>
      </c>
      <c r="O31" t="str">
        <f>Etiquettes!$I$15</f>
        <v>Robuste</v>
      </c>
      <c r="P31" s="976" t="s">
        <v>1468</v>
      </c>
      <c r="Q31" s="976" t="str">
        <f>Etiquettes!$H$17</f>
        <v>Donnée collectée (valeur du flux ou coefficient)</v>
      </c>
      <c r="S31" s="1027"/>
    </row>
    <row r="32" spans="1:19">
      <c r="A32" t="str">
        <f>Secteurs!$B$45</f>
        <v>Importations</v>
      </c>
      <c r="B32" t="str">
        <f>Produits!$B$11</f>
        <v>Graines collectées</v>
      </c>
      <c r="C32" s="911">
        <f>'Prétraitement échanges'!D26+'Prétraitement échanges'!D25</f>
        <v>848.21629599999983</v>
      </c>
      <c r="D32" s="100"/>
      <c r="E32" t="str">
        <f>Etiquettes!$C$3</f>
        <v>kt</v>
      </c>
      <c r="F32" s="21" t="str">
        <f>Etiquettes!$J$6</f>
        <v>Soja</v>
      </c>
      <c r="G32" s="21" t="str">
        <f>Etiquettes!$H$5</f>
        <v>2015-16</v>
      </c>
      <c r="H32" t="str">
        <f>Etiquettes!$C$4</f>
        <v>France entière</v>
      </c>
      <c r="I32" t="s">
        <v>1047</v>
      </c>
      <c r="K32" t="s">
        <v>1049</v>
      </c>
      <c r="L32" s="101" t="s">
        <v>1489</v>
      </c>
      <c r="M32" s="21" t="str">
        <f>Etiquettes!$H$11</f>
        <v>Volume</v>
      </c>
      <c r="N32" s="21" t="str">
        <f t="shared" si="0"/>
        <v>Importation de graines = 848 kt (Douanes françaises - Eurostat)</v>
      </c>
      <c r="O32" t="str">
        <f>Etiquettes!$I$15</f>
        <v>Robuste</v>
      </c>
      <c r="P32" s="976" t="s">
        <v>1468</v>
      </c>
      <c r="Q32" s="976" t="str">
        <f>Etiquettes!$H$17</f>
        <v>Donnée collectée (valeur du flux ou coefficient)</v>
      </c>
      <c r="S32" s="1027"/>
    </row>
    <row r="33" spans="1:19">
      <c r="A33" t="str">
        <f>Produits!$B$11</f>
        <v>Graines collectées</v>
      </c>
      <c r="B33" t="str">
        <f>Secteurs!$B$46</f>
        <v>Exportations</v>
      </c>
      <c r="C33" s="911">
        <f>'Prétraitement échanges'!E26+'Prétraitement échanges'!E25</f>
        <v>96.005053000000004</v>
      </c>
      <c r="D33" s="858"/>
      <c r="E33" t="str">
        <f>Etiquettes!$C$3</f>
        <v>kt</v>
      </c>
      <c r="F33" s="21" t="str">
        <f>Etiquettes!$J$6</f>
        <v>Soja</v>
      </c>
      <c r="G33" s="21" t="str">
        <f>Etiquettes!$H$5</f>
        <v>2015-16</v>
      </c>
      <c r="H33" t="str">
        <f>Etiquettes!$C$4</f>
        <v>France entière</v>
      </c>
      <c r="I33" t="s">
        <v>1048</v>
      </c>
      <c r="K33" t="s">
        <v>1049</v>
      </c>
      <c r="L33" s="101" t="s">
        <v>1489</v>
      </c>
      <c r="M33" s="21" t="str">
        <f>Etiquettes!$H$11</f>
        <v>Volume</v>
      </c>
      <c r="N33" s="21" t="str">
        <f t="shared" si="0"/>
        <v>Exportation de graines = 96 kt (Douanes françaises - Eurostat)</v>
      </c>
      <c r="O33" t="str">
        <f>Etiquettes!$I$15</f>
        <v>Robuste</v>
      </c>
      <c r="P33" s="976" t="s">
        <v>1468</v>
      </c>
      <c r="Q33" s="976" t="str">
        <f>Etiquettes!$H$17</f>
        <v>Donnée collectée (valeur du flux ou coefficient)</v>
      </c>
      <c r="S33" s="1027"/>
    </row>
    <row r="34" spans="1:19">
      <c r="A34" t="str">
        <f>Secteurs!$B$45</f>
        <v>Importations</v>
      </c>
      <c r="B34" t="str">
        <f>Produits!$B$11</f>
        <v>Graines collectées</v>
      </c>
      <c r="C34" s="911">
        <f>'Prétraitement échanges'!F26+'Prétraitement échanges'!F25</f>
        <v>658.11763299999996</v>
      </c>
      <c r="D34" s="100"/>
      <c r="E34" t="str">
        <f>Etiquettes!$C$3</f>
        <v>kt</v>
      </c>
      <c r="F34" s="21" t="str">
        <f>Etiquettes!$J$6</f>
        <v>Soja</v>
      </c>
      <c r="G34" s="21" t="str">
        <f>Etiquettes!$I$5</f>
        <v>2019-20</v>
      </c>
      <c r="H34" t="str">
        <f>Etiquettes!$C$4</f>
        <v>France entière</v>
      </c>
      <c r="I34" t="s">
        <v>1047</v>
      </c>
      <c r="K34" t="s">
        <v>1049</v>
      </c>
      <c r="L34" s="101" t="s">
        <v>1489</v>
      </c>
      <c r="M34" s="21" t="str">
        <f>Etiquettes!$H$11</f>
        <v>Volume</v>
      </c>
      <c r="N34" s="21" t="str">
        <f t="shared" ref="N34:N97" si="1">_xlfn.CONCAT(I34,IF(ISBLANK(C34),"",_xlfn.CONCAT(" = ",MROUND(C34,1)," ",E34))," (",K34,")")</f>
        <v>Importation de graines = 658 kt (Douanes françaises - Eurostat)</v>
      </c>
      <c r="O34" t="str">
        <f>Etiquettes!$I$15</f>
        <v>Robuste</v>
      </c>
      <c r="P34" s="976" t="s">
        <v>1468</v>
      </c>
      <c r="Q34" s="976" t="str">
        <f>Etiquettes!$H$17</f>
        <v>Donnée collectée (valeur du flux ou coefficient)</v>
      </c>
      <c r="S34" s="1027"/>
    </row>
    <row r="35" spans="1:19">
      <c r="A35" t="str">
        <f>Produits!$B$11</f>
        <v>Graines collectées</v>
      </c>
      <c r="B35" t="str">
        <f>Secteurs!$B$46</f>
        <v>Exportations</v>
      </c>
      <c r="C35" s="911">
        <f>'Prétraitement échanges'!G26+'Prétraitement échanges'!G25</f>
        <v>163.67462900000001</v>
      </c>
      <c r="D35" s="858"/>
      <c r="E35" t="str">
        <f>Etiquettes!$C$3</f>
        <v>kt</v>
      </c>
      <c r="F35" s="21" t="str">
        <f>Etiquettes!$J$6</f>
        <v>Soja</v>
      </c>
      <c r="G35" s="21" t="str">
        <f>Etiquettes!$I$5</f>
        <v>2019-20</v>
      </c>
      <c r="H35" t="str">
        <f>Etiquettes!$C$4</f>
        <v>France entière</v>
      </c>
      <c r="I35" t="s">
        <v>1048</v>
      </c>
      <c r="K35" t="s">
        <v>1049</v>
      </c>
      <c r="L35" s="101" t="s">
        <v>1489</v>
      </c>
      <c r="M35" s="21" t="str">
        <f>Etiquettes!$H$11</f>
        <v>Volume</v>
      </c>
      <c r="N35" s="21" t="str">
        <f t="shared" si="1"/>
        <v>Exportation de graines = 164 kt (Douanes françaises - Eurostat)</v>
      </c>
      <c r="O35" t="str">
        <f>Etiquettes!$I$15</f>
        <v>Robuste</v>
      </c>
      <c r="P35" s="976" t="s">
        <v>1468</v>
      </c>
      <c r="Q35" s="976" t="str">
        <f>Etiquettes!$H$17</f>
        <v>Donnée collectée (valeur du flux ou coefficient)</v>
      </c>
      <c r="S35" s="1027"/>
    </row>
    <row r="36" spans="1:19">
      <c r="A36" t="str">
        <f>Secteurs!$B$45</f>
        <v>Importations</v>
      </c>
      <c r="B36" t="str">
        <f>Produits!$B$11</f>
        <v>Graines collectées</v>
      </c>
      <c r="C36" s="911">
        <f>'Prétraitement échanges'!H26+'Prétraitement échanges'!H25</f>
        <v>402.62261500000005</v>
      </c>
      <c r="D36" s="100"/>
      <c r="E36" t="str">
        <f>Etiquettes!$C$3</f>
        <v>kt</v>
      </c>
      <c r="F36" s="21" t="str">
        <f>Etiquettes!$J$6</f>
        <v>Soja</v>
      </c>
      <c r="G36" s="21" t="str">
        <f>Etiquettes!$J$5</f>
        <v>2023-24</v>
      </c>
      <c r="H36" t="str">
        <f>Etiquettes!$C$4</f>
        <v>France entière</v>
      </c>
      <c r="I36" t="s">
        <v>1047</v>
      </c>
      <c r="K36" t="s">
        <v>1049</v>
      </c>
      <c r="L36" s="101" t="s">
        <v>1489</v>
      </c>
      <c r="M36" s="21" t="str">
        <f>Etiquettes!$H$11</f>
        <v>Volume</v>
      </c>
      <c r="N36" s="21" t="str">
        <f t="shared" si="1"/>
        <v>Importation de graines = 403 kt (Douanes françaises - Eurostat)</v>
      </c>
      <c r="O36" t="str">
        <f>Etiquettes!$I$15</f>
        <v>Robuste</v>
      </c>
      <c r="P36" s="976" t="s">
        <v>1468</v>
      </c>
      <c r="Q36" s="976" t="str">
        <f>Etiquettes!$H$17</f>
        <v>Donnée collectée (valeur du flux ou coefficient)</v>
      </c>
      <c r="S36" s="1027"/>
    </row>
    <row r="37" spans="1:19">
      <c r="A37" t="str">
        <f>Produits!$B$11</f>
        <v>Graines collectées</v>
      </c>
      <c r="B37" t="str">
        <f>Secteurs!$B$46</f>
        <v>Exportations</v>
      </c>
      <c r="C37" s="911">
        <f>'Prétraitement échanges'!I26+'Prétraitement échanges'!I25</f>
        <v>140.32370800000001</v>
      </c>
      <c r="D37" s="858"/>
      <c r="E37" t="str">
        <f>Etiquettes!$C$3</f>
        <v>kt</v>
      </c>
      <c r="F37" s="21" t="str">
        <f>Etiquettes!$J$6</f>
        <v>Soja</v>
      </c>
      <c r="G37" s="21" t="str">
        <f>Etiquettes!$J$5</f>
        <v>2023-24</v>
      </c>
      <c r="H37" t="str">
        <f>Etiquettes!$C$4</f>
        <v>France entière</v>
      </c>
      <c r="I37" t="s">
        <v>1048</v>
      </c>
      <c r="K37" t="s">
        <v>1049</v>
      </c>
      <c r="L37" s="101" t="s">
        <v>1489</v>
      </c>
      <c r="M37" s="21" t="str">
        <f>Etiquettes!$H$11</f>
        <v>Volume</v>
      </c>
      <c r="N37" s="21" t="str">
        <f t="shared" si="1"/>
        <v>Exportation de graines = 140 kt (Douanes françaises - Eurostat)</v>
      </c>
      <c r="O37" t="str">
        <f>Etiquettes!$I$15</f>
        <v>Robuste</v>
      </c>
      <c r="P37" s="976" t="s">
        <v>1468</v>
      </c>
      <c r="Q37" s="976" t="str">
        <f>Etiquettes!$H$17</f>
        <v>Donnée collectée (valeur du flux ou coefficient)</v>
      </c>
      <c r="S37" s="1027"/>
    </row>
    <row r="38" spans="1:19">
      <c r="A38" t="str">
        <f>Secteurs!$B$45</f>
        <v>Importations</v>
      </c>
      <c r="B38" t="str">
        <f>Produits!$B$11</f>
        <v>Graines collectées</v>
      </c>
      <c r="C38" s="911">
        <f>'Prétraitement échanges'!D28+'Prétraitement échanges'!D27</f>
        <v>25.018483000000003</v>
      </c>
      <c r="D38" s="100"/>
      <c r="E38" t="str">
        <f>Etiquettes!$C$3</f>
        <v>kt</v>
      </c>
      <c r="F38" s="21" t="str">
        <f>Etiquettes!$K$6</f>
        <v>Lin</v>
      </c>
      <c r="G38" s="21" t="str">
        <f>Etiquettes!$H$5</f>
        <v>2015-16</v>
      </c>
      <c r="H38" t="str">
        <f>Etiquettes!$C$4</f>
        <v>France entière</v>
      </c>
      <c r="I38" t="s">
        <v>1047</v>
      </c>
      <c r="K38" t="s">
        <v>1049</v>
      </c>
      <c r="L38" s="101" t="s">
        <v>1489</v>
      </c>
      <c r="M38" s="21" t="str">
        <f>Etiquettes!$H$11</f>
        <v>Volume</v>
      </c>
      <c r="N38" s="21" t="str">
        <f t="shared" si="1"/>
        <v>Importation de graines = 25 kt (Douanes françaises - Eurostat)</v>
      </c>
      <c r="O38" t="str">
        <f>Etiquettes!$I$15</f>
        <v>Robuste</v>
      </c>
      <c r="P38" s="976" t="s">
        <v>1468</v>
      </c>
      <c r="Q38" s="976" t="str">
        <f>Etiquettes!$H$17</f>
        <v>Donnée collectée (valeur du flux ou coefficient)</v>
      </c>
      <c r="S38" s="1027"/>
    </row>
    <row r="39" spans="1:19">
      <c r="A39" t="str">
        <f>Produits!$B$11</f>
        <v>Graines collectées</v>
      </c>
      <c r="B39" t="str">
        <f>Secteurs!$B$46</f>
        <v>Exportations</v>
      </c>
      <c r="C39" s="911">
        <f>'Prétraitement échanges'!E28+'Prétraitement échanges'!E27</f>
        <v>9.7505330000000008</v>
      </c>
      <c r="D39" s="858"/>
      <c r="E39" t="str">
        <f>Etiquettes!$C$3</f>
        <v>kt</v>
      </c>
      <c r="F39" s="21" t="str">
        <f>Etiquettes!$K$6</f>
        <v>Lin</v>
      </c>
      <c r="G39" s="21" t="str">
        <f>Etiquettes!$H$5</f>
        <v>2015-16</v>
      </c>
      <c r="H39" t="str">
        <f>Etiquettes!$C$4</f>
        <v>France entière</v>
      </c>
      <c r="I39" t="s">
        <v>1048</v>
      </c>
      <c r="K39" t="s">
        <v>1049</v>
      </c>
      <c r="L39" s="101" t="s">
        <v>1489</v>
      </c>
      <c r="M39" s="21" t="str">
        <f>Etiquettes!$H$11</f>
        <v>Volume</v>
      </c>
      <c r="N39" s="21" t="str">
        <f t="shared" si="1"/>
        <v>Exportation de graines = 10 kt (Douanes françaises - Eurostat)</v>
      </c>
      <c r="O39" t="str">
        <f>Etiquettes!$I$15</f>
        <v>Robuste</v>
      </c>
      <c r="P39" s="976" t="s">
        <v>1468</v>
      </c>
      <c r="Q39" s="976" t="str">
        <f>Etiquettes!$H$17</f>
        <v>Donnée collectée (valeur du flux ou coefficient)</v>
      </c>
      <c r="S39" s="1027"/>
    </row>
    <row r="40" spans="1:19">
      <c r="A40" t="str">
        <f>Secteurs!$B$45</f>
        <v>Importations</v>
      </c>
      <c r="B40" t="str">
        <f>Produits!$B$11</f>
        <v>Graines collectées</v>
      </c>
      <c r="C40" s="911">
        <f>'Prétraitement échanges'!F28+'Prétraitement échanges'!F27</f>
        <v>34.942304</v>
      </c>
      <c r="D40" s="100"/>
      <c r="E40" t="str">
        <f>Etiquettes!$C$3</f>
        <v>kt</v>
      </c>
      <c r="F40" s="21" t="str">
        <f>Etiquettes!$K$6</f>
        <v>Lin</v>
      </c>
      <c r="G40" s="21" t="str">
        <f>Etiquettes!$I$5</f>
        <v>2019-20</v>
      </c>
      <c r="H40" t="str">
        <f>Etiquettes!$C$4</f>
        <v>France entière</v>
      </c>
      <c r="I40" t="s">
        <v>1047</v>
      </c>
      <c r="K40" t="s">
        <v>1049</v>
      </c>
      <c r="L40" s="101" t="s">
        <v>1489</v>
      </c>
      <c r="M40" s="21" t="str">
        <f>Etiquettes!$H$11</f>
        <v>Volume</v>
      </c>
      <c r="N40" s="21" t="str">
        <f t="shared" si="1"/>
        <v>Importation de graines = 35 kt (Douanes françaises - Eurostat)</v>
      </c>
      <c r="O40" t="str">
        <f>Etiquettes!$I$15</f>
        <v>Robuste</v>
      </c>
      <c r="P40" s="976" t="s">
        <v>1468</v>
      </c>
      <c r="Q40" s="976" t="str">
        <f>Etiquettes!$H$17</f>
        <v>Donnée collectée (valeur du flux ou coefficient)</v>
      </c>
      <c r="S40" s="1027"/>
    </row>
    <row r="41" spans="1:19">
      <c r="A41" t="str">
        <f>Produits!$B$11</f>
        <v>Graines collectées</v>
      </c>
      <c r="B41" t="str">
        <f>Secteurs!$B$46</f>
        <v>Exportations</v>
      </c>
      <c r="C41" s="911">
        <f>'Prétraitement échanges'!G28+'Prétraitement échanges'!G27</f>
        <v>12.976744999999999</v>
      </c>
      <c r="D41" s="858"/>
      <c r="E41" t="str">
        <f>Etiquettes!$C$3</f>
        <v>kt</v>
      </c>
      <c r="F41" s="21" t="str">
        <f>Etiquettes!$K$6</f>
        <v>Lin</v>
      </c>
      <c r="G41" s="21" t="str">
        <f>Etiquettes!$I$5</f>
        <v>2019-20</v>
      </c>
      <c r="H41" t="str">
        <f>Etiquettes!$C$4</f>
        <v>France entière</v>
      </c>
      <c r="I41" t="s">
        <v>1048</v>
      </c>
      <c r="K41" t="s">
        <v>1049</v>
      </c>
      <c r="L41" s="101" t="s">
        <v>1489</v>
      </c>
      <c r="M41" s="21" t="str">
        <f>Etiquettes!$H$11</f>
        <v>Volume</v>
      </c>
      <c r="N41" s="21" t="str">
        <f t="shared" si="1"/>
        <v>Exportation de graines = 13 kt (Douanes françaises - Eurostat)</v>
      </c>
      <c r="O41" t="str">
        <f>Etiquettes!$I$15</f>
        <v>Robuste</v>
      </c>
      <c r="P41" s="976" t="s">
        <v>1468</v>
      </c>
      <c r="Q41" s="976" t="str">
        <f>Etiquettes!$H$17</f>
        <v>Donnée collectée (valeur du flux ou coefficient)</v>
      </c>
      <c r="S41" s="1027"/>
    </row>
    <row r="42" spans="1:19">
      <c r="A42" t="str">
        <f>Secteurs!$B$45</f>
        <v>Importations</v>
      </c>
      <c r="B42" t="str">
        <f>Produits!$B$11</f>
        <v>Graines collectées</v>
      </c>
      <c r="C42" s="911">
        <f>'Prétraitement échanges'!H28+'Prétraitement échanges'!H27</f>
        <v>34.866582999999999</v>
      </c>
      <c r="D42" s="100"/>
      <c r="E42" t="str">
        <f>Etiquettes!$C$3</f>
        <v>kt</v>
      </c>
      <c r="F42" s="21" t="str">
        <f>Etiquettes!$K$6</f>
        <v>Lin</v>
      </c>
      <c r="G42" s="21" t="str">
        <f>Etiquettes!$J$5</f>
        <v>2023-24</v>
      </c>
      <c r="H42" t="str">
        <f>Etiquettes!$C$4</f>
        <v>France entière</v>
      </c>
      <c r="I42" t="s">
        <v>1047</v>
      </c>
      <c r="K42" t="s">
        <v>1049</v>
      </c>
      <c r="L42" s="101" t="s">
        <v>1489</v>
      </c>
      <c r="M42" s="21" t="str">
        <f>Etiquettes!$H$11</f>
        <v>Volume</v>
      </c>
      <c r="N42" s="21" t="str">
        <f t="shared" si="1"/>
        <v>Importation de graines = 35 kt (Douanes françaises - Eurostat)</v>
      </c>
      <c r="O42" t="str">
        <f>Etiquettes!$I$15</f>
        <v>Robuste</v>
      </c>
      <c r="P42" s="976" t="s">
        <v>1468</v>
      </c>
      <c r="Q42" s="976" t="str">
        <f>Etiquettes!$H$17</f>
        <v>Donnée collectée (valeur du flux ou coefficient)</v>
      </c>
      <c r="S42" s="1027"/>
    </row>
    <row r="43" spans="1:19">
      <c r="A43" t="str">
        <f>Produits!$B$11</f>
        <v>Graines collectées</v>
      </c>
      <c r="B43" t="str">
        <f>Secteurs!$B$46</f>
        <v>Exportations</v>
      </c>
      <c r="C43" s="911">
        <f>'Prétraitement échanges'!I28+'Prétraitement échanges'!I27</f>
        <v>15.689868999999998</v>
      </c>
      <c r="D43" s="858"/>
      <c r="E43" t="str">
        <f>Etiquettes!$C$3</f>
        <v>kt</v>
      </c>
      <c r="F43" s="21" t="str">
        <f>Etiquettes!$K$6</f>
        <v>Lin</v>
      </c>
      <c r="G43" s="21" t="str">
        <f>Etiquettes!$J$5</f>
        <v>2023-24</v>
      </c>
      <c r="H43" t="str">
        <f>Etiquettes!$C$4</f>
        <v>France entière</v>
      </c>
      <c r="I43" t="s">
        <v>1048</v>
      </c>
      <c r="K43" t="s">
        <v>1049</v>
      </c>
      <c r="L43" s="101" t="s">
        <v>1489</v>
      </c>
      <c r="M43" s="21" t="str">
        <f>Etiquettes!$H$11</f>
        <v>Volume</v>
      </c>
      <c r="N43" s="21" t="str">
        <f t="shared" si="1"/>
        <v>Exportation de graines = 16 kt (Douanes françaises - Eurostat)</v>
      </c>
      <c r="O43" t="str">
        <f>Etiquettes!$I$15</f>
        <v>Robuste</v>
      </c>
      <c r="P43" s="976" t="s">
        <v>1468</v>
      </c>
      <c r="Q43" s="976" t="str">
        <f>Etiquettes!$H$17</f>
        <v>Donnée collectée (valeur du flux ou coefficient)</v>
      </c>
      <c r="S43" s="1027"/>
    </row>
    <row r="44" spans="1:19">
      <c r="A44" t="str">
        <f>Secteurs!$B$45</f>
        <v>Importations</v>
      </c>
      <c r="B44" t="str">
        <f>Produits!$B$11</f>
        <v>Graines collectées</v>
      </c>
      <c r="C44" s="911">
        <f>'Prétraitement échanges'!D30+'Prétraitement échanges'!D31+'Prétraitement échanges'!D29</f>
        <v>1215.109602</v>
      </c>
      <c r="D44" s="100"/>
      <c r="E44" t="str">
        <f>Etiquettes!$C$3</f>
        <v>kt</v>
      </c>
      <c r="F44" s="21" t="str">
        <f>Etiquettes!$H$6</f>
        <v>Colza</v>
      </c>
      <c r="G44" s="21" t="str">
        <f>Etiquettes!$H$5</f>
        <v>2015-16</v>
      </c>
      <c r="H44" t="str">
        <f>Etiquettes!$C$4</f>
        <v>France entière</v>
      </c>
      <c r="I44" t="s">
        <v>1047</v>
      </c>
      <c r="K44" t="s">
        <v>1049</v>
      </c>
      <c r="L44" s="101" t="s">
        <v>1489</v>
      </c>
      <c r="M44" s="21" t="str">
        <f>Etiquettes!$H$11</f>
        <v>Volume</v>
      </c>
      <c r="N44" s="21" t="str">
        <f t="shared" si="1"/>
        <v>Importation de graines = 1215 kt (Douanes françaises - Eurostat)</v>
      </c>
      <c r="O44" t="str">
        <f>Etiquettes!$I$15</f>
        <v>Robuste</v>
      </c>
      <c r="P44" s="976" t="s">
        <v>1468</v>
      </c>
      <c r="Q44" s="976" t="str">
        <f>Etiquettes!$H$17</f>
        <v>Donnée collectée (valeur du flux ou coefficient)</v>
      </c>
      <c r="S44" s="1027"/>
    </row>
    <row r="45" spans="1:19">
      <c r="A45" t="str">
        <f>Produits!$B$11</f>
        <v>Graines collectées</v>
      </c>
      <c r="B45" t="str">
        <f>Secteurs!$B$46</f>
        <v>Exportations</v>
      </c>
      <c r="C45" s="911">
        <f>'Prétraitement échanges'!E30+'Prétraitement échanges'!E31+'Prétraitement échanges'!E29</f>
        <v>1511.0626710000001</v>
      </c>
      <c r="D45" s="858"/>
      <c r="E45" t="str">
        <f>Etiquettes!$C$3</f>
        <v>kt</v>
      </c>
      <c r="F45" s="21" t="str">
        <f>Etiquettes!$H$6</f>
        <v>Colza</v>
      </c>
      <c r="G45" s="21" t="str">
        <f>Etiquettes!$H$5</f>
        <v>2015-16</v>
      </c>
      <c r="H45" t="str">
        <f>Etiquettes!$C$4</f>
        <v>France entière</v>
      </c>
      <c r="I45" t="s">
        <v>1048</v>
      </c>
      <c r="K45" t="s">
        <v>1049</v>
      </c>
      <c r="L45" s="101" t="s">
        <v>1489</v>
      </c>
      <c r="M45" s="21" t="str">
        <f>Etiquettes!$H$11</f>
        <v>Volume</v>
      </c>
      <c r="N45" s="21" t="str">
        <f t="shared" si="1"/>
        <v>Exportation de graines = 1511 kt (Douanes françaises - Eurostat)</v>
      </c>
      <c r="O45" t="str">
        <f>Etiquettes!$I$15</f>
        <v>Robuste</v>
      </c>
      <c r="P45" s="976" t="s">
        <v>1468</v>
      </c>
      <c r="Q45" s="976" t="str">
        <f>Etiquettes!$H$17</f>
        <v>Donnée collectée (valeur du flux ou coefficient)</v>
      </c>
      <c r="S45" s="1027"/>
    </row>
    <row r="46" spans="1:19">
      <c r="A46" t="str">
        <f>Secteurs!$B$45</f>
        <v>Importations</v>
      </c>
      <c r="B46" t="str">
        <f>Produits!$B$11</f>
        <v>Graines collectées</v>
      </c>
      <c r="C46" s="911">
        <f>'Prétraitement échanges'!F30+'Prétraitement échanges'!F31+'Prétraitement échanges'!F29</f>
        <v>1607.3831290000003</v>
      </c>
      <c r="D46" s="100"/>
      <c r="E46" t="str">
        <f>Etiquettes!$C$3</f>
        <v>kt</v>
      </c>
      <c r="F46" s="21" t="str">
        <f>Etiquettes!$H$6</f>
        <v>Colza</v>
      </c>
      <c r="G46" s="21" t="str">
        <f>Etiquettes!$I$5</f>
        <v>2019-20</v>
      </c>
      <c r="H46" t="str">
        <f>Etiquettes!$C$4</f>
        <v>France entière</v>
      </c>
      <c r="I46" t="s">
        <v>1047</v>
      </c>
      <c r="K46" t="s">
        <v>1049</v>
      </c>
      <c r="L46" s="101" t="s">
        <v>1489</v>
      </c>
      <c r="M46" s="21" t="str">
        <f>Etiquettes!$H$11</f>
        <v>Volume</v>
      </c>
      <c r="N46" s="21" t="str">
        <f t="shared" si="1"/>
        <v>Importation de graines = 1607 kt (Douanes françaises - Eurostat)</v>
      </c>
      <c r="O46" t="str">
        <f>Etiquettes!$I$15</f>
        <v>Robuste</v>
      </c>
      <c r="P46" s="976" t="s">
        <v>1468</v>
      </c>
      <c r="Q46" s="976" t="str">
        <f>Etiquettes!$H$17</f>
        <v>Donnée collectée (valeur du flux ou coefficient)</v>
      </c>
      <c r="S46" s="1027"/>
    </row>
    <row r="47" spans="1:19">
      <c r="A47" t="str">
        <f>Produits!$B$11</f>
        <v>Graines collectées</v>
      </c>
      <c r="B47" t="str">
        <f>Secteurs!$B$46</f>
        <v>Exportations</v>
      </c>
      <c r="C47" s="911">
        <f>'Prétraitement échanges'!G30+'Prétraitement échanges'!G31+'Prétraitement échanges'!G29</f>
        <v>1156.644802</v>
      </c>
      <c r="D47" s="858"/>
      <c r="E47" t="str">
        <f>Etiquettes!$C$3</f>
        <v>kt</v>
      </c>
      <c r="F47" s="21" t="str">
        <f>Etiquettes!$H$6</f>
        <v>Colza</v>
      </c>
      <c r="G47" s="21" t="str">
        <f>Etiquettes!$I$5</f>
        <v>2019-20</v>
      </c>
      <c r="H47" t="str">
        <f>Etiquettes!$C$4</f>
        <v>France entière</v>
      </c>
      <c r="I47" t="s">
        <v>1048</v>
      </c>
      <c r="K47" t="s">
        <v>1049</v>
      </c>
      <c r="L47" s="101" t="s">
        <v>1489</v>
      </c>
      <c r="M47" s="21" t="str">
        <f>Etiquettes!$H$11</f>
        <v>Volume</v>
      </c>
      <c r="N47" s="21" t="str">
        <f t="shared" si="1"/>
        <v>Exportation de graines = 1157 kt (Douanes françaises - Eurostat)</v>
      </c>
      <c r="O47" t="str">
        <f>Etiquettes!$I$15</f>
        <v>Robuste</v>
      </c>
      <c r="P47" s="976" t="s">
        <v>1468</v>
      </c>
      <c r="Q47" s="976" t="str">
        <f>Etiquettes!$H$17</f>
        <v>Donnée collectée (valeur du flux ou coefficient)</v>
      </c>
      <c r="S47" s="1027"/>
    </row>
    <row r="48" spans="1:19">
      <c r="A48" t="str">
        <f>Secteurs!$B$45</f>
        <v>Importations</v>
      </c>
      <c r="B48" t="str">
        <f>Produits!$B$11</f>
        <v>Graines collectées</v>
      </c>
      <c r="C48" s="911">
        <f>'Prétraitement échanges'!H30+'Prétraitement échanges'!H31+'Prétraitement échanges'!H29</f>
        <v>1285.7862200000002</v>
      </c>
      <c r="D48" s="100"/>
      <c r="E48" t="str">
        <f>Etiquettes!$C$3</f>
        <v>kt</v>
      </c>
      <c r="F48" s="21" t="str">
        <f>Etiquettes!$H$6</f>
        <v>Colza</v>
      </c>
      <c r="G48" s="21" t="str">
        <f>Etiquettes!$J$5</f>
        <v>2023-24</v>
      </c>
      <c r="H48" t="str">
        <f>Etiquettes!$C$4</f>
        <v>France entière</v>
      </c>
      <c r="I48" t="s">
        <v>1047</v>
      </c>
      <c r="K48" t="s">
        <v>1049</v>
      </c>
      <c r="L48" s="101" t="s">
        <v>1489</v>
      </c>
      <c r="M48" s="21" t="str">
        <f>Etiquettes!$H$11</f>
        <v>Volume</v>
      </c>
      <c r="N48" s="21" t="str">
        <f t="shared" si="1"/>
        <v>Importation de graines = 1286 kt (Douanes françaises - Eurostat)</v>
      </c>
      <c r="O48" t="str">
        <f>Etiquettes!$I$15</f>
        <v>Robuste</v>
      </c>
      <c r="P48" s="976" t="s">
        <v>1468</v>
      </c>
      <c r="Q48" s="976" t="str">
        <f>Etiquettes!$H$17</f>
        <v>Donnée collectée (valeur du flux ou coefficient)</v>
      </c>
      <c r="S48" s="1027"/>
    </row>
    <row r="49" spans="1:19">
      <c r="A49" t="str">
        <f>Produits!$B$11</f>
        <v>Graines collectées</v>
      </c>
      <c r="B49" t="str">
        <f>Secteurs!$B$46</f>
        <v>Exportations</v>
      </c>
      <c r="C49" s="911">
        <f>'Prétraitement échanges'!I30+'Prétraitement échanges'!I31+'Prétraitement échanges'!I29</f>
        <v>1154.4072940000001</v>
      </c>
      <c r="D49" s="858"/>
      <c r="E49" t="str">
        <f>Etiquettes!$C$3</f>
        <v>kt</v>
      </c>
      <c r="F49" s="21" t="str">
        <f>Etiquettes!$H$6</f>
        <v>Colza</v>
      </c>
      <c r="G49" s="21" t="str">
        <f>Etiquettes!$J$5</f>
        <v>2023-24</v>
      </c>
      <c r="H49" t="str">
        <f>Etiquettes!$C$4</f>
        <v>France entière</v>
      </c>
      <c r="I49" t="s">
        <v>1048</v>
      </c>
      <c r="K49" t="s">
        <v>1049</v>
      </c>
      <c r="L49" s="101" t="s">
        <v>1489</v>
      </c>
      <c r="M49" s="21" t="str">
        <f>Etiquettes!$H$11</f>
        <v>Volume</v>
      </c>
      <c r="N49" s="21" t="str">
        <f t="shared" si="1"/>
        <v>Exportation de graines = 1154 kt (Douanes françaises - Eurostat)</v>
      </c>
      <c r="O49" t="str">
        <f>Etiquettes!$I$15</f>
        <v>Robuste</v>
      </c>
      <c r="P49" s="976" t="s">
        <v>1468</v>
      </c>
      <c r="Q49" s="976" t="str">
        <f>Etiquettes!$H$17</f>
        <v>Donnée collectée (valeur du flux ou coefficient)</v>
      </c>
      <c r="S49" s="1027"/>
    </row>
    <row r="50" spans="1:19">
      <c r="A50" t="str">
        <f>Secteurs!$B$45</f>
        <v>Importations</v>
      </c>
      <c r="B50" t="str">
        <f>Produits!$B$11</f>
        <v>Graines collectées</v>
      </c>
      <c r="C50" s="911">
        <f>'Prétraitement échanges'!D33+'Prétraitement échanges'!D34+'Prétraitement échanges'!D32</f>
        <v>235.89871900000003</v>
      </c>
      <c r="D50" s="100"/>
      <c r="E50" t="str">
        <f>Etiquettes!$C$3</f>
        <v>kt</v>
      </c>
      <c r="F50" s="21" t="str">
        <f>Etiquettes!$I$6</f>
        <v>Tournesol</v>
      </c>
      <c r="G50" s="21" t="str">
        <f>Etiquettes!$H$5</f>
        <v>2015-16</v>
      </c>
      <c r="H50" t="str">
        <f>Etiquettes!$C$4</f>
        <v>France entière</v>
      </c>
      <c r="I50" t="s">
        <v>1047</v>
      </c>
      <c r="K50" t="s">
        <v>1049</v>
      </c>
      <c r="L50" s="101" t="s">
        <v>1489</v>
      </c>
      <c r="M50" s="21" t="str">
        <f>Etiquettes!$H$11</f>
        <v>Volume</v>
      </c>
      <c r="N50" s="21" t="str">
        <f t="shared" si="1"/>
        <v>Importation de graines = 236 kt (Douanes françaises - Eurostat)</v>
      </c>
      <c r="O50" t="str">
        <f>Etiquettes!$I$15</f>
        <v>Robuste</v>
      </c>
      <c r="P50" s="976" t="s">
        <v>1468</v>
      </c>
      <c r="Q50" s="976" t="str">
        <f>Etiquettes!$H$17</f>
        <v>Donnée collectée (valeur du flux ou coefficient)</v>
      </c>
      <c r="S50" s="1027"/>
    </row>
    <row r="51" spans="1:19">
      <c r="A51" t="str">
        <f>Produits!$B$11</f>
        <v>Graines collectées</v>
      </c>
      <c r="B51" t="str">
        <f>Secteurs!$B$46</f>
        <v>Exportations</v>
      </c>
      <c r="C51" s="911">
        <f>'Prétraitement échanges'!E33+'Prétraitement échanges'!E34+'Prétraitement échanges'!E32</f>
        <v>328.26893000000007</v>
      </c>
      <c r="D51" s="858"/>
      <c r="E51" t="str">
        <f>Etiquettes!$C$3</f>
        <v>kt</v>
      </c>
      <c r="F51" s="21" t="str">
        <f>Etiquettes!$I$6</f>
        <v>Tournesol</v>
      </c>
      <c r="G51" s="21" t="str">
        <f>Etiquettes!$H$5</f>
        <v>2015-16</v>
      </c>
      <c r="H51" t="str">
        <f>Etiquettes!$C$4</f>
        <v>France entière</v>
      </c>
      <c r="I51" t="s">
        <v>1048</v>
      </c>
      <c r="K51" t="s">
        <v>1049</v>
      </c>
      <c r="L51" s="101" t="s">
        <v>1489</v>
      </c>
      <c r="M51" s="21" t="str">
        <f>Etiquettes!$H$11</f>
        <v>Volume</v>
      </c>
      <c r="N51" s="21" t="str">
        <f t="shared" si="1"/>
        <v>Exportation de graines = 328 kt (Douanes françaises - Eurostat)</v>
      </c>
      <c r="O51" t="str">
        <f>Etiquettes!$I$15</f>
        <v>Robuste</v>
      </c>
      <c r="P51" s="976" t="s">
        <v>1468</v>
      </c>
      <c r="Q51" s="976" t="str">
        <f>Etiquettes!$H$17</f>
        <v>Donnée collectée (valeur du flux ou coefficient)</v>
      </c>
      <c r="S51" s="1027"/>
    </row>
    <row r="52" spans="1:19">
      <c r="A52" t="str">
        <f>Secteurs!$B$45</f>
        <v>Importations</v>
      </c>
      <c r="B52" t="str">
        <f>Produits!$B$11</f>
        <v>Graines collectées</v>
      </c>
      <c r="C52" s="911">
        <f>'Prétraitement échanges'!F33+'Prétraitement échanges'!F34+'Prétraitement échanges'!F32</f>
        <v>304.84106800000006</v>
      </c>
      <c r="D52" s="100"/>
      <c r="E52" t="str">
        <f>Etiquettes!$C$3</f>
        <v>kt</v>
      </c>
      <c r="F52" s="21" t="str">
        <f>Etiquettes!$I$6</f>
        <v>Tournesol</v>
      </c>
      <c r="G52" s="21" t="str">
        <f>Etiquettes!$I$5</f>
        <v>2019-20</v>
      </c>
      <c r="H52" t="str">
        <f>Etiquettes!$C$4</f>
        <v>France entière</v>
      </c>
      <c r="I52" t="s">
        <v>1047</v>
      </c>
      <c r="K52" t="s">
        <v>1049</v>
      </c>
      <c r="L52" s="101" t="s">
        <v>1489</v>
      </c>
      <c r="M52" s="21" t="str">
        <f>Etiquettes!$H$11</f>
        <v>Volume</v>
      </c>
      <c r="N52" s="21" t="str">
        <f t="shared" si="1"/>
        <v>Importation de graines = 305 kt (Douanes françaises - Eurostat)</v>
      </c>
      <c r="O52" t="str">
        <f>Etiquettes!$I$15</f>
        <v>Robuste</v>
      </c>
      <c r="P52" s="976" t="s">
        <v>1468</v>
      </c>
      <c r="Q52" s="976" t="str">
        <f>Etiquettes!$H$17</f>
        <v>Donnée collectée (valeur du flux ou coefficient)</v>
      </c>
      <c r="S52" s="1027"/>
    </row>
    <row r="53" spans="1:19">
      <c r="A53" t="str">
        <f>Produits!$B$11</f>
        <v>Graines collectées</v>
      </c>
      <c r="B53" t="str">
        <f>Secteurs!$B$46</f>
        <v>Exportations</v>
      </c>
      <c r="C53" s="911">
        <f>'Prétraitement échanges'!G33+'Prétraitement échanges'!G34+'Prétraitement échanges'!G32</f>
        <v>476.10479299999997</v>
      </c>
      <c r="D53" s="858"/>
      <c r="E53" t="str">
        <f>Etiquettes!$C$3</f>
        <v>kt</v>
      </c>
      <c r="F53" s="21" t="str">
        <f>Etiquettes!$I$6</f>
        <v>Tournesol</v>
      </c>
      <c r="G53" s="21" t="str">
        <f>Etiquettes!$I$5</f>
        <v>2019-20</v>
      </c>
      <c r="H53" t="str">
        <f>Etiquettes!$C$4</f>
        <v>France entière</v>
      </c>
      <c r="I53" t="s">
        <v>1048</v>
      </c>
      <c r="K53" t="s">
        <v>1049</v>
      </c>
      <c r="L53" s="101" t="s">
        <v>1489</v>
      </c>
      <c r="M53" s="21" t="str">
        <f>Etiquettes!$H$11</f>
        <v>Volume</v>
      </c>
      <c r="N53" s="21" t="str">
        <f t="shared" si="1"/>
        <v>Exportation de graines = 476 kt (Douanes françaises - Eurostat)</v>
      </c>
      <c r="O53" t="str">
        <f>Etiquettes!$I$15</f>
        <v>Robuste</v>
      </c>
      <c r="P53" s="976" t="s">
        <v>1468</v>
      </c>
      <c r="Q53" s="976" t="str">
        <f>Etiquettes!$H$17</f>
        <v>Donnée collectée (valeur du flux ou coefficient)</v>
      </c>
      <c r="S53" s="1027"/>
    </row>
    <row r="54" spans="1:19">
      <c r="A54" t="str">
        <f>Secteurs!$B$45</f>
        <v>Importations</v>
      </c>
      <c r="B54" t="str">
        <f>Produits!$B$11</f>
        <v>Graines collectées</v>
      </c>
      <c r="C54" s="911">
        <f>'Prétraitement échanges'!H33+'Prétraitement échanges'!H34+'Prétraitement échanges'!H32</f>
        <v>203.888407</v>
      </c>
      <c r="D54" s="100"/>
      <c r="E54" t="str">
        <f>Etiquettes!$C$3</f>
        <v>kt</v>
      </c>
      <c r="F54" s="21" t="str">
        <f>Etiquettes!$I$6</f>
        <v>Tournesol</v>
      </c>
      <c r="G54" s="21" t="str">
        <f>Etiquettes!$J$5</f>
        <v>2023-24</v>
      </c>
      <c r="H54" t="str">
        <f>Etiquettes!$C$4</f>
        <v>France entière</v>
      </c>
      <c r="I54" t="s">
        <v>1047</v>
      </c>
      <c r="K54" t="s">
        <v>1049</v>
      </c>
      <c r="L54" s="101" t="s">
        <v>1489</v>
      </c>
      <c r="M54" s="21" t="str">
        <f>Etiquettes!$H$11</f>
        <v>Volume</v>
      </c>
      <c r="N54" s="21" t="str">
        <f t="shared" si="1"/>
        <v>Importation de graines = 204 kt (Douanes françaises - Eurostat)</v>
      </c>
      <c r="O54" t="str">
        <f>Etiquettes!$I$15</f>
        <v>Robuste</v>
      </c>
      <c r="P54" s="976" t="s">
        <v>1468</v>
      </c>
      <c r="Q54" s="976" t="str">
        <f>Etiquettes!$H$17</f>
        <v>Donnée collectée (valeur du flux ou coefficient)</v>
      </c>
      <c r="S54" s="1027"/>
    </row>
    <row r="55" spans="1:19">
      <c r="A55" t="str">
        <f>Produits!$B$11</f>
        <v>Graines collectées</v>
      </c>
      <c r="B55" t="str">
        <f>Secteurs!$B$46</f>
        <v>Exportations</v>
      </c>
      <c r="C55" s="911">
        <f>'Prétraitement échanges'!I33+'Prétraitement échanges'!I34+'Prétraitement échanges'!I32</f>
        <v>569.14722399999994</v>
      </c>
      <c r="D55" s="858"/>
      <c r="E55" t="str">
        <f>Etiquettes!$C$3</f>
        <v>kt</v>
      </c>
      <c r="F55" s="21" t="str">
        <f>Etiquettes!$I$6</f>
        <v>Tournesol</v>
      </c>
      <c r="G55" s="21" t="str">
        <f>Etiquettes!$J$5</f>
        <v>2023-24</v>
      </c>
      <c r="H55" t="str">
        <f>Etiquettes!$C$4</f>
        <v>France entière</v>
      </c>
      <c r="I55" t="s">
        <v>1048</v>
      </c>
      <c r="K55" t="s">
        <v>1049</v>
      </c>
      <c r="L55" s="101" t="s">
        <v>1489</v>
      </c>
      <c r="M55" s="21" t="str">
        <f>Etiquettes!$H$11</f>
        <v>Volume</v>
      </c>
      <c r="N55" s="21" t="str">
        <f t="shared" si="1"/>
        <v>Exportation de graines = 569 kt (Douanes françaises - Eurostat)</v>
      </c>
      <c r="O55" t="str">
        <f>Etiquettes!$I$15</f>
        <v>Robuste</v>
      </c>
      <c r="P55" s="976" t="s">
        <v>1468</v>
      </c>
      <c r="Q55" s="976" t="str">
        <f>Etiquettes!$H$17</f>
        <v>Donnée collectée (valeur du flux ou coefficient)</v>
      </c>
      <c r="S55" s="1027"/>
    </row>
    <row r="56" spans="1:19">
      <c r="A56" t="str">
        <f>Secteurs!$B$45</f>
        <v>Importations</v>
      </c>
      <c r="B56" t="str">
        <f>Produits!$B$11</f>
        <v>Graines collectées</v>
      </c>
      <c r="C56">
        <v>0</v>
      </c>
      <c r="D56" s="100"/>
      <c r="E56" t="str">
        <f>Etiquettes!$C$3</f>
        <v>kt</v>
      </c>
      <c r="F56" s="21" t="str">
        <f>Etiquettes!$N$6</f>
        <v>Lupin</v>
      </c>
      <c r="G56" s="21" t="str">
        <f>Etiquettes!$C$5</f>
        <v>2015-16:2019-20:2023-24</v>
      </c>
      <c r="H56" t="str">
        <f>Etiquettes!$C$4</f>
        <v>France entière</v>
      </c>
      <c r="I56" t="s">
        <v>1047</v>
      </c>
      <c r="J56" s="101" t="s">
        <v>1050</v>
      </c>
      <c r="K56" t="s">
        <v>1049</v>
      </c>
      <c r="L56" s="101" t="s">
        <v>1489</v>
      </c>
      <c r="M56" s="21" t="str">
        <f>Etiquettes!$H$11</f>
        <v>Volume</v>
      </c>
      <c r="N56" s="21" t="str">
        <f t="shared" si="1"/>
        <v>Importation de graines = 0 kt (Douanes françaises - Eurostat)</v>
      </c>
      <c r="O56" t="str">
        <f>Etiquettes!$J$15</f>
        <v>Probable</v>
      </c>
      <c r="P56" s="976" t="s">
        <v>1468</v>
      </c>
      <c r="Q56" s="976" t="str">
        <f>Etiquettes!$H$17</f>
        <v>Donnée collectée (valeur du flux ou coefficient)</v>
      </c>
      <c r="S56" s="1027"/>
    </row>
    <row r="57" spans="1:19">
      <c r="A57" t="str">
        <f>Produits!$B$11</f>
        <v>Graines collectées</v>
      </c>
      <c r="B57" t="str">
        <f>Secteurs!$B$46</f>
        <v>Exportations</v>
      </c>
      <c r="C57">
        <v>0</v>
      </c>
      <c r="D57" s="858"/>
      <c r="E57" t="str">
        <f>Etiquettes!$C$3</f>
        <v>kt</v>
      </c>
      <c r="F57" s="21" t="str">
        <f>Etiquettes!$N$6</f>
        <v>Lupin</v>
      </c>
      <c r="G57" s="21" t="str">
        <f>Etiquettes!$C$5</f>
        <v>2015-16:2019-20:2023-24</v>
      </c>
      <c r="H57" t="str">
        <f>Etiquettes!$C$4</f>
        <v>France entière</v>
      </c>
      <c r="I57" t="s">
        <v>1048</v>
      </c>
      <c r="J57" s="101" t="s">
        <v>1050</v>
      </c>
      <c r="K57" t="s">
        <v>1049</v>
      </c>
      <c r="L57" s="101" t="s">
        <v>1489</v>
      </c>
      <c r="M57" s="21" t="str">
        <f>Etiquettes!$H$11</f>
        <v>Volume</v>
      </c>
      <c r="N57" s="21" t="str">
        <f t="shared" si="1"/>
        <v>Exportation de graines = 0 kt (Douanes françaises - Eurostat)</v>
      </c>
      <c r="O57" t="str">
        <f>Etiquettes!$J$15</f>
        <v>Probable</v>
      </c>
      <c r="P57" s="976" t="s">
        <v>1468</v>
      </c>
      <c r="Q57" s="976" t="str">
        <f>Etiquettes!$H$17</f>
        <v>Donnée collectée (valeur du flux ou coefficient)</v>
      </c>
      <c r="S57" s="1027"/>
    </row>
    <row r="58" spans="1:19">
      <c r="A58" t="str">
        <f>Secteurs!$B$45</f>
        <v>Importations</v>
      </c>
      <c r="B58" t="str">
        <f>Produits!$B$13</f>
        <v>Huile</v>
      </c>
      <c r="C58" s="911">
        <f>'Prétraitement échanges'!D37+'Prétraitement échanges'!D38+'Prétraitement échanges'!D39+'Prétraitement échanges'!D40</f>
        <v>83.857113999999996</v>
      </c>
      <c r="D58" s="100"/>
      <c r="E58" t="str">
        <f>Etiquettes!$C$3</f>
        <v>kt</v>
      </c>
      <c r="F58" s="21" t="str">
        <f>Etiquettes!$J$6</f>
        <v>Soja</v>
      </c>
      <c r="G58" s="21" t="str">
        <f>Etiquettes!$H$5</f>
        <v>2015-16</v>
      </c>
      <c r="H58" t="str">
        <f>Etiquettes!$C$4</f>
        <v>France entière</v>
      </c>
      <c r="I58" t="s">
        <v>1146</v>
      </c>
      <c r="K58" t="s">
        <v>1049</v>
      </c>
      <c r="L58" s="101" t="s">
        <v>1490</v>
      </c>
      <c r="M58" s="21" t="str">
        <f>Etiquettes!$H$11</f>
        <v>Volume</v>
      </c>
      <c r="N58" s="21" t="str">
        <f t="shared" si="1"/>
        <v>Importation d'huile = 84 kt (Douanes françaises - Eurostat)</v>
      </c>
      <c r="O58" t="str">
        <f>Etiquettes!$I$15</f>
        <v>Robuste</v>
      </c>
      <c r="P58" s="976" t="s">
        <v>1468</v>
      </c>
      <c r="Q58" s="976" t="str">
        <f>Etiquettes!$H$17</f>
        <v>Donnée collectée (valeur du flux ou coefficient)</v>
      </c>
      <c r="S58" s="1027" t="s">
        <v>720</v>
      </c>
    </row>
    <row r="59" spans="1:19">
      <c r="A59" t="str">
        <f>Produits!$B$13</f>
        <v>Huile</v>
      </c>
      <c r="B59" t="str">
        <f>Secteurs!$B$46</f>
        <v>Exportations</v>
      </c>
      <c r="C59" s="911">
        <f>'Prétraitement échanges'!E37+'Prétraitement échanges'!E38+'Prétraitement échanges'!E39+'Prétraitement échanges'!E40</f>
        <v>132.79172000000003</v>
      </c>
      <c r="D59" s="858"/>
      <c r="E59" t="str">
        <f>Etiquettes!$C$3</f>
        <v>kt</v>
      </c>
      <c r="F59" s="21" t="str">
        <f>Etiquettes!$J$6</f>
        <v>Soja</v>
      </c>
      <c r="G59" s="21" t="str">
        <f>Etiquettes!$H$5</f>
        <v>2015-16</v>
      </c>
      <c r="H59" t="str">
        <f>Etiquettes!$C$4</f>
        <v>France entière</v>
      </c>
      <c r="I59" t="s">
        <v>1147</v>
      </c>
      <c r="K59" t="s">
        <v>1049</v>
      </c>
      <c r="L59" s="101" t="s">
        <v>1490</v>
      </c>
      <c r="M59" s="21" t="str">
        <f>Etiquettes!$H$11</f>
        <v>Volume</v>
      </c>
      <c r="N59" s="21" t="str">
        <f t="shared" si="1"/>
        <v>Exportation d'huile = 133 kt (Douanes françaises - Eurostat)</v>
      </c>
      <c r="O59" t="str">
        <f>Etiquettes!$I$15</f>
        <v>Robuste</v>
      </c>
      <c r="P59" s="976" t="s">
        <v>1468</v>
      </c>
      <c r="Q59" s="976" t="str">
        <f>Etiquettes!$H$17</f>
        <v>Donnée collectée (valeur du flux ou coefficient)</v>
      </c>
      <c r="S59" s="1027"/>
    </row>
    <row r="60" spans="1:19">
      <c r="A60" t="str">
        <f>Secteurs!$B$45</f>
        <v>Importations</v>
      </c>
      <c r="B60" t="str">
        <f>Produits!$B$13</f>
        <v>Huile</v>
      </c>
      <c r="C60" s="911">
        <f>'Prétraitement échanges'!F37+'Prétraitement échanges'!F38+'Prétraitement échanges'!F39+'Prétraitement échanges'!F40</f>
        <v>66.380635999999996</v>
      </c>
      <c r="D60" s="100"/>
      <c r="E60" t="str">
        <f>Etiquettes!$C$3</f>
        <v>kt</v>
      </c>
      <c r="F60" s="21" t="str">
        <f>Etiquettes!$J$6</f>
        <v>Soja</v>
      </c>
      <c r="G60" s="21" t="str">
        <f>Etiquettes!$I$5</f>
        <v>2019-20</v>
      </c>
      <c r="H60" t="str">
        <f>Etiquettes!$C$4</f>
        <v>France entière</v>
      </c>
      <c r="I60" t="s">
        <v>1146</v>
      </c>
      <c r="K60" t="s">
        <v>1049</v>
      </c>
      <c r="L60" s="101" t="s">
        <v>1490</v>
      </c>
      <c r="M60" s="21" t="str">
        <f>Etiquettes!$H$11</f>
        <v>Volume</v>
      </c>
      <c r="N60" s="21" t="str">
        <f t="shared" si="1"/>
        <v>Importation d'huile = 66 kt (Douanes françaises - Eurostat)</v>
      </c>
      <c r="O60" t="str">
        <f>Etiquettes!$I$15</f>
        <v>Robuste</v>
      </c>
      <c r="P60" s="976" t="s">
        <v>1468</v>
      </c>
      <c r="Q60" s="976" t="str">
        <f>Etiquettes!$H$17</f>
        <v>Donnée collectée (valeur du flux ou coefficient)</v>
      </c>
      <c r="S60" s="1027"/>
    </row>
    <row r="61" spans="1:19">
      <c r="A61" t="str">
        <f>Produits!$B$13</f>
        <v>Huile</v>
      </c>
      <c r="B61" t="str">
        <f>Secteurs!$B$46</f>
        <v>Exportations</v>
      </c>
      <c r="C61" s="911">
        <f>'Prétraitement échanges'!G37+'Prétraitement échanges'!G38+'Prétraitement échanges'!G39+'Prétraitement échanges'!G40</f>
        <v>53.352913999999991</v>
      </c>
      <c r="D61" s="858"/>
      <c r="E61" t="str">
        <f>Etiquettes!$C$3</f>
        <v>kt</v>
      </c>
      <c r="F61" s="21" t="str">
        <f>Etiquettes!$J$6</f>
        <v>Soja</v>
      </c>
      <c r="G61" s="21" t="str">
        <f>Etiquettes!$I$5</f>
        <v>2019-20</v>
      </c>
      <c r="H61" t="str">
        <f>Etiquettes!$C$4</f>
        <v>France entière</v>
      </c>
      <c r="I61" t="s">
        <v>1147</v>
      </c>
      <c r="K61" t="s">
        <v>1049</v>
      </c>
      <c r="L61" s="101" t="s">
        <v>1490</v>
      </c>
      <c r="M61" s="21" t="str">
        <f>Etiquettes!$H$11</f>
        <v>Volume</v>
      </c>
      <c r="N61" s="21" t="str">
        <f t="shared" si="1"/>
        <v>Exportation d'huile = 53 kt (Douanes françaises - Eurostat)</v>
      </c>
      <c r="O61" t="str">
        <f>Etiquettes!$I$15</f>
        <v>Robuste</v>
      </c>
      <c r="P61" s="976" t="s">
        <v>1468</v>
      </c>
      <c r="Q61" s="976" t="str">
        <f>Etiquettes!$H$17</f>
        <v>Donnée collectée (valeur du flux ou coefficient)</v>
      </c>
      <c r="S61" s="1027"/>
    </row>
    <row r="62" spans="1:19">
      <c r="A62" t="str">
        <f>Secteurs!$B$45</f>
        <v>Importations</v>
      </c>
      <c r="B62" t="str">
        <f>Produits!$B$13</f>
        <v>Huile</v>
      </c>
      <c r="C62" s="911">
        <f>'Prétraitement échanges'!H37+'Prétraitement échanges'!H38+'Prétraitement échanges'!H39+'Prétraitement échanges'!H40</f>
        <v>64.081057999999999</v>
      </c>
      <c r="D62" s="100"/>
      <c r="E62" t="str">
        <f>Etiquettes!$C$3</f>
        <v>kt</v>
      </c>
      <c r="F62" s="21" t="str">
        <f>Etiquettes!$J$6</f>
        <v>Soja</v>
      </c>
      <c r="G62" s="21" t="str">
        <f>Etiquettes!$J$5</f>
        <v>2023-24</v>
      </c>
      <c r="H62" t="str">
        <f>Etiquettes!$C$4</f>
        <v>France entière</v>
      </c>
      <c r="I62" t="s">
        <v>1146</v>
      </c>
      <c r="K62" t="s">
        <v>1049</v>
      </c>
      <c r="L62" s="101" t="s">
        <v>1490</v>
      </c>
      <c r="M62" s="21" t="str">
        <f>Etiquettes!$H$11</f>
        <v>Volume</v>
      </c>
      <c r="N62" s="21" t="str">
        <f t="shared" si="1"/>
        <v>Importation d'huile = 64 kt (Douanes françaises - Eurostat)</v>
      </c>
      <c r="O62" t="str">
        <f>Etiquettes!$I$15</f>
        <v>Robuste</v>
      </c>
      <c r="P62" s="976" t="s">
        <v>1468</v>
      </c>
      <c r="Q62" s="976" t="str">
        <f>Etiquettes!$H$17</f>
        <v>Donnée collectée (valeur du flux ou coefficient)</v>
      </c>
      <c r="S62" s="1027"/>
    </row>
    <row r="63" spans="1:19">
      <c r="A63" t="str">
        <f>Produits!$B$13</f>
        <v>Huile</v>
      </c>
      <c r="B63" t="str">
        <f>Secteurs!$B$46</f>
        <v>Exportations</v>
      </c>
      <c r="C63" s="911">
        <f>'Prétraitement échanges'!I37+'Prétraitement échanges'!I38+'Prétraitement échanges'!I39+'Prétraitement échanges'!I40</f>
        <v>68.833493000000004</v>
      </c>
      <c r="D63" s="858"/>
      <c r="E63" t="str">
        <f>Etiquettes!$C$3</f>
        <v>kt</v>
      </c>
      <c r="F63" s="21" t="str">
        <f>Etiquettes!$J$6</f>
        <v>Soja</v>
      </c>
      <c r="G63" s="21" t="str">
        <f>Etiquettes!$J$5</f>
        <v>2023-24</v>
      </c>
      <c r="H63" t="str">
        <f>Etiquettes!$C$4</f>
        <v>France entière</v>
      </c>
      <c r="I63" t="s">
        <v>1147</v>
      </c>
      <c r="K63" t="s">
        <v>1049</v>
      </c>
      <c r="L63" s="101" t="s">
        <v>1490</v>
      </c>
      <c r="M63" s="21" t="str">
        <f>Etiquettes!$H$11</f>
        <v>Volume</v>
      </c>
      <c r="N63" s="21" t="str">
        <f t="shared" si="1"/>
        <v>Exportation d'huile = 69 kt (Douanes françaises - Eurostat)</v>
      </c>
      <c r="O63" t="str">
        <f>Etiquettes!$I$15</f>
        <v>Robuste</v>
      </c>
      <c r="P63" s="976" t="s">
        <v>1468</v>
      </c>
      <c r="Q63" s="976" t="str">
        <f>Etiquettes!$H$17</f>
        <v>Donnée collectée (valeur du flux ou coefficient)</v>
      </c>
      <c r="S63" s="1027"/>
    </row>
    <row r="64" spans="1:19">
      <c r="A64" t="str">
        <f>Secteurs!$B$45</f>
        <v>Importations</v>
      </c>
      <c r="B64" t="str">
        <f>Produits!$B$13</f>
        <v>Huile</v>
      </c>
      <c r="C64" s="911">
        <f>'Prétraitement échanges'!D59+'Prétraitement échanges'!D60+'Prétraitement échanges'!D62+'Prétraitement échanges'!D63</f>
        <v>268.17685299999999</v>
      </c>
      <c r="D64" s="100"/>
      <c r="E64" t="str">
        <f>Etiquettes!$C$3</f>
        <v>kt</v>
      </c>
      <c r="F64" s="21" t="str">
        <f>Etiquettes!$I$6</f>
        <v>Tournesol</v>
      </c>
      <c r="G64" s="21" t="str">
        <f>Etiquettes!$H$5</f>
        <v>2015-16</v>
      </c>
      <c r="H64" t="str">
        <f>Etiquettes!$C$4</f>
        <v>France entière</v>
      </c>
      <c r="I64" t="s">
        <v>1146</v>
      </c>
      <c r="K64" t="s">
        <v>1049</v>
      </c>
      <c r="L64" s="101" t="s">
        <v>1490</v>
      </c>
      <c r="M64" s="21" t="str">
        <f>Etiquettes!$H$11</f>
        <v>Volume</v>
      </c>
      <c r="N64" s="21" t="str">
        <f t="shared" si="1"/>
        <v>Importation d'huile = 268 kt (Douanes françaises - Eurostat)</v>
      </c>
      <c r="O64" t="str">
        <f>Etiquettes!$I$15</f>
        <v>Robuste</v>
      </c>
      <c r="P64" s="976" t="s">
        <v>1468</v>
      </c>
      <c r="Q64" s="976" t="str">
        <f>Etiquettes!$H$17</f>
        <v>Donnée collectée (valeur du flux ou coefficient)</v>
      </c>
      <c r="S64" s="1027"/>
    </row>
    <row r="65" spans="1:25">
      <c r="A65" t="str">
        <f>Produits!$B$13</f>
        <v>Huile</v>
      </c>
      <c r="B65" t="str">
        <f>Secteurs!$B$46</f>
        <v>Exportations</v>
      </c>
      <c r="C65" s="911">
        <f>'Prétraitement échanges'!E59+'Prétraitement échanges'!E60+'Prétraitement échanges'!E62+'Prétraitement échanges'!E63</f>
        <v>318.57250299999998</v>
      </c>
      <c r="D65" s="858"/>
      <c r="E65" t="str">
        <f>Etiquettes!$C$3</f>
        <v>kt</v>
      </c>
      <c r="F65" s="21" t="str">
        <f>Etiquettes!$I$6</f>
        <v>Tournesol</v>
      </c>
      <c r="G65" s="21" t="str">
        <f>Etiquettes!$H$5</f>
        <v>2015-16</v>
      </c>
      <c r="H65" t="str">
        <f>Etiquettes!$C$4</f>
        <v>France entière</v>
      </c>
      <c r="I65" t="s">
        <v>1147</v>
      </c>
      <c r="K65" t="s">
        <v>1049</v>
      </c>
      <c r="L65" s="101" t="s">
        <v>1490</v>
      </c>
      <c r="M65" s="21" t="str">
        <f>Etiquettes!$H$11</f>
        <v>Volume</v>
      </c>
      <c r="N65" s="21" t="str">
        <f t="shared" si="1"/>
        <v>Exportation d'huile = 319 kt (Douanes françaises - Eurostat)</v>
      </c>
      <c r="O65" t="str">
        <f>Etiquettes!$I$15</f>
        <v>Robuste</v>
      </c>
      <c r="P65" s="976" t="s">
        <v>1468</v>
      </c>
      <c r="Q65" s="976" t="str">
        <f>Etiquettes!$H$17</f>
        <v>Donnée collectée (valeur du flux ou coefficient)</v>
      </c>
      <c r="S65" s="1027"/>
    </row>
    <row r="66" spans="1:25">
      <c r="A66" t="str">
        <f>Secteurs!$B$45</f>
        <v>Importations</v>
      </c>
      <c r="B66" t="str">
        <f>Produits!$B$13</f>
        <v>Huile</v>
      </c>
      <c r="C66" s="911">
        <f>'Prétraitement échanges'!F59+'Prétraitement échanges'!F60+'Prétraitement échanges'!F62+'Prétraitement échanges'!F63</f>
        <v>335.88479899999999</v>
      </c>
      <c r="D66" s="100"/>
      <c r="E66" t="str">
        <f>Etiquettes!$C$3</f>
        <v>kt</v>
      </c>
      <c r="F66" s="21" t="str">
        <f>Etiquettes!$I$6</f>
        <v>Tournesol</v>
      </c>
      <c r="G66" s="21" t="str">
        <f>Etiquettes!$I$5</f>
        <v>2019-20</v>
      </c>
      <c r="H66" t="str">
        <f>Etiquettes!$C$4</f>
        <v>France entière</v>
      </c>
      <c r="I66" t="s">
        <v>1146</v>
      </c>
      <c r="K66" t="s">
        <v>1049</v>
      </c>
      <c r="L66" s="101" t="s">
        <v>1490</v>
      </c>
      <c r="M66" s="21" t="str">
        <f>Etiquettes!$H$11</f>
        <v>Volume</v>
      </c>
      <c r="N66" s="21" t="str">
        <f t="shared" si="1"/>
        <v>Importation d'huile = 336 kt (Douanes françaises - Eurostat)</v>
      </c>
      <c r="O66" t="str">
        <f>Etiquettes!$I$15</f>
        <v>Robuste</v>
      </c>
      <c r="P66" s="976" t="s">
        <v>1468</v>
      </c>
      <c r="Q66" s="976" t="str">
        <f>Etiquettes!$H$17</f>
        <v>Donnée collectée (valeur du flux ou coefficient)</v>
      </c>
      <c r="S66" s="1027"/>
      <c r="U66" s="911"/>
      <c r="V66" s="911"/>
      <c r="W66" s="911"/>
      <c r="X66" s="911"/>
      <c r="Y66" s="911"/>
    </row>
    <row r="67" spans="1:25">
      <c r="A67" t="str">
        <f>Produits!$B$13</f>
        <v>Huile</v>
      </c>
      <c r="B67" t="str">
        <f>Secteurs!$B$46</f>
        <v>Exportations</v>
      </c>
      <c r="C67" s="911">
        <f>'Prétraitement échanges'!G59+'Prétraitement échanges'!G60+'Prétraitement échanges'!G62+'Prétraitement échanges'!G63</f>
        <v>356.86960499999998</v>
      </c>
      <c r="D67" s="858"/>
      <c r="E67" t="str">
        <f>Etiquettes!$C$3</f>
        <v>kt</v>
      </c>
      <c r="F67" s="21" t="str">
        <f>Etiquettes!$I$6</f>
        <v>Tournesol</v>
      </c>
      <c r="G67" s="21" t="str">
        <f>Etiquettes!$I$5</f>
        <v>2019-20</v>
      </c>
      <c r="H67" t="str">
        <f>Etiquettes!$C$4</f>
        <v>France entière</v>
      </c>
      <c r="I67" t="s">
        <v>1147</v>
      </c>
      <c r="K67" t="s">
        <v>1049</v>
      </c>
      <c r="L67" s="101" t="s">
        <v>1490</v>
      </c>
      <c r="M67" s="21" t="str">
        <f>Etiquettes!$H$11</f>
        <v>Volume</v>
      </c>
      <c r="N67" s="21" t="str">
        <f t="shared" si="1"/>
        <v>Exportation d'huile = 357 kt (Douanes françaises - Eurostat)</v>
      </c>
      <c r="O67" t="str">
        <f>Etiquettes!$I$15</f>
        <v>Robuste</v>
      </c>
      <c r="P67" s="976" t="s">
        <v>1468</v>
      </c>
      <c r="Q67" s="976" t="str">
        <f>Etiquettes!$H$17</f>
        <v>Donnée collectée (valeur du flux ou coefficient)</v>
      </c>
      <c r="S67" s="1027"/>
      <c r="U67" s="911"/>
      <c r="V67" s="911"/>
      <c r="W67" s="911"/>
      <c r="X67" s="911"/>
      <c r="Y67" s="911"/>
    </row>
    <row r="68" spans="1:25">
      <c r="A68" t="str">
        <f>Secteurs!$B$45</f>
        <v>Importations</v>
      </c>
      <c r="B68" t="str">
        <f>Produits!$B$13</f>
        <v>Huile</v>
      </c>
      <c r="C68" s="911">
        <f>'Prétraitement échanges'!H59+'Prétraitement échanges'!H60+'Prétraitement échanges'!H62+'Prétraitement échanges'!H63</f>
        <v>407.750722</v>
      </c>
      <c r="D68" s="100"/>
      <c r="E68" t="str">
        <f>Etiquettes!$C$3</f>
        <v>kt</v>
      </c>
      <c r="F68" s="21" t="str">
        <f>Etiquettes!$I$6</f>
        <v>Tournesol</v>
      </c>
      <c r="G68" s="21" t="str">
        <f>Etiquettes!$J$5</f>
        <v>2023-24</v>
      </c>
      <c r="H68" t="str">
        <f>Etiquettes!$C$4</f>
        <v>France entière</v>
      </c>
      <c r="I68" t="s">
        <v>1146</v>
      </c>
      <c r="K68" t="s">
        <v>1049</v>
      </c>
      <c r="L68" s="101" t="s">
        <v>1490</v>
      </c>
      <c r="M68" s="21" t="str">
        <f>Etiquettes!$H$11</f>
        <v>Volume</v>
      </c>
      <c r="N68" s="21" t="str">
        <f t="shared" si="1"/>
        <v>Importation d'huile = 408 kt (Douanes françaises - Eurostat)</v>
      </c>
      <c r="O68" t="str">
        <f>Etiquettes!$I$15</f>
        <v>Robuste</v>
      </c>
      <c r="P68" s="976" t="s">
        <v>1468</v>
      </c>
      <c r="Q68" s="976" t="str">
        <f>Etiquettes!$H$17</f>
        <v>Donnée collectée (valeur du flux ou coefficient)</v>
      </c>
      <c r="S68" s="1027"/>
      <c r="U68" s="911"/>
      <c r="V68" s="911"/>
      <c r="W68" s="911"/>
      <c r="X68" s="911"/>
      <c r="Y68" s="911"/>
    </row>
    <row r="69" spans="1:25">
      <c r="A69" t="str">
        <f>Produits!$B$13</f>
        <v>Huile</v>
      </c>
      <c r="B69" t="str">
        <f>Secteurs!$B$46</f>
        <v>Exportations</v>
      </c>
      <c r="C69" s="911">
        <f>'Prétraitement échanges'!I59+'Prétraitement échanges'!I60+'Prétraitement échanges'!I62+'Prétraitement échanges'!I63</f>
        <v>491.000744</v>
      </c>
      <c r="D69" s="858"/>
      <c r="E69" t="str">
        <f>Etiquettes!$C$3</f>
        <v>kt</v>
      </c>
      <c r="F69" s="21" t="str">
        <f>Etiquettes!$I$6</f>
        <v>Tournesol</v>
      </c>
      <c r="G69" s="21" t="str">
        <f>Etiquettes!$J$5</f>
        <v>2023-24</v>
      </c>
      <c r="H69" t="str">
        <f>Etiquettes!$C$4</f>
        <v>France entière</v>
      </c>
      <c r="I69" t="s">
        <v>1147</v>
      </c>
      <c r="K69" t="s">
        <v>1049</v>
      </c>
      <c r="L69" s="101" t="s">
        <v>1490</v>
      </c>
      <c r="M69" s="21" t="str">
        <f>Etiquettes!$H$11</f>
        <v>Volume</v>
      </c>
      <c r="N69" s="21" t="str">
        <f t="shared" si="1"/>
        <v>Exportation d'huile = 491 kt (Douanes françaises - Eurostat)</v>
      </c>
      <c r="O69" t="str">
        <f>Etiquettes!$I$15</f>
        <v>Robuste</v>
      </c>
      <c r="P69" s="976" t="s">
        <v>1468</v>
      </c>
      <c r="Q69" s="976" t="str">
        <f>Etiquettes!$H$17</f>
        <v>Donnée collectée (valeur du flux ou coefficient)</v>
      </c>
      <c r="S69" s="1027"/>
      <c r="U69" s="911"/>
      <c r="V69" s="911"/>
      <c r="W69" s="911"/>
      <c r="X69" s="911"/>
      <c r="Y69" s="911"/>
    </row>
    <row r="70" spans="1:25">
      <c r="A70" t="str">
        <f>Secteurs!$B$45</f>
        <v>Importations</v>
      </c>
      <c r="B70" t="str">
        <f>Produits!$B$13</f>
        <v>Huile</v>
      </c>
      <c r="C70" s="911">
        <f>'Prétraitement échanges'!D82+'Prétraitement échanges'!D83+'Prétraitement échanges'!D84+'Prétraitement échanges'!D85+'Prétraitement échanges'!D86+'Prétraitement échanges'!D87+'Prétraitement échanges'!D88+'Prétraitement échanges'!D89</f>
        <v>134.77274199999999</v>
      </c>
      <c r="D70" s="100"/>
      <c r="E70" t="str">
        <f>Etiquettes!$C$3</f>
        <v>kt</v>
      </c>
      <c r="F70" s="21" t="str">
        <f>Etiquettes!$H$6</f>
        <v>Colza</v>
      </c>
      <c r="G70" s="21" t="str">
        <f>Etiquettes!$H$5</f>
        <v>2015-16</v>
      </c>
      <c r="H70" t="str">
        <f>Etiquettes!$C$4</f>
        <v>France entière</v>
      </c>
      <c r="I70" t="s">
        <v>1146</v>
      </c>
      <c r="K70" t="s">
        <v>1049</v>
      </c>
      <c r="L70" s="101" t="s">
        <v>1490</v>
      </c>
      <c r="M70" s="21" t="str">
        <f>Etiquettes!$H$11</f>
        <v>Volume</v>
      </c>
      <c r="N70" s="21" t="str">
        <f t="shared" si="1"/>
        <v>Importation d'huile = 135 kt (Douanes françaises - Eurostat)</v>
      </c>
      <c r="O70" t="str">
        <f>Etiquettes!$I$15</f>
        <v>Robuste</v>
      </c>
      <c r="P70" s="976" t="s">
        <v>1468</v>
      </c>
      <c r="Q70" s="976" t="str">
        <f>Etiquettes!$H$17</f>
        <v>Donnée collectée (valeur du flux ou coefficient)</v>
      </c>
      <c r="S70" s="1027"/>
    </row>
    <row r="71" spans="1:25">
      <c r="A71" t="str">
        <f>Produits!$B$13</f>
        <v>Huile</v>
      </c>
      <c r="B71" t="str">
        <f>Secteurs!$B$46</f>
        <v>Exportations</v>
      </c>
      <c r="C71" s="911">
        <f>'Prétraitement échanges'!E82+'Prétraitement échanges'!E83+'Prétraitement échanges'!E84+'Prétraitement échanges'!E85+'Prétraitement échanges'!E86+'Prétraitement échanges'!E87+'Prétraitement échanges'!E88+'Prétraitement échanges'!E89</f>
        <v>329.67228799999998</v>
      </c>
      <c r="D71" s="858"/>
      <c r="E71" t="str">
        <f>Etiquettes!$C$3</f>
        <v>kt</v>
      </c>
      <c r="F71" s="21" t="str">
        <f>Etiquettes!$H$6</f>
        <v>Colza</v>
      </c>
      <c r="G71" s="21" t="str">
        <f>Etiquettes!$H$5</f>
        <v>2015-16</v>
      </c>
      <c r="H71" t="str">
        <f>Etiquettes!$C$4</f>
        <v>France entière</v>
      </c>
      <c r="I71" t="s">
        <v>1147</v>
      </c>
      <c r="K71" t="s">
        <v>1049</v>
      </c>
      <c r="L71" s="101" t="s">
        <v>1490</v>
      </c>
      <c r="M71" s="21" t="str">
        <f>Etiquettes!$H$11</f>
        <v>Volume</v>
      </c>
      <c r="N71" s="21" t="str">
        <f t="shared" si="1"/>
        <v>Exportation d'huile = 330 kt (Douanes françaises - Eurostat)</v>
      </c>
      <c r="O71" t="str">
        <f>Etiquettes!$I$15</f>
        <v>Robuste</v>
      </c>
      <c r="P71" s="976" t="s">
        <v>1468</v>
      </c>
      <c r="Q71" s="976" t="str">
        <f>Etiquettes!$H$17</f>
        <v>Donnée collectée (valeur du flux ou coefficient)</v>
      </c>
      <c r="S71" s="1027"/>
    </row>
    <row r="72" spans="1:25">
      <c r="A72" t="str">
        <f>Secteurs!$B$45</f>
        <v>Importations</v>
      </c>
      <c r="B72" t="str">
        <f>Produits!$B$13</f>
        <v>Huile</v>
      </c>
      <c r="C72" s="911">
        <f>'Prétraitement échanges'!F82+'Prétraitement échanges'!F83+'Prétraitement échanges'!F84+'Prétraitement échanges'!F85+'Prétraitement échanges'!F86+'Prétraitement échanges'!F87+'Prétraitement échanges'!F88+'Prétraitement échanges'!F89</f>
        <v>104.317222</v>
      </c>
      <c r="D72" s="100"/>
      <c r="E72" t="str">
        <f>Etiquettes!$C$3</f>
        <v>kt</v>
      </c>
      <c r="F72" s="21" t="str">
        <f>Etiquettes!$H$6</f>
        <v>Colza</v>
      </c>
      <c r="G72" s="21" t="str">
        <f>Etiquettes!$I$5</f>
        <v>2019-20</v>
      </c>
      <c r="H72" t="str">
        <f>Etiquettes!$C$4</f>
        <v>France entière</v>
      </c>
      <c r="I72" t="s">
        <v>1146</v>
      </c>
      <c r="K72" t="s">
        <v>1049</v>
      </c>
      <c r="L72" s="101" t="s">
        <v>1490</v>
      </c>
      <c r="M72" s="21" t="str">
        <f>Etiquettes!$H$11</f>
        <v>Volume</v>
      </c>
      <c r="N72" s="21" t="str">
        <f t="shared" si="1"/>
        <v>Importation d'huile = 104 kt (Douanes françaises - Eurostat)</v>
      </c>
      <c r="O72" t="str">
        <f>Etiquettes!$I$15</f>
        <v>Robuste</v>
      </c>
      <c r="P72" s="976" t="s">
        <v>1468</v>
      </c>
      <c r="Q72" s="976" t="str">
        <f>Etiquettes!$H$17</f>
        <v>Donnée collectée (valeur du flux ou coefficient)</v>
      </c>
      <c r="S72" s="1027"/>
      <c r="U72" s="911"/>
      <c r="V72" s="911"/>
      <c r="W72" s="911"/>
      <c r="X72" s="911"/>
      <c r="Y72" s="911"/>
    </row>
    <row r="73" spans="1:25">
      <c r="A73" t="str">
        <f>Produits!$B$13</f>
        <v>Huile</v>
      </c>
      <c r="B73" t="str">
        <f>Secteurs!$B$46</f>
        <v>Exportations</v>
      </c>
      <c r="C73" s="911">
        <f>'Prétraitement échanges'!G82+'Prétraitement échanges'!G83+'Prétraitement échanges'!G84+'Prétraitement échanges'!G85+'Prétraitement échanges'!G86+'Prétraitement échanges'!G87+'Prétraitement échanges'!G88+'Prétraitement échanges'!G89</f>
        <v>337.54022099999992</v>
      </c>
      <c r="D73" s="858"/>
      <c r="E73" t="str">
        <f>Etiquettes!$C$3</f>
        <v>kt</v>
      </c>
      <c r="F73" s="21" t="str">
        <f>Etiquettes!$H$6</f>
        <v>Colza</v>
      </c>
      <c r="G73" s="21" t="str">
        <f>Etiquettes!$I$5</f>
        <v>2019-20</v>
      </c>
      <c r="H73" t="str">
        <f>Etiquettes!$C$4</f>
        <v>France entière</v>
      </c>
      <c r="I73" t="s">
        <v>1147</v>
      </c>
      <c r="K73" t="s">
        <v>1049</v>
      </c>
      <c r="L73" s="101" t="s">
        <v>1490</v>
      </c>
      <c r="M73" s="21" t="str">
        <f>Etiquettes!$H$11</f>
        <v>Volume</v>
      </c>
      <c r="N73" s="21" t="str">
        <f t="shared" si="1"/>
        <v>Exportation d'huile = 338 kt (Douanes françaises - Eurostat)</v>
      </c>
      <c r="O73" t="str">
        <f>Etiquettes!$I$15</f>
        <v>Robuste</v>
      </c>
      <c r="P73" s="976" t="s">
        <v>1468</v>
      </c>
      <c r="Q73" s="976" t="str">
        <f>Etiquettes!$H$17</f>
        <v>Donnée collectée (valeur du flux ou coefficient)</v>
      </c>
      <c r="S73" s="1027"/>
      <c r="U73" s="911"/>
      <c r="V73" s="911"/>
      <c r="W73" s="911"/>
      <c r="X73" s="911"/>
      <c r="Y73" s="911"/>
    </row>
    <row r="74" spans="1:25">
      <c r="A74" t="str">
        <f>Secteurs!$B$45</f>
        <v>Importations</v>
      </c>
      <c r="B74" t="str">
        <f>Produits!$B$13</f>
        <v>Huile</v>
      </c>
      <c r="C74" s="911">
        <f>'Prétraitement échanges'!H82+'Prétraitement échanges'!H83+'Prétraitement échanges'!H84+'Prétraitement échanges'!H85+'Prétraitement échanges'!H86+'Prétraitement échanges'!H87+'Prétraitement échanges'!H88+'Prétraitement échanges'!H89</f>
        <v>144.49931599999999</v>
      </c>
      <c r="D74" s="100"/>
      <c r="E74" t="str">
        <f>Etiquettes!$C$3</f>
        <v>kt</v>
      </c>
      <c r="F74" s="21" t="str">
        <f>Etiquettes!$H$6</f>
        <v>Colza</v>
      </c>
      <c r="G74" s="21" t="str">
        <f>Etiquettes!$J$5</f>
        <v>2023-24</v>
      </c>
      <c r="H74" t="str">
        <f>Etiquettes!$C$4</f>
        <v>France entière</v>
      </c>
      <c r="I74" t="s">
        <v>1146</v>
      </c>
      <c r="K74" t="s">
        <v>1049</v>
      </c>
      <c r="L74" s="101" t="s">
        <v>1490</v>
      </c>
      <c r="M74" s="21" t="str">
        <f>Etiquettes!$H$11</f>
        <v>Volume</v>
      </c>
      <c r="N74" s="21" t="str">
        <f t="shared" si="1"/>
        <v>Importation d'huile = 144 kt (Douanes françaises - Eurostat)</v>
      </c>
      <c r="O74" t="str">
        <f>Etiquettes!$I$15</f>
        <v>Robuste</v>
      </c>
      <c r="P74" s="976" t="s">
        <v>1468</v>
      </c>
      <c r="Q74" s="976" t="str">
        <f>Etiquettes!$H$17</f>
        <v>Donnée collectée (valeur du flux ou coefficient)</v>
      </c>
      <c r="S74" s="1027"/>
      <c r="U74" s="911"/>
      <c r="V74" s="911"/>
      <c r="W74" s="911"/>
      <c r="X74" s="911"/>
      <c r="Y74" s="911"/>
    </row>
    <row r="75" spans="1:25">
      <c r="A75" t="str">
        <f>Produits!$B$13</f>
        <v>Huile</v>
      </c>
      <c r="B75" t="str">
        <f>Secteurs!$B$46</f>
        <v>Exportations</v>
      </c>
      <c r="C75" s="911">
        <f>'Prétraitement échanges'!I82+'Prétraitement échanges'!I83+'Prétraitement échanges'!I84+'Prétraitement échanges'!I85+'Prétraitement échanges'!I86+'Prétraitement échanges'!I87+'Prétraitement échanges'!I88+'Prétraitement échanges'!I89</f>
        <v>626.3347379999999</v>
      </c>
      <c r="D75" s="858"/>
      <c r="E75" t="str">
        <f>Etiquettes!$C$3</f>
        <v>kt</v>
      </c>
      <c r="F75" s="21" t="str">
        <f>Etiquettes!$H$6</f>
        <v>Colza</v>
      </c>
      <c r="G75" s="21" t="str">
        <f>Etiquettes!$J$5</f>
        <v>2023-24</v>
      </c>
      <c r="H75" t="str">
        <f>Etiquettes!$C$4</f>
        <v>France entière</v>
      </c>
      <c r="I75" t="s">
        <v>1147</v>
      </c>
      <c r="K75" t="s">
        <v>1049</v>
      </c>
      <c r="L75" s="101" t="s">
        <v>1490</v>
      </c>
      <c r="M75" s="21" t="str">
        <f>Etiquettes!$H$11</f>
        <v>Volume</v>
      </c>
      <c r="N75" s="21" t="str">
        <f t="shared" si="1"/>
        <v>Exportation d'huile = 626 kt (Douanes françaises - Eurostat)</v>
      </c>
      <c r="O75" t="str">
        <f>Etiquettes!$I$15</f>
        <v>Robuste</v>
      </c>
      <c r="P75" s="976" t="s">
        <v>1468</v>
      </c>
      <c r="Q75" s="976" t="str">
        <f>Etiquettes!$H$17</f>
        <v>Donnée collectée (valeur du flux ou coefficient)</v>
      </c>
      <c r="S75" s="1027"/>
      <c r="U75" s="911"/>
      <c r="V75" s="911"/>
      <c r="W75" s="911"/>
      <c r="X75" s="911"/>
      <c r="Y75" s="911"/>
    </row>
    <row r="76" spans="1:25">
      <c r="A76" t="str">
        <f>Secteurs!$B$45</f>
        <v>Importations</v>
      </c>
      <c r="B76" t="str">
        <f>Produits!$B$13</f>
        <v>Huile</v>
      </c>
      <c r="C76" s="911">
        <f>'Prétraitement échanges'!D90+'Prétraitement échanges'!D91+'Prétraitement échanges'!D92</f>
        <v>4.1071970000000002</v>
      </c>
      <c r="D76" s="100"/>
      <c r="E76" t="str">
        <f>Etiquettes!$C$3</f>
        <v>kt</v>
      </c>
      <c r="F76" s="21" t="str">
        <f>Etiquettes!$K$6</f>
        <v>Lin</v>
      </c>
      <c r="G76" s="21" t="str">
        <f>Etiquettes!$H$5</f>
        <v>2015-16</v>
      </c>
      <c r="H76" t="str">
        <f>Etiquettes!$C$4</f>
        <v>France entière</v>
      </c>
      <c r="I76" t="s">
        <v>1146</v>
      </c>
      <c r="K76" t="s">
        <v>1049</v>
      </c>
      <c r="L76" s="101" t="s">
        <v>1490</v>
      </c>
      <c r="M76" s="21" t="str">
        <f>Etiquettes!$H$11</f>
        <v>Volume</v>
      </c>
      <c r="N76" s="21" t="str">
        <f t="shared" si="1"/>
        <v>Importation d'huile = 4 kt (Douanes françaises - Eurostat)</v>
      </c>
      <c r="O76" t="str">
        <f>Etiquettes!$I$15</f>
        <v>Robuste</v>
      </c>
      <c r="P76" s="976" t="s">
        <v>1468</v>
      </c>
      <c r="Q76" s="976" t="str">
        <f>Etiquettes!$H$17</f>
        <v>Donnée collectée (valeur du flux ou coefficient)</v>
      </c>
      <c r="S76" s="1027"/>
    </row>
    <row r="77" spans="1:25">
      <c r="A77" t="str">
        <f>Produits!$B$13</f>
        <v>Huile</v>
      </c>
      <c r="B77" t="str">
        <f>Secteurs!$B$46</f>
        <v>Exportations</v>
      </c>
      <c r="C77" s="911">
        <f>'Prétraitement échanges'!E90+'Prétraitement échanges'!E91+'Prétraitement échanges'!E92</f>
        <v>0.45491799999999993</v>
      </c>
      <c r="D77" s="858"/>
      <c r="E77" t="str">
        <f>Etiquettes!$C$3</f>
        <v>kt</v>
      </c>
      <c r="F77" s="21" t="str">
        <f>Etiquettes!$K$6</f>
        <v>Lin</v>
      </c>
      <c r="G77" s="21" t="str">
        <f>Etiquettes!$H$5</f>
        <v>2015-16</v>
      </c>
      <c r="H77" t="str">
        <f>Etiquettes!$C$4</f>
        <v>France entière</v>
      </c>
      <c r="I77" t="s">
        <v>1147</v>
      </c>
      <c r="K77" t="s">
        <v>1049</v>
      </c>
      <c r="L77" s="101" t="s">
        <v>1490</v>
      </c>
      <c r="M77" s="21" t="str">
        <f>Etiquettes!$H$11</f>
        <v>Volume</v>
      </c>
      <c r="N77" s="21" t="str">
        <f t="shared" si="1"/>
        <v>Exportation d'huile = 0 kt (Douanes françaises - Eurostat)</v>
      </c>
      <c r="O77" t="str">
        <f>Etiquettes!$I$15</f>
        <v>Robuste</v>
      </c>
      <c r="P77" s="976" t="s">
        <v>1468</v>
      </c>
      <c r="Q77" s="976" t="str">
        <f>Etiquettes!$H$17</f>
        <v>Donnée collectée (valeur du flux ou coefficient)</v>
      </c>
      <c r="S77" s="1027"/>
    </row>
    <row r="78" spans="1:25">
      <c r="A78" t="str">
        <f>Secteurs!$B$45</f>
        <v>Importations</v>
      </c>
      <c r="B78" t="str">
        <f>Produits!$B$13</f>
        <v>Huile</v>
      </c>
      <c r="C78" s="911">
        <f>'Prétraitement échanges'!F90+'Prétraitement échanges'!F91+'Prétraitement échanges'!F92</f>
        <v>8.783593999999999</v>
      </c>
      <c r="D78" s="100"/>
      <c r="E78" t="str">
        <f>Etiquettes!$C$3</f>
        <v>kt</v>
      </c>
      <c r="F78" s="21" t="str">
        <f>Etiquettes!$K$6</f>
        <v>Lin</v>
      </c>
      <c r="G78" s="21" t="str">
        <f>Etiquettes!$I$5</f>
        <v>2019-20</v>
      </c>
      <c r="H78" t="str">
        <f>Etiquettes!$C$4</f>
        <v>France entière</v>
      </c>
      <c r="I78" t="s">
        <v>1146</v>
      </c>
      <c r="K78" t="s">
        <v>1049</v>
      </c>
      <c r="L78" s="101" t="s">
        <v>1490</v>
      </c>
      <c r="M78" s="21" t="str">
        <f>Etiquettes!$H$11</f>
        <v>Volume</v>
      </c>
      <c r="N78" s="21" t="str">
        <f t="shared" si="1"/>
        <v>Importation d'huile = 9 kt (Douanes françaises - Eurostat)</v>
      </c>
      <c r="O78" t="str">
        <f>Etiquettes!$I$15</f>
        <v>Robuste</v>
      </c>
      <c r="P78" s="976" t="s">
        <v>1468</v>
      </c>
      <c r="Q78" s="976" t="str">
        <f>Etiquettes!$H$17</f>
        <v>Donnée collectée (valeur du flux ou coefficient)</v>
      </c>
      <c r="S78" s="1027"/>
    </row>
    <row r="79" spans="1:25">
      <c r="A79" t="str">
        <f>Produits!$B$13</f>
        <v>Huile</v>
      </c>
      <c r="B79" t="str">
        <f>Secteurs!$B$46</f>
        <v>Exportations</v>
      </c>
      <c r="C79" s="911">
        <f>'Prétraitement échanges'!G90+'Prétraitement échanges'!G91+'Prétraitement échanges'!G92</f>
        <v>1.0158389999999999</v>
      </c>
      <c r="D79" s="858"/>
      <c r="E79" t="str">
        <f>Etiquettes!$C$3</f>
        <v>kt</v>
      </c>
      <c r="F79" s="21" t="str">
        <f>Etiquettes!$K$6</f>
        <v>Lin</v>
      </c>
      <c r="G79" s="21" t="str">
        <f>Etiquettes!$I$5</f>
        <v>2019-20</v>
      </c>
      <c r="H79" t="str">
        <f>Etiquettes!$C$4</f>
        <v>France entière</v>
      </c>
      <c r="I79" t="s">
        <v>1147</v>
      </c>
      <c r="K79" t="s">
        <v>1049</v>
      </c>
      <c r="L79" s="101" t="s">
        <v>1490</v>
      </c>
      <c r="M79" s="21" t="str">
        <f>Etiquettes!$H$11</f>
        <v>Volume</v>
      </c>
      <c r="N79" s="21" t="str">
        <f t="shared" si="1"/>
        <v>Exportation d'huile = 1 kt (Douanes françaises - Eurostat)</v>
      </c>
      <c r="O79" t="str">
        <f>Etiquettes!$I$15</f>
        <v>Robuste</v>
      </c>
      <c r="P79" s="976" t="s">
        <v>1468</v>
      </c>
      <c r="Q79" s="976" t="str">
        <f>Etiquettes!$H$17</f>
        <v>Donnée collectée (valeur du flux ou coefficient)</v>
      </c>
      <c r="S79" s="1027"/>
    </row>
    <row r="80" spans="1:25">
      <c r="A80" t="str">
        <f>Secteurs!$B$45</f>
        <v>Importations</v>
      </c>
      <c r="B80" t="str">
        <f>Produits!$B$13</f>
        <v>Huile</v>
      </c>
      <c r="C80" s="911">
        <f>'Prétraitement échanges'!H90+'Prétraitement échanges'!H91+'Prétraitement échanges'!H92</f>
        <v>6.2591410000000005</v>
      </c>
      <c r="D80" s="100"/>
      <c r="E80" t="str">
        <f>Etiquettes!$C$3</f>
        <v>kt</v>
      </c>
      <c r="F80" s="21" t="str">
        <f>Etiquettes!$K$6</f>
        <v>Lin</v>
      </c>
      <c r="G80" s="21" t="str">
        <f>Etiquettes!$J$5</f>
        <v>2023-24</v>
      </c>
      <c r="H80" t="str">
        <f>Etiquettes!$C$4</f>
        <v>France entière</v>
      </c>
      <c r="I80" t="s">
        <v>1146</v>
      </c>
      <c r="K80" t="s">
        <v>1049</v>
      </c>
      <c r="L80" s="101" t="s">
        <v>1490</v>
      </c>
      <c r="M80" s="21" t="str">
        <f>Etiquettes!$H$11</f>
        <v>Volume</v>
      </c>
      <c r="N80" s="21" t="str">
        <f t="shared" si="1"/>
        <v>Importation d'huile = 6 kt (Douanes françaises - Eurostat)</v>
      </c>
      <c r="O80" t="str">
        <f>Etiquettes!$I$15</f>
        <v>Robuste</v>
      </c>
      <c r="P80" s="976" t="s">
        <v>1468</v>
      </c>
      <c r="Q80" s="976" t="str">
        <f>Etiquettes!$H$17</f>
        <v>Donnée collectée (valeur du flux ou coefficient)</v>
      </c>
      <c r="S80" s="1027"/>
    </row>
    <row r="81" spans="1:19">
      <c r="A81" t="str">
        <f>Produits!$B$13</f>
        <v>Huile</v>
      </c>
      <c r="B81" t="str">
        <f>Secteurs!$B$46</f>
        <v>Exportations</v>
      </c>
      <c r="C81" s="911">
        <f>'Prétraitement échanges'!I90+'Prétraitement échanges'!I91+'Prétraitement échanges'!I92</f>
        <v>0.62463599999999997</v>
      </c>
      <c r="D81" s="858"/>
      <c r="E81" t="str">
        <f>Etiquettes!$C$3</f>
        <v>kt</v>
      </c>
      <c r="F81" s="21" t="str">
        <f>Etiquettes!$K$6</f>
        <v>Lin</v>
      </c>
      <c r="G81" s="21" t="str">
        <f>Etiquettes!$J$5</f>
        <v>2023-24</v>
      </c>
      <c r="H81" t="str">
        <f>Etiquettes!$C$4</f>
        <v>France entière</v>
      </c>
      <c r="I81" t="s">
        <v>1147</v>
      </c>
      <c r="K81" t="s">
        <v>1049</v>
      </c>
      <c r="L81" s="101" t="s">
        <v>1490</v>
      </c>
      <c r="M81" s="21" t="str">
        <f>Etiquettes!$H$11</f>
        <v>Volume</v>
      </c>
      <c r="N81" s="21" t="str">
        <f t="shared" si="1"/>
        <v>Exportation d'huile = 1 kt (Douanes françaises - Eurostat)</v>
      </c>
      <c r="O81" t="str">
        <f>Etiquettes!$I$15</f>
        <v>Robuste</v>
      </c>
      <c r="P81" s="976" t="s">
        <v>1468</v>
      </c>
      <c r="Q81" s="976" t="str">
        <f>Etiquettes!$H$17</f>
        <v>Donnée collectée (valeur du flux ou coefficient)</v>
      </c>
      <c r="S81" s="1027"/>
    </row>
    <row r="82" spans="1:19">
      <c r="A82" t="str">
        <f>Secteurs!$B$45</f>
        <v>Importations</v>
      </c>
      <c r="B82" t="str">
        <f>Produits!$B$14</f>
        <v>Tourteaux</v>
      </c>
      <c r="C82" s="911">
        <f>'Prétraitement échanges'!D128</f>
        <v>3431.9921129999993</v>
      </c>
      <c r="D82" s="100"/>
      <c r="E82" t="str">
        <f>Etiquettes!$C$3</f>
        <v>kt</v>
      </c>
      <c r="F82" s="21" t="str">
        <f>Etiquettes!$J$6</f>
        <v>Soja</v>
      </c>
      <c r="G82" s="21" t="str">
        <f>Etiquettes!$H$5</f>
        <v>2015-16</v>
      </c>
      <c r="H82" t="str">
        <f>Etiquettes!$C$4</f>
        <v>France entière</v>
      </c>
      <c r="I82" t="s">
        <v>1159</v>
      </c>
      <c r="K82" t="s">
        <v>1049</v>
      </c>
      <c r="L82" s="101" t="s">
        <v>1490</v>
      </c>
      <c r="M82" s="21" t="str">
        <f>Etiquettes!$H$11</f>
        <v>Volume</v>
      </c>
      <c r="N82" s="21" t="str">
        <f t="shared" si="1"/>
        <v>Importation de tourteaux = 3432 kt (Douanes françaises - Eurostat)</v>
      </c>
      <c r="O82" t="str">
        <f>Etiquettes!$I$15</f>
        <v>Robuste</v>
      </c>
      <c r="P82" s="976" t="s">
        <v>1468</v>
      </c>
      <c r="Q82" s="976" t="str">
        <f>Etiquettes!$H$17</f>
        <v>Donnée collectée (valeur du flux ou coefficient)</v>
      </c>
      <c r="S82" s="1027" t="s">
        <v>721</v>
      </c>
    </row>
    <row r="83" spans="1:19">
      <c r="A83" t="str">
        <f>Produits!$B$14</f>
        <v>Tourteaux</v>
      </c>
      <c r="B83" t="str">
        <f>Secteurs!$B$46</f>
        <v>Exportations</v>
      </c>
      <c r="C83" s="911">
        <f>'Prétraitement échanges'!E128</f>
        <v>19.168677000000002</v>
      </c>
      <c r="D83" s="858"/>
      <c r="E83" t="str">
        <f>Etiquettes!$C$3</f>
        <v>kt</v>
      </c>
      <c r="F83" s="21" t="str">
        <f>Etiquettes!$J$6</f>
        <v>Soja</v>
      </c>
      <c r="G83" s="21" t="str">
        <f>Etiquettes!$H$5</f>
        <v>2015-16</v>
      </c>
      <c r="H83" t="str">
        <f>Etiquettes!$C$4</f>
        <v>France entière</v>
      </c>
      <c r="I83" t="s">
        <v>1160</v>
      </c>
      <c r="K83" t="s">
        <v>1049</v>
      </c>
      <c r="L83" s="101" t="s">
        <v>1490</v>
      </c>
      <c r="M83" s="21" t="str">
        <f>Etiquettes!$H$11</f>
        <v>Volume</v>
      </c>
      <c r="N83" s="21" t="str">
        <f t="shared" si="1"/>
        <v>Exportation de tourteaux = 19 kt (Douanes françaises - Eurostat)</v>
      </c>
      <c r="O83" t="str">
        <f>Etiquettes!$I$15</f>
        <v>Robuste</v>
      </c>
      <c r="P83" s="976" t="s">
        <v>1468</v>
      </c>
      <c r="Q83" s="976" t="str">
        <f>Etiquettes!$H$17</f>
        <v>Donnée collectée (valeur du flux ou coefficient)</v>
      </c>
      <c r="S83" s="1027"/>
    </row>
    <row r="84" spans="1:19">
      <c r="A84" t="str">
        <f>Secteurs!$B$45</f>
        <v>Importations</v>
      </c>
      <c r="B84" t="str">
        <f>Produits!$B$14</f>
        <v>Tourteaux</v>
      </c>
      <c r="C84" s="911">
        <f>'Prétraitement échanges'!F128</f>
        <v>2925.549814</v>
      </c>
      <c r="D84" s="100"/>
      <c r="E84" t="str">
        <f>Etiquettes!$C$3</f>
        <v>kt</v>
      </c>
      <c r="F84" s="21" t="str">
        <f>Etiquettes!$J$6</f>
        <v>Soja</v>
      </c>
      <c r="G84" s="21" t="str">
        <f>Etiquettes!$I$5</f>
        <v>2019-20</v>
      </c>
      <c r="H84" t="str">
        <f>Etiquettes!$C$4</f>
        <v>France entière</v>
      </c>
      <c r="I84" t="s">
        <v>1159</v>
      </c>
      <c r="K84" t="s">
        <v>1049</v>
      </c>
      <c r="L84" s="101" t="s">
        <v>1490</v>
      </c>
      <c r="M84" s="21" t="str">
        <f>Etiquettes!$H$11</f>
        <v>Volume</v>
      </c>
      <c r="N84" s="21" t="str">
        <f t="shared" si="1"/>
        <v>Importation de tourteaux = 2926 kt (Douanes françaises - Eurostat)</v>
      </c>
      <c r="O84" t="str">
        <f>Etiquettes!$I$15</f>
        <v>Robuste</v>
      </c>
      <c r="P84" s="976" t="s">
        <v>1468</v>
      </c>
      <c r="Q84" s="976" t="str">
        <f>Etiquettes!$H$17</f>
        <v>Donnée collectée (valeur du flux ou coefficient)</v>
      </c>
      <c r="S84" s="1027"/>
    </row>
    <row r="85" spans="1:19">
      <c r="A85" t="str">
        <f>Produits!$B$14</f>
        <v>Tourteaux</v>
      </c>
      <c r="B85" t="str">
        <f>Secteurs!$B$46</f>
        <v>Exportations</v>
      </c>
      <c r="C85" s="911">
        <f>'Prétraitement échanges'!G128</f>
        <v>61.577357999999982</v>
      </c>
      <c r="D85" s="858"/>
      <c r="E85" t="str">
        <f>Etiquettes!$C$3</f>
        <v>kt</v>
      </c>
      <c r="F85" s="21" t="str">
        <f>Etiquettes!$J$6</f>
        <v>Soja</v>
      </c>
      <c r="G85" s="21" t="str">
        <f>Etiquettes!$I$5</f>
        <v>2019-20</v>
      </c>
      <c r="H85" t="str">
        <f>Etiquettes!$C$4</f>
        <v>France entière</v>
      </c>
      <c r="I85" t="s">
        <v>1160</v>
      </c>
      <c r="K85" t="s">
        <v>1049</v>
      </c>
      <c r="L85" s="101" t="s">
        <v>1490</v>
      </c>
      <c r="M85" s="21" t="str">
        <f>Etiquettes!$H$11</f>
        <v>Volume</v>
      </c>
      <c r="N85" s="21" t="str">
        <f t="shared" si="1"/>
        <v>Exportation de tourteaux = 62 kt (Douanes françaises - Eurostat)</v>
      </c>
      <c r="O85" t="str">
        <f>Etiquettes!$I$15</f>
        <v>Robuste</v>
      </c>
      <c r="P85" s="976" t="s">
        <v>1468</v>
      </c>
      <c r="Q85" s="976" t="str">
        <f>Etiquettes!$H$17</f>
        <v>Donnée collectée (valeur du flux ou coefficient)</v>
      </c>
      <c r="S85" s="1027"/>
    </row>
    <row r="86" spans="1:19">
      <c r="A86" t="str">
        <f>Secteurs!$B$45</f>
        <v>Importations</v>
      </c>
      <c r="B86" t="str">
        <f>Produits!$B$14</f>
        <v>Tourteaux</v>
      </c>
      <c r="C86" s="911">
        <f>'Prétraitement échanges'!H128</f>
        <v>2780.3795630000004</v>
      </c>
      <c r="D86" s="100"/>
      <c r="E86" t="str">
        <f>Etiquettes!$C$3</f>
        <v>kt</v>
      </c>
      <c r="F86" s="21" t="str">
        <f>Etiquettes!$J$6</f>
        <v>Soja</v>
      </c>
      <c r="G86" s="21" t="str">
        <f>Etiquettes!$J$5</f>
        <v>2023-24</v>
      </c>
      <c r="H86" t="str">
        <f>Etiquettes!$C$4</f>
        <v>France entière</v>
      </c>
      <c r="I86" t="s">
        <v>1159</v>
      </c>
      <c r="K86" t="s">
        <v>1049</v>
      </c>
      <c r="L86" s="101" t="s">
        <v>1490</v>
      </c>
      <c r="M86" s="21" t="str">
        <f>Etiquettes!$H$11</f>
        <v>Volume</v>
      </c>
      <c r="N86" s="21" t="str">
        <f t="shared" si="1"/>
        <v>Importation de tourteaux = 2780 kt (Douanes françaises - Eurostat)</v>
      </c>
      <c r="O86" t="str">
        <f>Etiquettes!$I$15</f>
        <v>Robuste</v>
      </c>
      <c r="P86" s="976" t="s">
        <v>1468</v>
      </c>
      <c r="Q86" s="976" t="str">
        <f>Etiquettes!$H$17</f>
        <v>Donnée collectée (valeur du flux ou coefficient)</v>
      </c>
      <c r="S86" s="1027"/>
    </row>
    <row r="87" spans="1:19">
      <c r="A87" t="str">
        <f>Produits!$B$14</f>
        <v>Tourteaux</v>
      </c>
      <c r="B87" t="str">
        <f>Secteurs!$B$46</f>
        <v>Exportations</v>
      </c>
      <c r="C87" s="911">
        <f>'Prétraitement échanges'!I128</f>
        <v>57.481765999999993</v>
      </c>
      <c r="D87" s="858"/>
      <c r="E87" t="str">
        <f>Etiquettes!$C$3</f>
        <v>kt</v>
      </c>
      <c r="F87" s="21" t="str">
        <f>Etiquettes!$J$6</f>
        <v>Soja</v>
      </c>
      <c r="G87" s="21" t="str">
        <f>Etiquettes!$J$5</f>
        <v>2023-24</v>
      </c>
      <c r="H87" t="str">
        <f>Etiquettes!$C$4</f>
        <v>France entière</v>
      </c>
      <c r="I87" t="s">
        <v>1160</v>
      </c>
      <c r="K87" t="s">
        <v>1049</v>
      </c>
      <c r="L87" s="101" t="s">
        <v>1490</v>
      </c>
      <c r="M87" s="21" t="str">
        <f>Etiquettes!$H$11</f>
        <v>Volume</v>
      </c>
      <c r="N87" s="21" t="str">
        <f t="shared" si="1"/>
        <v>Exportation de tourteaux = 57 kt (Douanes françaises - Eurostat)</v>
      </c>
      <c r="O87" t="str">
        <f>Etiquettes!$I$15</f>
        <v>Robuste</v>
      </c>
      <c r="P87" s="976" t="s">
        <v>1468</v>
      </c>
      <c r="Q87" s="976" t="str">
        <f>Etiquettes!$H$17</f>
        <v>Donnée collectée (valeur du flux ou coefficient)</v>
      </c>
      <c r="S87" s="1027"/>
    </row>
    <row r="88" spans="1:19">
      <c r="A88" t="str">
        <f>Secteurs!$B$45</f>
        <v>Importations</v>
      </c>
      <c r="B88" t="str">
        <f>Produits!$B$14</f>
        <v>Tourteaux</v>
      </c>
      <c r="C88" s="911">
        <f>'Prétraitement échanges'!D132</f>
        <v>881.97745799999996</v>
      </c>
      <c r="D88" s="100"/>
      <c r="E88" t="str">
        <f>Etiquettes!$C$3</f>
        <v>kt</v>
      </c>
      <c r="F88" s="21" t="str">
        <f>Etiquettes!$I$6</f>
        <v>Tournesol</v>
      </c>
      <c r="G88" s="21" t="str">
        <f>Etiquettes!$H$5</f>
        <v>2015-16</v>
      </c>
      <c r="H88" t="str">
        <f>Etiquettes!$C$4</f>
        <v>France entière</v>
      </c>
      <c r="I88" t="s">
        <v>1159</v>
      </c>
      <c r="K88" t="s">
        <v>1049</v>
      </c>
      <c r="L88" s="101" t="s">
        <v>1490</v>
      </c>
      <c r="M88" s="21" t="str">
        <f>Etiquettes!$H$11</f>
        <v>Volume</v>
      </c>
      <c r="N88" s="21" t="str">
        <f t="shared" si="1"/>
        <v>Importation de tourteaux = 882 kt (Douanes françaises - Eurostat)</v>
      </c>
      <c r="O88" t="str">
        <f>Etiquettes!$I$15</f>
        <v>Robuste</v>
      </c>
      <c r="P88" s="976" t="s">
        <v>1468</v>
      </c>
      <c r="Q88" s="976" t="str">
        <f>Etiquettes!$H$17</f>
        <v>Donnée collectée (valeur du flux ou coefficient)</v>
      </c>
      <c r="S88" s="1027"/>
    </row>
    <row r="89" spans="1:19">
      <c r="A89" t="str">
        <f>Produits!$B$14</f>
        <v>Tourteaux</v>
      </c>
      <c r="B89" t="str">
        <f>Secteurs!$B$46</f>
        <v>Exportations</v>
      </c>
      <c r="C89" s="911">
        <f>'Prétraitement échanges'!E132</f>
        <v>53.531640999999993</v>
      </c>
      <c r="D89" s="858"/>
      <c r="E89" t="str">
        <f>Etiquettes!$C$3</f>
        <v>kt</v>
      </c>
      <c r="F89" s="21" t="str">
        <f>Etiquettes!$I$6</f>
        <v>Tournesol</v>
      </c>
      <c r="G89" s="21" t="str">
        <f>Etiquettes!$H$5</f>
        <v>2015-16</v>
      </c>
      <c r="H89" t="str">
        <f>Etiquettes!$C$4</f>
        <v>France entière</v>
      </c>
      <c r="I89" t="s">
        <v>1160</v>
      </c>
      <c r="K89" t="s">
        <v>1049</v>
      </c>
      <c r="L89" s="101" t="s">
        <v>1490</v>
      </c>
      <c r="M89" s="21" t="str">
        <f>Etiquettes!$H$11</f>
        <v>Volume</v>
      </c>
      <c r="N89" s="21" t="str">
        <f t="shared" si="1"/>
        <v>Exportation de tourteaux = 54 kt (Douanes françaises - Eurostat)</v>
      </c>
      <c r="O89" t="str">
        <f>Etiquettes!$I$15</f>
        <v>Robuste</v>
      </c>
      <c r="P89" s="976" t="s">
        <v>1468</v>
      </c>
      <c r="Q89" s="976" t="str">
        <f>Etiquettes!$H$17</f>
        <v>Donnée collectée (valeur du flux ou coefficient)</v>
      </c>
      <c r="S89" s="1027"/>
    </row>
    <row r="90" spans="1:19">
      <c r="A90" t="str">
        <f>Secteurs!$B$45</f>
        <v>Importations</v>
      </c>
      <c r="B90" t="str">
        <f>Produits!$B$14</f>
        <v>Tourteaux</v>
      </c>
      <c r="C90" s="911">
        <f>'Prétraitement échanges'!F132</f>
        <v>985.75225299999988</v>
      </c>
      <c r="D90" s="100"/>
      <c r="E90" t="str">
        <f>Etiquettes!$C$3</f>
        <v>kt</v>
      </c>
      <c r="F90" s="21" t="str">
        <f>Etiquettes!$I$6</f>
        <v>Tournesol</v>
      </c>
      <c r="G90" s="21" t="str">
        <f>Etiquettes!$I$5</f>
        <v>2019-20</v>
      </c>
      <c r="H90" t="str">
        <f>Etiquettes!$C$4</f>
        <v>France entière</v>
      </c>
      <c r="I90" t="s">
        <v>1159</v>
      </c>
      <c r="K90" t="s">
        <v>1049</v>
      </c>
      <c r="L90" s="101" t="s">
        <v>1490</v>
      </c>
      <c r="M90" s="21" t="str">
        <f>Etiquettes!$H$11</f>
        <v>Volume</v>
      </c>
      <c r="N90" s="21" t="str">
        <f t="shared" si="1"/>
        <v>Importation de tourteaux = 986 kt (Douanes françaises - Eurostat)</v>
      </c>
      <c r="O90" t="str">
        <f>Etiquettes!$I$15</f>
        <v>Robuste</v>
      </c>
      <c r="P90" s="976" t="s">
        <v>1468</v>
      </c>
      <c r="Q90" s="976" t="str">
        <f>Etiquettes!$H$17</f>
        <v>Donnée collectée (valeur du flux ou coefficient)</v>
      </c>
      <c r="S90" s="1027"/>
    </row>
    <row r="91" spans="1:19">
      <c r="A91" t="str">
        <f>Produits!$B$14</f>
        <v>Tourteaux</v>
      </c>
      <c r="B91" t="str">
        <f>Secteurs!$B$46</f>
        <v>Exportations</v>
      </c>
      <c r="C91" s="911">
        <f>'Prétraitement échanges'!G132</f>
        <v>105.27310700000001</v>
      </c>
      <c r="D91" s="858"/>
      <c r="E91" t="str">
        <f>Etiquettes!$C$3</f>
        <v>kt</v>
      </c>
      <c r="F91" s="21" t="str">
        <f>Etiquettes!$I$6</f>
        <v>Tournesol</v>
      </c>
      <c r="G91" s="21" t="str">
        <f>Etiquettes!$I$5</f>
        <v>2019-20</v>
      </c>
      <c r="H91" t="str">
        <f>Etiquettes!$C$4</f>
        <v>France entière</v>
      </c>
      <c r="I91" t="s">
        <v>1160</v>
      </c>
      <c r="K91" t="s">
        <v>1049</v>
      </c>
      <c r="L91" s="101" t="s">
        <v>1490</v>
      </c>
      <c r="M91" s="21" t="str">
        <f>Etiquettes!$H$11</f>
        <v>Volume</v>
      </c>
      <c r="N91" s="21" t="str">
        <f t="shared" si="1"/>
        <v>Exportation de tourteaux = 105 kt (Douanes françaises - Eurostat)</v>
      </c>
      <c r="O91" t="str">
        <f>Etiquettes!$I$15</f>
        <v>Robuste</v>
      </c>
      <c r="P91" s="976" t="s">
        <v>1468</v>
      </c>
      <c r="Q91" s="976" t="str">
        <f>Etiquettes!$H$17</f>
        <v>Donnée collectée (valeur du flux ou coefficient)</v>
      </c>
      <c r="S91" s="1027"/>
    </row>
    <row r="92" spans="1:19">
      <c r="A92" t="str">
        <f>Secteurs!$B$45</f>
        <v>Importations</v>
      </c>
      <c r="B92" t="str">
        <f>Produits!$B$14</f>
        <v>Tourteaux</v>
      </c>
      <c r="C92" s="911">
        <f>'Prétraitement échanges'!H132</f>
        <v>870.25976500000002</v>
      </c>
      <c r="D92" s="100"/>
      <c r="E92" t="str">
        <f>Etiquettes!$C$3</f>
        <v>kt</v>
      </c>
      <c r="F92" s="21" t="str">
        <f>Etiquettes!$I$6</f>
        <v>Tournesol</v>
      </c>
      <c r="G92" s="21" t="str">
        <f>Etiquettes!$J$5</f>
        <v>2023-24</v>
      </c>
      <c r="H92" t="str">
        <f>Etiquettes!$C$4</f>
        <v>France entière</v>
      </c>
      <c r="I92" t="s">
        <v>1159</v>
      </c>
      <c r="K92" t="s">
        <v>1049</v>
      </c>
      <c r="L92" s="101" t="s">
        <v>1490</v>
      </c>
      <c r="M92" s="21" t="str">
        <f>Etiquettes!$H$11</f>
        <v>Volume</v>
      </c>
      <c r="N92" s="21" t="str">
        <f t="shared" si="1"/>
        <v>Importation de tourteaux = 870 kt (Douanes françaises - Eurostat)</v>
      </c>
      <c r="O92" t="str">
        <f>Etiquettes!$I$15</f>
        <v>Robuste</v>
      </c>
      <c r="P92" s="976" t="s">
        <v>1468</v>
      </c>
      <c r="Q92" s="976" t="str">
        <f>Etiquettes!$H$17</f>
        <v>Donnée collectée (valeur du flux ou coefficient)</v>
      </c>
      <c r="S92" s="1027"/>
    </row>
    <row r="93" spans="1:19">
      <c r="A93" t="str">
        <f>Produits!$B$14</f>
        <v>Tourteaux</v>
      </c>
      <c r="B93" t="str">
        <f>Secteurs!$B$46</f>
        <v>Exportations</v>
      </c>
      <c r="C93" s="911">
        <f>'Prétraitement échanges'!I132</f>
        <v>122.34380400000001</v>
      </c>
      <c r="D93" s="858"/>
      <c r="E93" t="str">
        <f>Etiquettes!$C$3</f>
        <v>kt</v>
      </c>
      <c r="F93" s="21" t="str">
        <f>Etiquettes!$I$6</f>
        <v>Tournesol</v>
      </c>
      <c r="G93" s="21" t="str">
        <f>Etiquettes!$J$5</f>
        <v>2023-24</v>
      </c>
      <c r="H93" t="str">
        <f>Etiquettes!$C$4</f>
        <v>France entière</v>
      </c>
      <c r="I93" t="s">
        <v>1160</v>
      </c>
      <c r="K93" t="s">
        <v>1049</v>
      </c>
      <c r="L93" s="101" t="s">
        <v>1490</v>
      </c>
      <c r="M93" s="21" t="str">
        <f>Etiquettes!$H$11</f>
        <v>Volume</v>
      </c>
      <c r="N93" s="21" t="str">
        <f t="shared" si="1"/>
        <v>Exportation de tourteaux = 122 kt (Douanes françaises - Eurostat)</v>
      </c>
      <c r="O93" t="str">
        <f>Etiquettes!$I$15</f>
        <v>Robuste</v>
      </c>
      <c r="P93" s="976" t="s">
        <v>1468</v>
      </c>
      <c r="Q93" s="976" t="str">
        <f>Etiquettes!$H$17</f>
        <v>Donnée collectée (valeur du flux ou coefficient)</v>
      </c>
      <c r="S93" s="1027"/>
    </row>
    <row r="94" spans="1:19">
      <c r="A94" t="str">
        <f>Secteurs!$B$45</f>
        <v>Importations</v>
      </c>
      <c r="B94" t="str">
        <f>Produits!$B$14</f>
        <v>Tourteaux</v>
      </c>
      <c r="C94" s="911">
        <f>'Prétraitement échanges'!D133+'Prétraitement échanges'!D134</f>
        <v>495.09036400000002</v>
      </c>
      <c r="D94" s="100"/>
      <c r="E94" t="str">
        <f>Etiquettes!$C$3</f>
        <v>kt</v>
      </c>
      <c r="F94" s="21" t="str">
        <f>Etiquettes!$H$6</f>
        <v>Colza</v>
      </c>
      <c r="G94" s="21" t="str">
        <f>Etiquettes!$H$5</f>
        <v>2015-16</v>
      </c>
      <c r="H94" t="str">
        <f>Etiquettes!$C$4</f>
        <v>France entière</v>
      </c>
      <c r="I94" t="s">
        <v>1159</v>
      </c>
      <c r="K94" t="s">
        <v>1049</v>
      </c>
      <c r="L94" s="101" t="s">
        <v>1490</v>
      </c>
      <c r="M94" s="21" t="str">
        <f>Etiquettes!$H$11</f>
        <v>Volume</v>
      </c>
      <c r="N94" s="21" t="str">
        <f t="shared" si="1"/>
        <v>Importation de tourteaux = 495 kt (Douanes françaises - Eurostat)</v>
      </c>
      <c r="O94" t="str">
        <f>Etiquettes!$I$15</f>
        <v>Robuste</v>
      </c>
      <c r="P94" s="976" t="s">
        <v>1468</v>
      </c>
      <c r="Q94" s="976" t="str">
        <f>Etiquettes!$H$17</f>
        <v>Donnée collectée (valeur du flux ou coefficient)</v>
      </c>
      <c r="S94" s="1027"/>
    </row>
    <row r="95" spans="1:19">
      <c r="A95" t="str">
        <f>Produits!$B$14</f>
        <v>Tourteaux</v>
      </c>
      <c r="B95" t="str">
        <f>Secteurs!$B$46</f>
        <v>Exportations</v>
      </c>
      <c r="C95" s="911">
        <f>'Prétraitement échanges'!E133+'Prétraitement échanges'!E134</f>
        <v>551.83720500000004</v>
      </c>
      <c r="D95" s="858"/>
      <c r="E95" t="str">
        <f>Etiquettes!$C$3</f>
        <v>kt</v>
      </c>
      <c r="F95" s="21" t="str">
        <f>Etiquettes!$H$6</f>
        <v>Colza</v>
      </c>
      <c r="G95" s="21" t="str">
        <f>Etiquettes!$H$5</f>
        <v>2015-16</v>
      </c>
      <c r="H95" t="str">
        <f>Etiquettes!$C$4</f>
        <v>France entière</v>
      </c>
      <c r="I95" t="s">
        <v>1160</v>
      </c>
      <c r="K95" t="s">
        <v>1049</v>
      </c>
      <c r="L95" s="101" t="s">
        <v>1490</v>
      </c>
      <c r="M95" s="21" t="str">
        <f>Etiquettes!$H$11</f>
        <v>Volume</v>
      </c>
      <c r="N95" s="21" t="str">
        <f t="shared" si="1"/>
        <v>Exportation de tourteaux = 552 kt (Douanes françaises - Eurostat)</v>
      </c>
      <c r="O95" t="str">
        <f>Etiquettes!$I$15</f>
        <v>Robuste</v>
      </c>
      <c r="P95" s="976" t="s">
        <v>1468</v>
      </c>
      <c r="Q95" s="976" t="str">
        <f>Etiquettes!$H$17</f>
        <v>Donnée collectée (valeur du flux ou coefficient)</v>
      </c>
      <c r="S95" s="1027"/>
    </row>
    <row r="96" spans="1:19">
      <c r="A96" t="str">
        <f>Secteurs!$B$45</f>
        <v>Importations</v>
      </c>
      <c r="B96" t="str">
        <f>Produits!$B$14</f>
        <v>Tourteaux</v>
      </c>
      <c r="C96" s="911">
        <f>'Prétraitement échanges'!F133+'Prétraitement échanges'!F134</f>
        <v>526.16273000000001</v>
      </c>
      <c r="D96" s="100"/>
      <c r="E96" t="str">
        <f>Etiquettes!$C$3</f>
        <v>kt</v>
      </c>
      <c r="F96" s="21" t="str">
        <f>Etiquettes!$H$6</f>
        <v>Colza</v>
      </c>
      <c r="G96" s="21" t="str">
        <f>Etiquettes!$I$5</f>
        <v>2019-20</v>
      </c>
      <c r="H96" t="str">
        <f>Etiquettes!$C$4</f>
        <v>France entière</v>
      </c>
      <c r="I96" t="s">
        <v>1159</v>
      </c>
      <c r="K96" t="s">
        <v>1049</v>
      </c>
      <c r="L96" s="101" t="s">
        <v>1490</v>
      </c>
      <c r="M96" s="21" t="str">
        <f>Etiquettes!$H$11</f>
        <v>Volume</v>
      </c>
      <c r="N96" s="21" t="str">
        <f t="shared" si="1"/>
        <v>Importation de tourteaux = 526 kt (Douanes françaises - Eurostat)</v>
      </c>
      <c r="O96" t="str">
        <f>Etiquettes!$I$15</f>
        <v>Robuste</v>
      </c>
      <c r="P96" s="976" t="s">
        <v>1468</v>
      </c>
      <c r="Q96" s="976" t="str">
        <f>Etiquettes!$H$17</f>
        <v>Donnée collectée (valeur du flux ou coefficient)</v>
      </c>
      <c r="S96" s="1027"/>
    </row>
    <row r="97" spans="1:19">
      <c r="A97" t="str">
        <f>Produits!$B$14</f>
        <v>Tourteaux</v>
      </c>
      <c r="B97" t="str">
        <f>Secteurs!$B$46</f>
        <v>Exportations</v>
      </c>
      <c r="C97" s="911">
        <f>'Prétraitement échanges'!G133+'Prétraitement échanges'!G134</f>
        <v>509.602035</v>
      </c>
      <c r="D97" s="858"/>
      <c r="E97" t="str">
        <f>Etiquettes!$C$3</f>
        <v>kt</v>
      </c>
      <c r="F97" s="21" t="str">
        <f>Etiquettes!$H$6</f>
        <v>Colza</v>
      </c>
      <c r="G97" s="21" t="str">
        <f>Etiquettes!$I$5</f>
        <v>2019-20</v>
      </c>
      <c r="H97" t="str">
        <f>Etiquettes!$C$4</f>
        <v>France entière</v>
      </c>
      <c r="I97" t="s">
        <v>1160</v>
      </c>
      <c r="K97" t="s">
        <v>1049</v>
      </c>
      <c r="L97" s="101" t="s">
        <v>1490</v>
      </c>
      <c r="M97" s="21" t="str">
        <f>Etiquettes!$H$11</f>
        <v>Volume</v>
      </c>
      <c r="N97" s="21" t="str">
        <f t="shared" si="1"/>
        <v>Exportation de tourteaux = 510 kt (Douanes françaises - Eurostat)</v>
      </c>
      <c r="O97" t="str">
        <f>Etiquettes!$I$15</f>
        <v>Robuste</v>
      </c>
      <c r="P97" s="976" t="s">
        <v>1468</v>
      </c>
      <c r="Q97" s="976" t="str">
        <f>Etiquettes!$H$17</f>
        <v>Donnée collectée (valeur du flux ou coefficient)</v>
      </c>
      <c r="S97" s="1027"/>
    </row>
    <row r="98" spans="1:19">
      <c r="A98" t="str">
        <f>Secteurs!$B$45</f>
        <v>Importations</v>
      </c>
      <c r="B98" t="str">
        <f>Produits!$B$14</f>
        <v>Tourteaux</v>
      </c>
      <c r="C98" s="911">
        <f>'Prétraitement échanges'!H133+'Prétraitement échanges'!H134</f>
        <v>683.5909190000001</v>
      </c>
      <c r="D98" s="100"/>
      <c r="E98" t="str">
        <f>Etiquettes!$C$3</f>
        <v>kt</v>
      </c>
      <c r="F98" s="21" t="str">
        <f>Etiquettes!$H$6</f>
        <v>Colza</v>
      </c>
      <c r="G98" s="21" t="str">
        <f>Etiquettes!$J$5</f>
        <v>2023-24</v>
      </c>
      <c r="H98" t="str">
        <f>Etiquettes!$C$4</f>
        <v>France entière</v>
      </c>
      <c r="I98" t="s">
        <v>1159</v>
      </c>
      <c r="K98" t="s">
        <v>1049</v>
      </c>
      <c r="L98" s="101" t="s">
        <v>1490</v>
      </c>
      <c r="M98" s="21" t="str">
        <f>Etiquettes!$H$11</f>
        <v>Volume</v>
      </c>
      <c r="N98" s="21" t="str">
        <f t="shared" ref="N98:N99" si="2">_xlfn.CONCAT(I98,IF(ISBLANK(C98),"",_xlfn.CONCAT(" = ",MROUND(C98,1)," ",E98))," (",K98,")")</f>
        <v>Importation de tourteaux = 684 kt (Douanes françaises - Eurostat)</v>
      </c>
      <c r="O98" t="str">
        <f>Etiquettes!$I$15</f>
        <v>Robuste</v>
      </c>
      <c r="P98" s="976" t="s">
        <v>1468</v>
      </c>
      <c r="Q98" s="976" t="str">
        <f>Etiquettes!$H$17</f>
        <v>Donnée collectée (valeur du flux ou coefficient)</v>
      </c>
      <c r="S98" s="1027"/>
    </row>
    <row r="99" spans="1:19">
      <c r="A99" t="str">
        <f>Produits!$B$14</f>
        <v>Tourteaux</v>
      </c>
      <c r="B99" t="str">
        <f>Secteurs!$B$46</f>
        <v>Exportations</v>
      </c>
      <c r="C99" s="911">
        <f>'Prétraitement échanges'!I133+'Prétraitement échanges'!I134</f>
        <v>376.69576300000006</v>
      </c>
      <c r="D99" s="858"/>
      <c r="E99" t="str">
        <f>Etiquettes!$C$3</f>
        <v>kt</v>
      </c>
      <c r="F99" s="21" t="str">
        <f>Etiquettes!$H$6</f>
        <v>Colza</v>
      </c>
      <c r="G99" s="21" t="str">
        <f>Etiquettes!$J$5</f>
        <v>2023-24</v>
      </c>
      <c r="H99" t="str">
        <f>Etiquettes!$C$4</f>
        <v>France entière</v>
      </c>
      <c r="I99" t="s">
        <v>1160</v>
      </c>
      <c r="K99" t="s">
        <v>1049</v>
      </c>
      <c r="L99" s="101" t="s">
        <v>1490</v>
      </c>
      <c r="M99" s="21" t="str">
        <f>Etiquettes!$H$11</f>
        <v>Volume</v>
      </c>
      <c r="N99" s="21" t="str">
        <f t="shared" si="2"/>
        <v>Exportation de tourteaux = 377 kt (Douanes françaises - Eurostat)</v>
      </c>
      <c r="O99" t="str">
        <f>Etiquettes!$I$15</f>
        <v>Robuste</v>
      </c>
      <c r="P99" s="976" t="s">
        <v>1468</v>
      </c>
      <c r="Q99" s="976" t="str">
        <f>Etiquettes!$H$17</f>
        <v>Donnée collectée (valeur du flux ou coefficient)</v>
      </c>
      <c r="S99" s="1027"/>
    </row>
    <row r="100" spans="1:19">
      <c r="A100" t="str">
        <f>Secteurs!$B$45</f>
        <v>Importations</v>
      </c>
      <c r="B100" t="str">
        <f>Produits!$B$14</f>
        <v>Tourteaux</v>
      </c>
      <c r="C100" s="911">
        <f>'Prétraitement échanges'!D131</f>
        <v>90.166308000000001</v>
      </c>
      <c r="D100" s="100"/>
      <c r="E100" t="str">
        <f>Etiquettes!$C$3</f>
        <v>kt</v>
      </c>
      <c r="F100" s="21" t="str">
        <f>Etiquettes!$K$6</f>
        <v>Lin</v>
      </c>
      <c r="G100" s="21" t="str">
        <f>Etiquettes!$H$5</f>
        <v>2015-16</v>
      </c>
      <c r="H100" t="str">
        <f>Etiquettes!$C$4</f>
        <v>France entière</v>
      </c>
      <c r="I100" t="s">
        <v>1159</v>
      </c>
      <c r="K100" t="s">
        <v>1049</v>
      </c>
      <c r="L100" s="101" t="s">
        <v>1490</v>
      </c>
      <c r="M100" s="21" t="str">
        <f>Etiquettes!$H$11</f>
        <v>Volume</v>
      </c>
      <c r="N100" s="21" t="str">
        <f t="shared" ref="N100:N123" si="3">_xlfn.CONCAT(I100,IF(ISBLANK(C100),"",_xlfn.CONCAT(" = ",MROUND(C100,1)," ",E100))," (",K100,")")</f>
        <v>Importation de tourteaux = 90 kt (Douanes françaises - Eurostat)</v>
      </c>
      <c r="O100" t="str">
        <f>Etiquettes!$I$15</f>
        <v>Robuste</v>
      </c>
      <c r="P100" s="976" t="s">
        <v>1468</v>
      </c>
      <c r="Q100" s="976" t="str">
        <f>Etiquettes!$H$17</f>
        <v>Donnée collectée (valeur du flux ou coefficient)</v>
      </c>
      <c r="S100" s="1027"/>
    </row>
    <row r="101" spans="1:19">
      <c r="A101" t="str">
        <f>Produits!$B$14</f>
        <v>Tourteaux</v>
      </c>
      <c r="B101" t="str">
        <f>Secteurs!$B$46</f>
        <v>Exportations</v>
      </c>
      <c r="C101" s="911">
        <f>'Prétraitement échanges'!E131</f>
        <v>3.2097000000000001E-2</v>
      </c>
      <c r="D101" s="858"/>
      <c r="E101" t="str">
        <f>Etiquettes!$C$3</f>
        <v>kt</v>
      </c>
      <c r="F101" s="21" t="str">
        <f>Etiquettes!$K$6</f>
        <v>Lin</v>
      </c>
      <c r="G101" s="21" t="str">
        <f>Etiquettes!$H$5</f>
        <v>2015-16</v>
      </c>
      <c r="H101" t="str">
        <f>Etiquettes!$C$4</f>
        <v>France entière</v>
      </c>
      <c r="I101" t="s">
        <v>1160</v>
      </c>
      <c r="K101" t="s">
        <v>1049</v>
      </c>
      <c r="L101" s="101" t="s">
        <v>1490</v>
      </c>
      <c r="M101" s="21" t="str">
        <f>Etiquettes!$H$11</f>
        <v>Volume</v>
      </c>
      <c r="N101" s="21" t="str">
        <f t="shared" si="3"/>
        <v>Exportation de tourteaux = 0 kt (Douanes françaises - Eurostat)</v>
      </c>
      <c r="O101" t="str">
        <f>Etiquettes!$I$15</f>
        <v>Robuste</v>
      </c>
      <c r="P101" s="976" t="s">
        <v>1468</v>
      </c>
      <c r="Q101" s="976" t="str">
        <f>Etiquettes!$H$17</f>
        <v>Donnée collectée (valeur du flux ou coefficient)</v>
      </c>
      <c r="S101" s="1027"/>
    </row>
    <row r="102" spans="1:19">
      <c r="A102" t="str">
        <f>Secteurs!$B$45</f>
        <v>Importations</v>
      </c>
      <c r="B102" t="str">
        <f>Produits!$B$14</f>
        <v>Tourteaux</v>
      </c>
      <c r="C102" s="911">
        <f>'Prétraitement échanges'!F131</f>
        <v>89.650288000000018</v>
      </c>
      <c r="D102" s="100"/>
      <c r="E102" t="str">
        <f>Etiquettes!$C$3</f>
        <v>kt</v>
      </c>
      <c r="F102" s="21" t="str">
        <f>Etiquettes!$K$6</f>
        <v>Lin</v>
      </c>
      <c r="G102" s="21" t="str">
        <f>Etiquettes!$I$5</f>
        <v>2019-20</v>
      </c>
      <c r="H102" t="str">
        <f>Etiquettes!$C$4</f>
        <v>France entière</v>
      </c>
      <c r="I102" t="s">
        <v>1159</v>
      </c>
      <c r="K102" t="s">
        <v>1049</v>
      </c>
      <c r="L102" s="101" t="s">
        <v>1490</v>
      </c>
      <c r="M102" s="21" t="str">
        <f>Etiquettes!$H$11</f>
        <v>Volume</v>
      </c>
      <c r="N102" s="21" t="str">
        <f t="shared" si="3"/>
        <v>Importation de tourteaux = 90 kt (Douanes françaises - Eurostat)</v>
      </c>
      <c r="O102" t="str">
        <f>Etiquettes!$I$15</f>
        <v>Robuste</v>
      </c>
      <c r="P102" s="976" t="s">
        <v>1468</v>
      </c>
      <c r="Q102" s="976" t="str">
        <f>Etiquettes!$H$17</f>
        <v>Donnée collectée (valeur du flux ou coefficient)</v>
      </c>
      <c r="S102" s="1027"/>
    </row>
    <row r="103" spans="1:19">
      <c r="A103" t="str">
        <f>Produits!$B$14</f>
        <v>Tourteaux</v>
      </c>
      <c r="B103" t="str">
        <f>Secteurs!$B$46</f>
        <v>Exportations</v>
      </c>
      <c r="C103" s="911">
        <f>'Prétraitement échanges'!G131</f>
        <v>0.89740699999999995</v>
      </c>
      <c r="D103" s="858"/>
      <c r="E103" t="str">
        <f>Etiquettes!$C$3</f>
        <v>kt</v>
      </c>
      <c r="F103" s="21" t="str">
        <f>Etiquettes!$K$6</f>
        <v>Lin</v>
      </c>
      <c r="G103" s="21" t="str">
        <f>Etiquettes!$I$5</f>
        <v>2019-20</v>
      </c>
      <c r="H103" t="str">
        <f>Etiquettes!$C$4</f>
        <v>France entière</v>
      </c>
      <c r="I103" t="s">
        <v>1160</v>
      </c>
      <c r="K103" t="s">
        <v>1049</v>
      </c>
      <c r="L103" s="101" t="s">
        <v>1490</v>
      </c>
      <c r="M103" s="21" t="str">
        <f>Etiquettes!$H$11</f>
        <v>Volume</v>
      </c>
      <c r="N103" s="21" t="str">
        <f t="shared" si="3"/>
        <v>Exportation de tourteaux = 1 kt (Douanes françaises - Eurostat)</v>
      </c>
      <c r="O103" t="str">
        <f>Etiquettes!$I$15</f>
        <v>Robuste</v>
      </c>
      <c r="P103" s="976" t="s">
        <v>1468</v>
      </c>
      <c r="Q103" s="976" t="str">
        <f>Etiquettes!$H$17</f>
        <v>Donnée collectée (valeur du flux ou coefficient)</v>
      </c>
      <c r="S103" s="1027"/>
    </row>
    <row r="104" spans="1:19">
      <c r="A104" t="str">
        <f>Secteurs!$B$45</f>
        <v>Importations</v>
      </c>
      <c r="B104" t="str">
        <f>Produits!$B$14</f>
        <v>Tourteaux</v>
      </c>
      <c r="C104" s="911">
        <f>'Prétraitement échanges'!H131</f>
        <v>76.012824999999992</v>
      </c>
      <c r="D104" s="100"/>
      <c r="E104" t="str">
        <f>Etiquettes!$C$3</f>
        <v>kt</v>
      </c>
      <c r="F104" s="21" t="str">
        <f>Etiquettes!$K$6</f>
        <v>Lin</v>
      </c>
      <c r="G104" s="21" t="str">
        <f>Etiquettes!$J$5</f>
        <v>2023-24</v>
      </c>
      <c r="H104" t="str">
        <f>Etiquettes!$C$4</f>
        <v>France entière</v>
      </c>
      <c r="I104" t="s">
        <v>1159</v>
      </c>
      <c r="K104" t="s">
        <v>1049</v>
      </c>
      <c r="L104" s="101" t="s">
        <v>1490</v>
      </c>
      <c r="M104" s="21" t="str">
        <f>Etiquettes!$H$11</f>
        <v>Volume</v>
      </c>
      <c r="N104" s="21" t="str">
        <f t="shared" si="3"/>
        <v>Importation de tourteaux = 76 kt (Douanes françaises - Eurostat)</v>
      </c>
      <c r="O104" t="str">
        <f>Etiquettes!$I$15</f>
        <v>Robuste</v>
      </c>
      <c r="P104" s="976" t="s">
        <v>1468</v>
      </c>
      <c r="Q104" s="976" t="str">
        <f>Etiquettes!$H$17</f>
        <v>Donnée collectée (valeur du flux ou coefficient)</v>
      </c>
      <c r="S104" s="1027"/>
    </row>
    <row r="105" spans="1:19">
      <c r="A105" t="str">
        <f>Produits!$B$14</f>
        <v>Tourteaux</v>
      </c>
      <c r="B105" t="str">
        <f>Secteurs!$B$46</f>
        <v>Exportations</v>
      </c>
      <c r="C105" s="911">
        <f>'Prétraitement échanges'!I131</f>
        <v>0.52332000000000012</v>
      </c>
      <c r="D105" s="858"/>
      <c r="E105" t="str">
        <f>Etiquettes!$C$3</f>
        <v>kt</v>
      </c>
      <c r="F105" s="21" t="str">
        <f>Etiquettes!$K$6</f>
        <v>Lin</v>
      </c>
      <c r="G105" s="21" t="str">
        <f>Etiquettes!$J$5</f>
        <v>2023-24</v>
      </c>
      <c r="H105" t="str">
        <f>Etiquettes!$C$4</f>
        <v>France entière</v>
      </c>
      <c r="I105" t="s">
        <v>1160</v>
      </c>
      <c r="K105" t="s">
        <v>1049</v>
      </c>
      <c r="L105" s="101" t="s">
        <v>1490</v>
      </c>
      <c r="M105" s="21" t="str">
        <f>Etiquettes!$H$11</f>
        <v>Volume</v>
      </c>
      <c r="N105" s="21" t="str">
        <f t="shared" si="3"/>
        <v>Exportation de tourteaux = 1 kt (Douanes françaises - Eurostat)</v>
      </c>
      <c r="O105" t="str">
        <f>Etiquettes!$I$15</f>
        <v>Robuste</v>
      </c>
      <c r="P105" s="976" t="s">
        <v>1468</v>
      </c>
      <c r="Q105" s="976" t="str">
        <f>Etiquettes!$H$17</f>
        <v>Donnée collectée (valeur du flux ou coefficient)</v>
      </c>
      <c r="S105" s="1027"/>
    </row>
    <row r="106" spans="1:19">
      <c r="A106" t="str">
        <f>Secteurs!$B$45</f>
        <v>Importations</v>
      </c>
      <c r="B106" t="s">
        <v>1128</v>
      </c>
      <c r="C106" s="911">
        <f>'Prétraitement échanges'!D4+'Prétraitement échanges'!D5+'Prétraitement échanges'!D8</f>
        <v>2.2935270000000001</v>
      </c>
      <c r="D106" s="100"/>
      <c r="E106" t="str">
        <f>Etiquettes!$C$3</f>
        <v>kt</v>
      </c>
      <c r="F106" s="21" t="str">
        <f>Etiquettes!$R$6</f>
        <v>Olive</v>
      </c>
      <c r="G106" s="21" t="str">
        <f>Etiquettes!$H$5</f>
        <v>2015-16</v>
      </c>
      <c r="H106" t="str">
        <f>Etiquettes!$C$4</f>
        <v>France entière</v>
      </c>
      <c r="I106" t="s">
        <v>1148</v>
      </c>
      <c r="K106" t="s">
        <v>1049</v>
      </c>
      <c r="L106" s="101" t="s">
        <v>1489</v>
      </c>
      <c r="M106" s="21" t="str">
        <f>Etiquettes!$H$11</f>
        <v>Volume</v>
      </c>
      <c r="N106" s="21" t="str">
        <f t="shared" si="3"/>
        <v>Importation d'olives = 2 kt (Douanes françaises - Eurostat)</v>
      </c>
      <c r="O106" t="str">
        <f>Etiquettes!$I$15</f>
        <v>Robuste</v>
      </c>
      <c r="P106" s="976" t="s">
        <v>1468</v>
      </c>
      <c r="Q106" s="976" t="str">
        <f>Etiquettes!$H$17</f>
        <v>Donnée collectée (valeur du flux ou coefficient)</v>
      </c>
      <c r="S106" s="1027" t="s">
        <v>1152</v>
      </c>
    </row>
    <row r="107" spans="1:19">
      <c r="A107" t="s">
        <v>1128</v>
      </c>
      <c r="B107" t="str">
        <f>Secteurs!$B$46</f>
        <v>Exportations</v>
      </c>
      <c r="C107" s="911">
        <f>'Prétraitement échanges'!E4+'Prétraitement échanges'!E5+'Prétraitement échanges'!E8</f>
        <v>8.4952E-2</v>
      </c>
      <c r="D107" s="858"/>
      <c r="E107" t="str">
        <f>Etiquettes!$C$3</f>
        <v>kt</v>
      </c>
      <c r="F107" s="21" t="str">
        <f>Etiquettes!$R$6</f>
        <v>Olive</v>
      </c>
      <c r="G107" s="21" t="str">
        <f>Etiquettes!$H$5</f>
        <v>2015-16</v>
      </c>
      <c r="H107" t="str">
        <f>Etiquettes!$C$4</f>
        <v>France entière</v>
      </c>
      <c r="I107" t="s">
        <v>1149</v>
      </c>
      <c r="K107" t="s">
        <v>1049</v>
      </c>
      <c r="L107" s="101" t="s">
        <v>1489</v>
      </c>
      <c r="M107" s="21" t="str">
        <f>Etiquettes!$H$11</f>
        <v>Volume</v>
      </c>
      <c r="N107" s="21" t="str">
        <f t="shared" si="3"/>
        <v>Exportation d'olives = 0 kt (Douanes françaises - Eurostat)</v>
      </c>
      <c r="O107" t="str">
        <f>Etiquettes!$I$15</f>
        <v>Robuste</v>
      </c>
      <c r="P107" s="976" t="s">
        <v>1468</v>
      </c>
      <c r="Q107" s="976" t="str">
        <f>Etiquettes!$H$17</f>
        <v>Donnée collectée (valeur du flux ou coefficient)</v>
      </c>
      <c r="S107" s="1027"/>
    </row>
    <row r="108" spans="1:19">
      <c r="A108" t="str">
        <f>Secteurs!$B$45</f>
        <v>Importations</v>
      </c>
      <c r="B108" t="s">
        <v>1128</v>
      </c>
      <c r="C108" s="911">
        <f>'Prétraitement échanges'!F4+'Prétraitement échanges'!F5+'Prétraitement échanges'!F8</f>
        <v>1.5817479999999999</v>
      </c>
      <c r="D108" s="100"/>
      <c r="E108" t="str">
        <f>Etiquettes!$C$3</f>
        <v>kt</v>
      </c>
      <c r="F108" s="21" t="str">
        <f>Etiquettes!$R$6</f>
        <v>Olive</v>
      </c>
      <c r="G108" s="21" t="str">
        <f>Etiquettes!$I$5</f>
        <v>2019-20</v>
      </c>
      <c r="H108" t="str">
        <f>Etiquettes!$C$4</f>
        <v>France entière</v>
      </c>
      <c r="I108" t="s">
        <v>1148</v>
      </c>
      <c r="K108" t="s">
        <v>1049</v>
      </c>
      <c r="L108" s="101" t="s">
        <v>1489</v>
      </c>
      <c r="M108" s="21" t="str">
        <f>Etiquettes!$H$11</f>
        <v>Volume</v>
      </c>
      <c r="N108" s="21" t="str">
        <f t="shared" si="3"/>
        <v>Importation d'olives = 2 kt (Douanes françaises - Eurostat)</v>
      </c>
      <c r="O108" t="str">
        <f>Etiquettes!$I$15</f>
        <v>Robuste</v>
      </c>
      <c r="P108" s="976" t="s">
        <v>1468</v>
      </c>
      <c r="Q108" s="976" t="str">
        <f>Etiquettes!$H$17</f>
        <v>Donnée collectée (valeur du flux ou coefficient)</v>
      </c>
      <c r="S108" s="1027"/>
    </row>
    <row r="109" spans="1:19">
      <c r="A109" t="s">
        <v>1128</v>
      </c>
      <c r="B109" t="str">
        <f>Secteurs!$B$46</f>
        <v>Exportations</v>
      </c>
      <c r="C109" s="911">
        <f>'Prétraitement échanges'!G4+'Prétraitement échanges'!G5+'Prétraitement échanges'!G8</f>
        <v>0.12127599999999999</v>
      </c>
      <c r="D109" s="858"/>
      <c r="E109" t="str">
        <f>Etiquettes!$C$3</f>
        <v>kt</v>
      </c>
      <c r="F109" s="21" t="str">
        <f>Etiquettes!$R$6</f>
        <v>Olive</v>
      </c>
      <c r="G109" s="21" t="str">
        <f>Etiquettes!$I$5</f>
        <v>2019-20</v>
      </c>
      <c r="H109" t="str">
        <f>Etiquettes!$C$4</f>
        <v>France entière</v>
      </c>
      <c r="I109" t="s">
        <v>1149</v>
      </c>
      <c r="K109" t="s">
        <v>1049</v>
      </c>
      <c r="L109" s="101" t="s">
        <v>1489</v>
      </c>
      <c r="M109" s="21" t="str">
        <f>Etiquettes!$H$11</f>
        <v>Volume</v>
      </c>
      <c r="N109" s="21" t="str">
        <f t="shared" si="3"/>
        <v>Exportation d'olives = 0 kt (Douanes françaises - Eurostat)</v>
      </c>
      <c r="O109" t="str">
        <f>Etiquettes!$I$15</f>
        <v>Robuste</v>
      </c>
      <c r="P109" s="976" t="s">
        <v>1468</v>
      </c>
      <c r="Q109" s="976" t="str">
        <f>Etiquettes!$H$17</f>
        <v>Donnée collectée (valeur du flux ou coefficient)</v>
      </c>
      <c r="S109" s="1027"/>
    </row>
    <row r="110" spans="1:19">
      <c r="A110" t="str">
        <f>Secteurs!$B$45</f>
        <v>Importations</v>
      </c>
      <c r="B110" t="s">
        <v>1128</v>
      </c>
      <c r="C110" s="911">
        <f>'Prétraitement échanges'!H4+'Prétraitement échanges'!H5+'Prétraitement échanges'!H8</f>
        <v>1.58138</v>
      </c>
      <c r="D110" s="100"/>
      <c r="E110" t="str">
        <f>Etiquettes!$C$3</f>
        <v>kt</v>
      </c>
      <c r="F110" s="21" t="str">
        <f>Etiquettes!$R$6</f>
        <v>Olive</v>
      </c>
      <c r="G110" s="21" t="str">
        <f>Etiquettes!$J$5</f>
        <v>2023-24</v>
      </c>
      <c r="H110" t="str">
        <f>Etiquettes!$C$4</f>
        <v>France entière</v>
      </c>
      <c r="I110" t="s">
        <v>1148</v>
      </c>
      <c r="K110" t="s">
        <v>1049</v>
      </c>
      <c r="L110" s="101" t="s">
        <v>1489</v>
      </c>
      <c r="M110" s="21" t="str">
        <f>Etiquettes!$H$11</f>
        <v>Volume</v>
      </c>
      <c r="N110" s="21" t="str">
        <f t="shared" si="3"/>
        <v>Importation d'olives = 2 kt (Douanes françaises - Eurostat)</v>
      </c>
      <c r="O110" t="str">
        <f>Etiquettes!$I$15</f>
        <v>Robuste</v>
      </c>
      <c r="P110" s="976" t="s">
        <v>1468</v>
      </c>
      <c r="Q110" s="976" t="str">
        <f>Etiquettes!$H$17</f>
        <v>Donnée collectée (valeur du flux ou coefficient)</v>
      </c>
      <c r="S110" s="1027"/>
    </row>
    <row r="111" spans="1:19">
      <c r="A111" t="s">
        <v>1128</v>
      </c>
      <c r="B111" t="str">
        <f>Secteurs!$B$46</f>
        <v>Exportations</v>
      </c>
      <c r="C111" s="911">
        <f>'Prétraitement échanges'!I4+'Prétraitement échanges'!I5+'Prétraitement échanges'!I8</f>
        <v>0.21924900000000003</v>
      </c>
      <c r="D111" s="858"/>
      <c r="E111" t="str">
        <f>Etiquettes!$C$3</f>
        <v>kt</v>
      </c>
      <c r="F111" s="21" t="str">
        <f>Etiquettes!$R$6</f>
        <v>Olive</v>
      </c>
      <c r="G111" s="21" t="str">
        <f>Etiquettes!$J$5</f>
        <v>2023-24</v>
      </c>
      <c r="H111" t="str">
        <f>Etiquettes!$C$4</f>
        <v>France entière</v>
      </c>
      <c r="I111" t="s">
        <v>1149</v>
      </c>
      <c r="K111" t="s">
        <v>1049</v>
      </c>
      <c r="L111" s="101" t="s">
        <v>1489</v>
      </c>
      <c r="M111" s="21" t="str">
        <f>Etiquettes!$H$11</f>
        <v>Volume</v>
      </c>
      <c r="N111" s="21" t="str">
        <f t="shared" si="3"/>
        <v>Exportation d'olives = 0 kt (Douanes françaises - Eurostat)</v>
      </c>
      <c r="O111" t="str">
        <f>Etiquettes!$I$15</f>
        <v>Robuste</v>
      </c>
      <c r="P111" s="976" t="s">
        <v>1468</v>
      </c>
      <c r="Q111" s="976" t="str">
        <f>Etiquettes!$H$17</f>
        <v>Donnée collectée (valeur du flux ou coefficient)</v>
      </c>
      <c r="S111" s="1027"/>
    </row>
    <row r="112" spans="1:19">
      <c r="A112" t="str">
        <f>Secteurs!$B$45</f>
        <v>Importations</v>
      </c>
      <c r="B112" t="s">
        <v>1126</v>
      </c>
      <c r="C112" s="911">
        <f>'Prétraitement échanges'!D41+'Prétraitement échanges'!D42+'Prétraitement échanges'!D43+'Prétraitement échanges'!D44+'Prétraitement échanges'!D45+'Prétraitement échanges'!D46+'Prétraitement échanges'!D47+'Prétraitement échanges'!D48+'Prétraitement échanges'!D49+'Prétraitement échanges'!D50+'Prétraitement échanges'!D51+'Prétraitement échanges'!D52</f>
        <v>118.25049699999998</v>
      </c>
      <c r="D112" s="100"/>
      <c r="E112" t="str">
        <f>Etiquettes!$C$3</f>
        <v>kt</v>
      </c>
      <c r="F112" s="21" t="str">
        <f>Etiquettes!$R$6</f>
        <v>Olive</v>
      </c>
      <c r="G112" s="21" t="str">
        <f>Etiquettes!$H$5</f>
        <v>2015-16</v>
      </c>
      <c r="H112" t="str">
        <f>Etiquettes!$C$4</f>
        <v>France entière</v>
      </c>
      <c r="I112" t="s">
        <v>1150</v>
      </c>
      <c r="K112" t="s">
        <v>1049</v>
      </c>
      <c r="L112" s="101" t="s">
        <v>1490</v>
      </c>
      <c r="M112" s="21" t="str">
        <f>Etiquettes!$H$11</f>
        <v>Volume</v>
      </c>
      <c r="N112" s="21" t="str">
        <f>_xlfn.CONCAT(I112,IF(ISBLANK(C112),"",_xlfn.CONCAT(" = ",MROUND(C112,1)," ",E112))," (",K112,")")</f>
        <v>Importation d'huile d'olive = 118 kt (Douanes françaises - Eurostat)</v>
      </c>
      <c r="O112" t="str">
        <f>Etiquettes!$I$15</f>
        <v>Robuste</v>
      </c>
      <c r="P112" s="976" t="s">
        <v>1468</v>
      </c>
      <c r="Q112" s="976" t="str">
        <f>Etiquettes!$H$17</f>
        <v>Donnée collectée (valeur du flux ou coefficient)</v>
      </c>
      <c r="S112" s="1027"/>
    </row>
    <row r="113" spans="1:19">
      <c r="A113" t="s">
        <v>1126</v>
      </c>
      <c r="B113" t="str">
        <f>Secteurs!$B$46</f>
        <v>Exportations</v>
      </c>
      <c r="C113" s="911">
        <f>'Prétraitement échanges'!E41+'Prétraitement échanges'!E42+'Prétraitement échanges'!E43+'Prétraitement échanges'!E44+'Prétraitement échanges'!E45+'Prétraitement échanges'!E46+'Prétraitement échanges'!E47+'Prétraitement échanges'!E48+'Prétraitement échanges'!E49+'Prétraitement échanges'!E50+'Prétraitement échanges'!E51+'Prétraitement échanges'!E52</f>
        <v>9.8641210000000026</v>
      </c>
      <c r="D113" s="858"/>
      <c r="E113" t="str">
        <f>Etiquettes!$C$3</f>
        <v>kt</v>
      </c>
      <c r="F113" s="21" t="str">
        <f>Etiquettes!$R$6</f>
        <v>Olive</v>
      </c>
      <c r="G113" s="21" t="str">
        <f>Etiquettes!$H$5</f>
        <v>2015-16</v>
      </c>
      <c r="H113" t="str">
        <f>Etiquettes!$C$4</f>
        <v>France entière</v>
      </c>
      <c r="I113" t="s">
        <v>1151</v>
      </c>
      <c r="K113" t="s">
        <v>1049</v>
      </c>
      <c r="L113" s="101" t="s">
        <v>1490</v>
      </c>
      <c r="M113" s="21" t="str">
        <f>Etiquettes!$H$11</f>
        <v>Volume</v>
      </c>
      <c r="N113" s="21" t="str">
        <f t="shared" ref="N113:N117" si="4">_xlfn.CONCAT(I113,IF(ISBLANK(C113),"",_xlfn.CONCAT(" = ",MROUND(C113,1)," ",E113))," (",K113,")")</f>
        <v>Exportation d'huile d'olive = 10 kt (Douanes françaises - Eurostat)</v>
      </c>
      <c r="O113" t="str">
        <f>Etiquettes!$I$15</f>
        <v>Robuste</v>
      </c>
      <c r="P113" s="976" t="s">
        <v>1468</v>
      </c>
      <c r="Q113" s="976" t="str">
        <f>Etiquettes!$H$17</f>
        <v>Donnée collectée (valeur du flux ou coefficient)</v>
      </c>
      <c r="S113" s="1027"/>
    </row>
    <row r="114" spans="1:19">
      <c r="A114" t="str">
        <f>Secteurs!$B$45</f>
        <v>Importations</v>
      </c>
      <c r="B114" t="s">
        <v>1126</v>
      </c>
      <c r="C114" s="911">
        <f>'Prétraitement échanges'!F41+'Prétraitement échanges'!F42+'Prétraitement échanges'!F43+'Prétraitement échanges'!F44+'Prétraitement échanges'!F45+'Prétraitement échanges'!F46+'Prétraitement échanges'!F47+'Prétraitement échanges'!F48+'Prétraitement échanges'!F49+'Prétraitement échanges'!F50+'Prétraitement échanges'!F51+'Prétraitement échanges'!F52</f>
        <v>133.95079200000001</v>
      </c>
      <c r="D114" s="100"/>
      <c r="E114" t="str">
        <f>Etiquettes!$C$3</f>
        <v>kt</v>
      </c>
      <c r="F114" s="21" t="str">
        <f>Etiquettes!$R$6</f>
        <v>Olive</v>
      </c>
      <c r="G114" s="21" t="str">
        <f>Etiquettes!$I$5</f>
        <v>2019-20</v>
      </c>
      <c r="H114" t="str">
        <f>Etiquettes!$C$4</f>
        <v>France entière</v>
      </c>
      <c r="I114" t="s">
        <v>1150</v>
      </c>
      <c r="K114" t="s">
        <v>1049</v>
      </c>
      <c r="L114" s="101" t="s">
        <v>1490</v>
      </c>
      <c r="M114" s="21" t="str">
        <f>Etiquettes!$H$11</f>
        <v>Volume</v>
      </c>
      <c r="N114" s="21" t="str">
        <f t="shared" si="4"/>
        <v>Importation d'huile d'olive = 134 kt (Douanes françaises - Eurostat)</v>
      </c>
      <c r="O114" t="str">
        <f>Etiquettes!$I$15</f>
        <v>Robuste</v>
      </c>
      <c r="P114" s="976" t="s">
        <v>1468</v>
      </c>
      <c r="Q114" s="976" t="str">
        <f>Etiquettes!$H$17</f>
        <v>Donnée collectée (valeur du flux ou coefficient)</v>
      </c>
      <c r="S114" s="1027"/>
    </row>
    <row r="115" spans="1:19">
      <c r="A115" t="s">
        <v>1126</v>
      </c>
      <c r="B115" t="str">
        <f>Secteurs!$B$46</f>
        <v>Exportations</v>
      </c>
      <c r="C115" s="911">
        <f>'Prétraitement échanges'!G41+'Prétraitement échanges'!G42+'Prétraitement échanges'!G43+'Prétraitement échanges'!G44+'Prétraitement échanges'!G45+'Prétraitement échanges'!G46+'Prétraitement échanges'!G47+'Prétraitement échanges'!G48+'Prétraitement échanges'!G49+'Prétraitement échanges'!G50+'Prétraitement échanges'!G51+'Prétraitement échanges'!G52</f>
        <v>9.516960000000001</v>
      </c>
      <c r="D115" s="858"/>
      <c r="E115" t="str">
        <f>Etiquettes!$C$3</f>
        <v>kt</v>
      </c>
      <c r="F115" s="21" t="str">
        <f>Etiquettes!$R$6</f>
        <v>Olive</v>
      </c>
      <c r="G115" s="21" t="str">
        <f>Etiquettes!$I$5</f>
        <v>2019-20</v>
      </c>
      <c r="H115" t="str">
        <f>Etiquettes!$C$4</f>
        <v>France entière</v>
      </c>
      <c r="I115" t="s">
        <v>1151</v>
      </c>
      <c r="K115" t="s">
        <v>1049</v>
      </c>
      <c r="L115" s="101" t="s">
        <v>1490</v>
      </c>
      <c r="M115" s="21" t="str">
        <f>Etiquettes!$H$11</f>
        <v>Volume</v>
      </c>
      <c r="N115" s="21" t="str">
        <f t="shared" si="4"/>
        <v>Exportation d'huile d'olive = 10 kt (Douanes françaises - Eurostat)</v>
      </c>
      <c r="O115" t="str">
        <f>Etiquettes!$I$15</f>
        <v>Robuste</v>
      </c>
      <c r="P115" s="976" t="s">
        <v>1468</v>
      </c>
      <c r="Q115" s="976" t="str">
        <f>Etiquettes!$H$17</f>
        <v>Donnée collectée (valeur du flux ou coefficient)</v>
      </c>
      <c r="S115" s="1027"/>
    </row>
    <row r="116" spans="1:19">
      <c r="A116" t="str">
        <f>Secteurs!$B$45</f>
        <v>Importations</v>
      </c>
      <c r="B116" t="s">
        <v>1126</v>
      </c>
      <c r="C116" s="911">
        <f>'Prétraitement échanges'!H41+'Prétraitement échanges'!H42+'Prétraitement échanges'!H43+'Prétraitement échanges'!H44+'Prétraitement échanges'!H45+'Prétraitement échanges'!H46+'Prétraitement échanges'!H47+'Prétraitement échanges'!H48+'Prétraitement échanges'!H49+'Prétraitement échanges'!H50+'Prétraitement échanges'!H51+'Prétraitement échanges'!H52</f>
        <v>119.13237099999998</v>
      </c>
      <c r="D116" s="100"/>
      <c r="E116" t="str">
        <f>Etiquettes!$C$3</f>
        <v>kt</v>
      </c>
      <c r="F116" s="21" t="str">
        <f>Etiquettes!$R$6</f>
        <v>Olive</v>
      </c>
      <c r="G116" s="21" t="str">
        <f>Etiquettes!$J$5</f>
        <v>2023-24</v>
      </c>
      <c r="H116" t="str">
        <f>Etiquettes!$C$4</f>
        <v>France entière</v>
      </c>
      <c r="I116" t="s">
        <v>1150</v>
      </c>
      <c r="K116" t="s">
        <v>1049</v>
      </c>
      <c r="L116" s="101" t="s">
        <v>1490</v>
      </c>
      <c r="M116" s="21" t="str">
        <f>Etiquettes!$H$11</f>
        <v>Volume</v>
      </c>
      <c r="N116" s="21" t="str">
        <f t="shared" si="4"/>
        <v>Importation d'huile d'olive = 119 kt (Douanes françaises - Eurostat)</v>
      </c>
      <c r="O116" t="str">
        <f>Etiquettes!$I$15</f>
        <v>Robuste</v>
      </c>
      <c r="P116" s="976" t="s">
        <v>1468</v>
      </c>
      <c r="Q116" s="976" t="str">
        <f>Etiquettes!$H$17</f>
        <v>Donnée collectée (valeur du flux ou coefficient)</v>
      </c>
      <c r="S116" s="1027"/>
    </row>
    <row r="117" spans="1:19">
      <c r="A117" t="s">
        <v>1126</v>
      </c>
      <c r="B117" t="str">
        <f>Secteurs!$B$46</f>
        <v>Exportations</v>
      </c>
      <c r="C117" s="911">
        <f>'Prétraitement échanges'!I41+'Prétraitement échanges'!I42+'Prétraitement échanges'!I43+'Prétraitement échanges'!I44+'Prétraitement échanges'!I45+'Prétraitement échanges'!I46+'Prétraitement échanges'!I47+'Prétraitement échanges'!I48+'Prétraitement échanges'!I49+'Prétraitement échanges'!I50+'Prétraitement échanges'!I51+'Prétraitement échanges'!I52</f>
        <v>15.315213999999999</v>
      </c>
      <c r="D117" s="858"/>
      <c r="E117" t="str">
        <f>Etiquettes!$C$3</f>
        <v>kt</v>
      </c>
      <c r="F117" s="21" t="str">
        <f>Etiquettes!$R$6</f>
        <v>Olive</v>
      </c>
      <c r="G117" s="21" t="str">
        <f>Etiquettes!$J$5</f>
        <v>2023-24</v>
      </c>
      <c r="H117" t="str">
        <f>Etiquettes!$C$4</f>
        <v>France entière</v>
      </c>
      <c r="I117" t="s">
        <v>1151</v>
      </c>
      <c r="K117" t="s">
        <v>1049</v>
      </c>
      <c r="L117" s="101" t="s">
        <v>1490</v>
      </c>
      <c r="M117" s="21" t="str">
        <f>Etiquettes!$H$11</f>
        <v>Volume</v>
      </c>
      <c r="N117" s="21" t="str">
        <f t="shared" si="4"/>
        <v>Exportation d'huile d'olive = 15 kt (Douanes françaises - Eurostat)</v>
      </c>
      <c r="O117" t="str">
        <f>Etiquettes!$I$15</f>
        <v>Robuste</v>
      </c>
      <c r="P117" s="976" t="s">
        <v>1468</v>
      </c>
      <c r="Q117" s="976" t="str">
        <f>Etiquettes!$H$17</f>
        <v>Donnée collectée (valeur du flux ou coefficient)</v>
      </c>
      <c r="S117" s="1027"/>
    </row>
    <row r="118" spans="1:19">
      <c r="A118" t="str">
        <f>Secteurs!$B$45</f>
        <v>Importations</v>
      </c>
      <c r="B118" t="str">
        <f>Produits!$B$17</f>
        <v>Grignons d'olive</v>
      </c>
      <c r="C118" s="911">
        <f>'Prétraitement échanges'!D138+'Prétraitement échanges'!D139</f>
        <v>9.2380320000000005</v>
      </c>
      <c r="D118" s="100"/>
      <c r="E118" t="str">
        <f>Etiquettes!$C$3</f>
        <v>kt</v>
      </c>
      <c r="F118" s="21" t="str">
        <f>Etiquettes!$R$6</f>
        <v>Olive</v>
      </c>
      <c r="G118" s="21" t="str">
        <f>Etiquettes!$H$5</f>
        <v>2015-16</v>
      </c>
      <c r="H118" t="str">
        <f>Etiquettes!$C$4</f>
        <v>France entière</v>
      </c>
      <c r="I118" t="s">
        <v>1155</v>
      </c>
      <c r="K118" t="s">
        <v>1049</v>
      </c>
      <c r="L118" s="101" t="s">
        <v>1489</v>
      </c>
      <c r="M118" s="21" t="str">
        <f>Etiquettes!$H$11</f>
        <v>Volume</v>
      </c>
      <c r="N118" s="21" t="str">
        <f t="shared" si="3"/>
        <v>Importation de grignons d'olive = 9 kt (Douanes françaises - Eurostat)</v>
      </c>
      <c r="O118" t="str">
        <f>Etiquettes!$I$15</f>
        <v>Robuste</v>
      </c>
      <c r="P118" s="976" t="s">
        <v>1468</v>
      </c>
      <c r="Q118" s="976" t="str">
        <f>Etiquettes!$H$17</f>
        <v>Donnée collectée (valeur du flux ou coefficient)</v>
      </c>
      <c r="S118" s="1027"/>
    </row>
    <row r="119" spans="1:19">
      <c r="A119" t="str">
        <f>Produits!$B$17</f>
        <v>Grignons d'olive</v>
      </c>
      <c r="B119" t="str">
        <f>Secteurs!$B$46</f>
        <v>Exportations</v>
      </c>
      <c r="C119" s="911">
        <f>'Prétraitement échanges'!E138+'Prétraitement échanges'!E139</f>
        <v>0.09</v>
      </c>
      <c r="D119" s="858"/>
      <c r="E119" t="str">
        <f>Etiquettes!$C$3</f>
        <v>kt</v>
      </c>
      <c r="F119" s="21" t="str">
        <f>Etiquettes!$R$6</f>
        <v>Olive</v>
      </c>
      <c r="G119" s="21" t="str">
        <f>Etiquettes!$H$5</f>
        <v>2015-16</v>
      </c>
      <c r="H119" t="str">
        <f>Etiquettes!$C$4</f>
        <v>France entière</v>
      </c>
      <c r="I119" t="s">
        <v>1156</v>
      </c>
      <c r="K119" t="s">
        <v>1049</v>
      </c>
      <c r="L119" s="101" t="s">
        <v>1489</v>
      </c>
      <c r="M119" s="21" t="str">
        <f>Etiquettes!$H$11</f>
        <v>Volume</v>
      </c>
      <c r="N119" s="21" t="str">
        <f t="shared" si="3"/>
        <v>Exportation de grignons d'olive = 0 kt (Douanes françaises - Eurostat)</v>
      </c>
      <c r="O119" t="str">
        <f>Etiquettes!$I$15</f>
        <v>Robuste</v>
      </c>
      <c r="P119" s="976" t="s">
        <v>1468</v>
      </c>
      <c r="Q119" s="976" t="str">
        <f>Etiquettes!$H$17</f>
        <v>Donnée collectée (valeur du flux ou coefficient)</v>
      </c>
      <c r="S119" s="1027"/>
    </row>
    <row r="120" spans="1:19">
      <c r="A120" t="str">
        <f>Secteurs!$B$45</f>
        <v>Importations</v>
      </c>
      <c r="B120" t="str">
        <f>Produits!$B$17</f>
        <v>Grignons d'olive</v>
      </c>
      <c r="C120" s="911">
        <f>'Prétraitement échanges'!F138+'Prétraitement échanges'!F139</f>
        <v>24.597903000000002</v>
      </c>
      <c r="D120" s="100"/>
      <c r="E120" t="str">
        <f>Etiquettes!$C$3</f>
        <v>kt</v>
      </c>
      <c r="F120" s="21" t="str">
        <f>Etiquettes!$R$6</f>
        <v>Olive</v>
      </c>
      <c r="G120" s="21" t="str">
        <f>Etiquettes!$I$5</f>
        <v>2019-20</v>
      </c>
      <c r="H120" t="str">
        <f>Etiquettes!$C$4</f>
        <v>France entière</v>
      </c>
      <c r="I120" t="s">
        <v>1155</v>
      </c>
      <c r="K120" t="s">
        <v>1049</v>
      </c>
      <c r="L120" s="101" t="s">
        <v>1489</v>
      </c>
      <c r="M120" s="21" t="str">
        <f>Etiquettes!$H$11</f>
        <v>Volume</v>
      </c>
      <c r="N120" s="21" t="str">
        <f t="shared" si="3"/>
        <v>Importation de grignons d'olive = 25 kt (Douanes françaises - Eurostat)</v>
      </c>
      <c r="O120" t="str">
        <f>Etiquettes!$I$15</f>
        <v>Robuste</v>
      </c>
      <c r="P120" s="976" t="s">
        <v>1468</v>
      </c>
      <c r="Q120" s="976" t="str">
        <f>Etiquettes!$H$17</f>
        <v>Donnée collectée (valeur du flux ou coefficient)</v>
      </c>
      <c r="S120" s="1027"/>
    </row>
    <row r="121" spans="1:19">
      <c r="A121" t="str">
        <f>Produits!$B$17</f>
        <v>Grignons d'olive</v>
      </c>
      <c r="B121" t="str">
        <f>Secteurs!$B$46</f>
        <v>Exportations</v>
      </c>
      <c r="C121" s="911">
        <f>'Prétraitement échanges'!G138+'Prétraitement échanges'!G139</f>
        <v>0.76470700000000003</v>
      </c>
      <c r="D121" s="858"/>
      <c r="E121" t="str">
        <f>Etiquettes!$C$3</f>
        <v>kt</v>
      </c>
      <c r="F121" s="21" t="str">
        <f>Etiquettes!$R$6</f>
        <v>Olive</v>
      </c>
      <c r="G121" s="21" t="str">
        <f>Etiquettes!$I$5</f>
        <v>2019-20</v>
      </c>
      <c r="H121" t="str">
        <f>Etiquettes!$C$4</f>
        <v>France entière</v>
      </c>
      <c r="I121" t="s">
        <v>1156</v>
      </c>
      <c r="K121" t="s">
        <v>1049</v>
      </c>
      <c r="L121" s="101" t="s">
        <v>1489</v>
      </c>
      <c r="M121" s="21" t="str">
        <f>Etiquettes!$H$11</f>
        <v>Volume</v>
      </c>
      <c r="N121" s="21" t="str">
        <f t="shared" si="3"/>
        <v>Exportation de grignons d'olive = 1 kt (Douanes françaises - Eurostat)</v>
      </c>
      <c r="O121" t="str">
        <f>Etiquettes!$I$15</f>
        <v>Robuste</v>
      </c>
      <c r="P121" s="976" t="s">
        <v>1468</v>
      </c>
      <c r="Q121" s="976" t="str">
        <f>Etiquettes!$H$17</f>
        <v>Donnée collectée (valeur du flux ou coefficient)</v>
      </c>
      <c r="S121" s="1027"/>
    </row>
    <row r="122" spans="1:19">
      <c r="A122" t="str">
        <f>Secteurs!$B$45</f>
        <v>Importations</v>
      </c>
      <c r="B122" t="str">
        <f>Produits!$B$17</f>
        <v>Grignons d'olive</v>
      </c>
      <c r="C122" s="911">
        <f>'Prétraitement échanges'!H138+'Prétraitement échanges'!H139</f>
        <v>11.932343999999999</v>
      </c>
      <c r="D122" s="100"/>
      <c r="E122" t="str">
        <f>Etiquettes!$C$3</f>
        <v>kt</v>
      </c>
      <c r="F122" s="21" t="str">
        <f>Etiquettes!$R$6</f>
        <v>Olive</v>
      </c>
      <c r="G122" s="21" t="str">
        <f>Etiquettes!$J$5</f>
        <v>2023-24</v>
      </c>
      <c r="H122" t="str">
        <f>Etiquettes!$C$4</f>
        <v>France entière</v>
      </c>
      <c r="I122" t="s">
        <v>1155</v>
      </c>
      <c r="K122" t="s">
        <v>1049</v>
      </c>
      <c r="L122" s="101" t="s">
        <v>1489</v>
      </c>
      <c r="M122" s="21" t="str">
        <f>Etiquettes!$H$11</f>
        <v>Volume</v>
      </c>
      <c r="N122" s="21" t="str">
        <f t="shared" si="3"/>
        <v>Importation de grignons d'olive = 12 kt (Douanes françaises - Eurostat)</v>
      </c>
      <c r="O122" t="str">
        <f>Etiquettes!$I$15</f>
        <v>Robuste</v>
      </c>
      <c r="P122" s="976" t="s">
        <v>1468</v>
      </c>
      <c r="Q122" s="976" t="str">
        <f>Etiquettes!$H$17</f>
        <v>Donnée collectée (valeur du flux ou coefficient)</v>
      </c>
      <c r="S122" s="1027"/>
    </row>
    <row r="123" spans="1:19">
      <c r="A123" t="str">
        <f>Produits!$B$17</f>
        <v>Grignons d'olive</v>
      </c>
      <c r="B123" t="str">
        <f>Secteurs!$B$46</f>
        <v>Exportations</v>
      </c>
      <c r="C123" s="911">
        <f>'Prétraitement échanges'!I138+'Prétraitement échanges'!I139</f>
        <v>2.3001000000000001E-2</v>
      </c>
      <c r="D123" s="858"/>
      <c r="E123" t="str">
        <f>Etiquettes!$C$3</f>
        <v>kt</v>
      </c>
      <c r="F123" s="21" t="str">
        <f>Etiquettes!$R$6</f>
        <v>Olive</v>
      </c>
      <c r="G123" s="21" t="str">
        <f>Etiquettes!$J$5</f>
        <v>2023-24</v>
      </c>
      <c r="H123" t="str">
        <f>Etiquettes!$C$4</f>
        <v>France entière</v>
      </c>
      <c r="I123" t="s">
        <v>1156</v>
      </c>
      <c r="K123" t="s">
        <v>1049</v>
      </c>
      <c r="L123" s="101" t="s">
        <v>1489</v>
      </c>
      <c r="M123" s="21" t="str">
        <f>Etiquettes!$H$11</f>
        <v>Volume</v>
      </c>
      <c r="N123" s="21" t="str">
        <f t="shared" si="3"/>
        <v>Exportation de grignons d'olive = 0 kt (Douanes françaises - Eurostat)</v>
      </c>
      <c r="O123" t="str">
        <f>Etiquettes!$I$15</f>
        <v>Robuste</v>
      </c>
      <c r="P123" s="976" t="s">
        <v>1468</v>
      </c>
      <c r="Q123" s="976" t="str">
        <f>Etiquettes!$H$17</f>
        <v>Donnée collectée (valeur du flux ou coefficient)</v>
      </c>
      <c r="S123" s="1027"/>
    </row>
    <row r="124" spans="1:19">
      <c r="A124" t="str">
        <f>Secteurs!$B$45</f>
        <v>Importations</v>
      </c>
      <c r="B124" t="s">
        <v>1110</v>
      </c>
      <c r="C124" s="911">
        <f>'Prétraitement échanges'!D6+'Prétraitement échanges'!D7+'Prétraitement échanges'!D121+'Prétraitement échanges'!D125</f>
        <v>86.8309</v>
      </c>
      <c r="D124" s="100"/>
      <c r="E124" t="str">
        <f>Etiquettes!$C$3</f>
        <v>kt</v>
      </c>
      <c r="F124" s="21" t="str">
        <f>Etiquettes!$R$6</f>
        <v>Olive</v>
      </c>
      <c r="G124" s="21" t="str">
        <f>Etiquettes!$H$5</f>
        <v>2015-16</v>
      </c>
      <c r="H124" t="str">
        <f>Etiquettes!$C$4</f>
        <v>France entière</v>
      </c>
      <c r="I124" t="s">
        <v>1153</v>
      </c>
      <c r="K124" t="s">
        <v>1049</v>
      </c>
      <c r="L124" s="101" t="s">
        <v>1490</v>
      </c>
      <c r="M124" s="21" t="str">
        <f>Etiquettes!$H$11</f>
        <v>Volume</v>
      </c>
      <c r="N124" s="21" t="str">
        <f>_xlfn.CONCAT(I124,IF(ISBLANK(C124),"",_xlfn.CONCAT(" = ",MROUND(C124,1)," ",E124))," (",K124,")")</f>
        <v>Importation d'olives de table = 87 kt (Douanes françaises - Eurostat)</v>
      </c>
      <c r="O124" t="str">
        <f>Etiquettes!$I$15</f>
        <v>Robuste</v>
      </c>
      <c r="P124" s="976" t="s">
        <v>1468</v>
      </c>
      <c r="Q124" s="976" t="str">
        <f>Etiquettes!$H$17</f>
        <v>Donnée collectée (valeur du flux ou coefficient)</v>
      </c>
      <c r="S124" s="1027"/>
    </row>
    <row r="125" spans="1:19">
      <c r="A125" t="s">
        <v>1110</v>
      </c>
      <c r="B125" t="str">
        <f>Secteurs!$B$46</f>
        <v>Exportations</v>
      </c>
      <c r="C125" s="911">
        <f>'Prétraitement échanges'!E6+'Prétraitement échanges'!E7+'Prétraitement échanges'!E121+'Prétraitement échanges'!E125</f>
        <v>4.0228190000000001</v>
      </c>
      <c r="D125" s="858"/>
      <c r="E125" t="str">
        <f>Etiquettes!$C$3</f>
        <v>kt</v>
      </c>
      <c r="F125" s="21" t="str">
        <f>Etiquettes!$R$6</f>
        <v>Olive</v>
      </c>
      <c r="G125" s="21" t="str">
        <f>Etiquettes!$H$5</f>
        <v>2015-16</v>
      </c>
      <c r="H125" t="str">
        <f>Etiquettes!$C$4</f>
        <v>France entière</v>
      </c>
      <c r="I125" t="s">
        <v>1154</v>
      </c>
      <c r="K125" t="s">
        <v>1049</v>
      </c>
      <c r="L125" s="101" t="s">
        <v>1490</v>
      </c>
      <c r="M125" s="21" t="str">
        <f>Etiquettes!$H$11</f>
        <v>Volume</v>
      </c>
      <c r="N125" s="21" t="str">
        <f t="shared" ref="N125:N129" si="5">_xlfn.CONCAT(I125,IF(ISBLANK(C125),"",_xlfn.CONCAT(" = ",MROUND(C125,1)," ",E125))," (",K125,")")</f>
        <v>Exportation d'olives de table = 4 kt (Douanes françaises - Eurostat)</v>
      </c>
      <c r="O125" t="str">
        <f>Etiquettes!$I$15</f>
        <v>Robuste</v>
      </c>
      <c r="P125" s="976" t="s">
        <v>1468</v>
      </c>
      <c r="Q125" s="976" t="str">
        <f>Etiquettes!$H$17</f>
        <v>Donnée collectée (valeur du flux ou coefficient)</v>
      </c>
      <c r="S125" s="1027"/>
    </row>
    <row r="126" spans="1:19">
      <c r="A126" t="str">
        <f>Secteurs!$B$45</f>
        <v>Importations</v>
      </c>
      <c r="B126" t="s">
        <v>1110</v>
      </c>
      <c r="C126" s="911">
        <f>'Prétraitement échanges'!F6+'Prétraitement échanges'!F7+'Prétraitement échanges'!F121+'Prétraitement échanges'!F125</f>
        <v>91.699174999999997</v>
      </c>
      <c r="D126" s="100"/>
      <c r="E126" t="str">
        <f>Etiquettes!$C$3</f>
        <v>kt</v>
      </c>
      <c r="F126" s="21" t="str">
        <f>Etiquettes!$R$6</f>
        <v>Olive</v>
      </c>
      <c r="G126" s="21" t="str">
        <f>Etiquettes!$I$5</f>
        <v>2019-20</v>
      </c>
      <c r="H126" t="str">
        <f>Etiquettes!$C$4</f>
        <v>France entière</v>
      </c>
      <c r="I126" t="s">
        <v>1153</v>
      </c>
      <c r="K126" t="s">
        <v>1049</v>
      </c>
      <c r="L126" s="101" t="s">
        <v>1490</v>
      </c>
      <c r="M126" s="21" t="str">
        <f>Etiquettes!$H$11</f>
        <v>Volume</v>
      </c>
      <c r="N126" s="21" t="str">
        <f t="shared" si="5"/>
        <v>Importation d'olives de table = 92 kt (Douanes françaises - Eurostat)</v>
      </c>
      <c r="O126" t="str">
        <f>Etiquettes!$I$15</f>
        <v>Robuste</v>
      </c>
      <c r="P126" s="976" t="s">
        <v>1468</v>
      </c>
      <c r="Q126" s="976" t="str">
        <f>Etiquettes!$H$17</f>
        <v>Donnée collectée (valeur du flux ou coefficient)</v>
      </c>
      <c r="S126" s="1027"/>
    </row>
    <row r="127" spans="1:19">
      <c r="A127" t="s">
        <v>1110</v>
      </c>
      <c r="B127" t="str">
        <f>Secteurs!$B$46</f>
        <v>Exportations</v>
      </c>
      <c r="C127" s="911">
        <f>'Prétraitement échanges'!G6+'Prétraitement échanges'!G7+'Prétraitement échanges'!G121+'Prétraitement échanges'!G125</f>
        <v>3.1974750000000003</v>
      </c>
      <c r="D127" s="858"/>
      <c r="E127" t="str">
        <f>Etiquettes!$C$3</f>
        <v>kt</v>
      </c>
      <c r="F127" s="21" t="str">
        <f>Etiquettes!$R$6</f>
        <v>Olive</v>
      </c>
      <c r="G127" s="21" t="str">
        <f>Etiquettes!$I$5</f>
        <v>2019-20</v>
      </c>
      <c r="H127" t="str">
        <f>Etiquettes!$C$4</f>
        <v>France entière</v>
      </c>
      <c r="I127" t="s">
        <v>1154</v>
      </c>
      <c r="K127" t="s">
        <v>1049</v>
      </c>
      <c r="L127" s="101" t="s">
        <v>1490</v>
      </c>
      <c r="M127" s="21" t="str">
        <f>Etiquettes!$H$11</f>
        <v>Volume</v>
      </c>
      <c r="N127" s="21" t="str">
        <f t="shared" si="5"/>
        <v>Exportation d'olives de table = 3 kt (Douanes françaises - Eurostat)</v>
      </c>
      <c r="O127" t="str">
        <f>Etiquettes!$I$15</f>
        <v>Robuste</v>
      </c>
      <c r="P127" s="976" t="s">
        <v>1468</v>
      </c>
      <c r="Q127" s="976" t="str">
        <f>Etiquettes!$H$17</f>
        <v>Donnée collectée (valeur du flux ou coefficient)</v>
      </c>
      <c r="S127" s="1027"/>
    </row>
    <row r="128" spans="1:19">
      <c r="A128" t="str">
        <f>Secteurs!$B$45</f>
        <v>Importations</v>
      </c>
      <c r="B128" t="s">
        <v>1110</v>
      </c>
      <c r="C128" s="911">
        <f>'Prétraitement échanges'!H6+'Prétraitement échanges'!H7+'Prétraitement échanges'!H121+'Prétraitement échanges'!H125</f>
        <v>88.885459999999995</v>
      </c>
      <c r="D128" s="100"/>
      <c r="E128" t="str">
        <f>Etiquettes!$C$3</f>
        <v>kt</v>
      </c>
      <c r="F128" s="21" t="str">
        <f>Etiquettes!$R$6</f>
        <v>Olive</v>
      </c>
      <c r="G128" s="21" t="str">
        <f>Etiquettes!$J$5</f>
        <v>2023-24</v>
      </c>
      <c r="H128" t="str">
        <f>Etiquettes!$C$4</f>
        <v>France entière</v>
      </c>
      <c r="I128" t="s">
        <v>1153</v>
      </c>
      <c r="K128" t="s">
        <v>1049</v>
      </c>
      <c r="L128" s="101" t="s">
        <v>1490</v>
      </c>
      <c r="M128" s="21" t="str">
        <f>Etiquettes!$H$11</f>
        <v>Volume</v>
      </c>
      <c r="N128" s="21" t="str">
        <f t="shared" si="5"/>
        <v>Importation d'olives de table = 89 kt (Douanes françaises - Eurostat)</v>
      </c>
      <c r="O128" t="str">
        <f>Etiquettes!$I$15</f>
        <v>Robuste</v>
      </c>
      <c r="P128" s="976" t="s">
        <v>1468</v>
      </c>
      <c r="Q128" s="976" t="str">
        <f>Etiquettes!$H$17</f>
        <v>Donnée collectée (valeur du flux ou coefficient)</v>
      </c>
      <c r="S128" s="1027"/>
    </row>
    <row r="129" spans="1:19">
      <c r="A129" t="s">
        <v>1110</v>
      </c>
      <c r="B129" t="str">
        <f>Secteurs!$B$46</f>
        <v>Exportations</v>
      </c>
      <c r="C129" s="911">
        <f>'Prétraitement échanges'!I6+'Prétraitement échanges'!I7+'Prétraitement échanges'!I121+'Prétraitement échanges'!I125</f>
        <v>3.4448900000000005</v>
      </c>
      <c r="D129" s="858"/>
      <c r="E129" t="str">
        <f>Etiquettes!$C$3</f>
        <v>kt</v>
      </c>
      <c r="F129" s="21" t="str">
        <f>Etiquettes!$R$6</f>
        <v>Olive</v>
      </c>
      <c r="G129" s="21" t="str">
        <f>Etiquettes!$J$5</f>
        <v>2023-24</v>
      </c>
      <c r="H129" t="str">
        <f>Etiquettes!$C$4</f>
        <v>France entière</v>
      </c>
      <c r="I129" t="s">
        <v>1154</v>
      </c>
      <c r="K129" t="s">
        <v>1049</v>
      </c>
      <c r="L129" s="101" t="s">
        <v>1490</v>
      </c>
      <c r="M129" s="21" t="str">
        <f>Etiquettes!$H$11</f>
        <v>Volume</v>
      </c>
      <c r="N129" s="21" t="str">
        <f t="shared" si="5"/>
        <v>Exportation d'olives de table = 3 kt (Douanes françaises - Eurostat)</v>
      </c>
      <c r="O129" t="str">
        <f>Etiquettes!$I$15</f>
        <v>Robuste</v>
      </c>
      <c r="P129" s="976" t="s">
        <v>1468</v>
      </c>
      <c r="Q129" s="976" t="str">
        <f>Etiquettes!$H$17</f>
        <v>Donnée collectée (valeur du flux ou coefficient)</v>
      </c>
      <c r="S129" s="1027"/>
    </row>
  </sheetData>
  <mergeCells count="4">
    <mergeCell ref="S82:S105"/>
    <mergeCell ref="S58:S81"/>
    <mergeCell ref="S2:S57"/>
    <mergeCell ref="S106:S12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6B437-660C-49EC-9E6B-499DDCD8EF64}">
  <sheetPr>
    <tabColor rgb="FFD7D200"/>
  </sheetPr>
  <dimension ref="A1:AMJ127"/>
  <sheetViews>
    <sheetView workbookViewId="0">
      <selection activeCell="C27" sqref="C27"/>
    </sheetView>
  </sheetViews>
  <sheetFormatPr baseColWidth="10" defaultColWidth="9.109375" defaultRowHeight="14.4"/>
  <cols>
    <col min="1" max="1" width="22.33203125" style="980" customWidth="1"/>
    <col min="2" max="2" width="16.5546875" style="980" customWidth="1"/>
    <col min="3" max="1024" width="9.109375" style="980"/>
    <col min="1025" max="16384" width="9.109375" style="982"/>
  </cols>
  <sheetData>
    <row r="1" spans="1:21" s="999" customFormat="1" ht="19.95" customHeight="1">
      <c r="A1" s="998" t="s">
        <v>1524</v>
      </c>
    </row>
    <row r="2" spans="1:21">
      <c r="B2" s="1000"/>
      <c r="C2" s="1000"/>
      <c r="D2" s="1000"/>
      <c r="E2" s="1000"/>
      <c r="F2" s="1000"/>
      <c r="G2" s="1000"/>
      <c r="H2" s="1000"/>
      <c r="N2" s="1001"/>
      <c r="P2" s="981"/>
      <c r="Q2" s="981"/>
      <c r="R2" s="981"/>
      <c r="S2" s="981"/>
      <c r="T2" s="981"/>
      <c r="U2" s="981"/>
    </row>
    <row r="3" spans="1:21" ht="14.85" customHeight="1">
      <c r="A3" s="1000" t="s">
        <v>1544</v>
      </c>
      <c r="N3" s="1001"/>
      <c r="P3" s="981"/>
      <c r="Q3" s="981"/>
      <c r="R3" s="981"/>
      <c r="S3" s="981"/>
      <c r="T3" s="981"/>
      <c r="U3" s="981"/>
    </row>
    <row r="4" spans="1:21" ht="13.95" customHeight="1">
      <c r="A4" s="1000" t="s">
        <v>1545</v>
      </c>
      <c r="P4" s="981"/>
      <c r="Q4" s="981"/>
      <c r="R4" s="981"/>
      <c r="S4" s="981"/>
      <c r="T4" s="981"/>
      <c r="U4" s="981"/>
    </row>
    <row r="5" spans="1:21" ht="13.95" customHeight="1">
      <c r="A5" s="1000"/>
      <c r="P5" s="981"/>
      <c r="Q5" s="981"/>
      <c r="R5" s="981"/>
      <c r="S5" s="981"/>
      <c r="T5" s="981"/>
      <c r="U5" s="981"/>
    </row>
    <row r="6" spans="1:21" ht="13.95" customHeight="1">
      <c r="A6" s="1002" t="s">
        <v>1546</v>
      </c>
      <c r="B6" s="1003"/>
      <c r="C6" s="1003"/>
      <c r="D6" s="1003"/>
      <c r="E6" s="1003"/>
      <c r="F6" s="1003"/>
      <c r="G6" s="1003"/>
      <c r="H6" s="1003"/>
      <c r="I6" s="1003"/>
      <c r="J6" s="1003"/>
      <c r="K6" s="1003"/>
      <c r="L6" s="1003"/>
      <c r="M6" s="1003"/>
      <c r="N6" s="1003"/>
      <c r="O6" s="1003"/>
      <c r="P6" s="1003"/>
      <c r="Q6" s="1003"/>
      <c r="R6" s="1003"/>
      <c r="S6" s="1003"/>
      <c r="T6" s="981"/>
      <c r="U6" s="981"/>
    </row>
    <row r="7" spans="1:21" ht="13.95" customHeight="1">
      <c r="A7" s="1004"/>
      <c r="B7" s="1004"/>
      <c r="C7" s="1004"/>
      <c r="D7" s="1004"/>
      <c r="E7" s="1004"/>
      <c r="F7" s="1004"/>
      <c r="G7" s="1004"/>
      <c r="H7" s="1004"/>
      <c r="I7" s="1004"/>
      <c r="J7" s="1004"/>
      <c r="K7" s="1004"/>
      <c r="L7" s="1004"/>
      <c r="M7" s="1004"/>
      <c r="N7" s="1004"/>
      <c r="O7" s="1004"/>
      <c r="P7" s="1004"/>
      <c r="Q7" s="1004"/>
      <c r="R7" s="1004"/>
      <c r="S7" s="1004"/>
      <c r="T7" s="981"/>
      <c r="U7" s="981"/>
    </row>
    <row r="8" spans="1:21" ht="13.95" customHeight="1">
      <c r="A8" s="1005" t="s">
        <v>1547</v>
      </c>
      <c r="B8" s="1004"/>
      <c r="C8" s="1004"/>
      <c r="D8" s="1004"/>
      <c r="E8" s="1004"/>
      <c r="F8" s="1004"/>
      <c r="G8" s="1004"/>
      <c r="H8" s="1004"/>
      <c r="I8" s="1004"/>
      <c r="J8" s="1004"/>
      <c r="K8" s="1004"/>
      <c r="L8" s="1004"/>
      <c r="M8" s="1004"/>
      <c r="N8" s="1004"/>
      <c r="O8" s="1004"/>
      <c r="P8" s="1004"/>
      <c r="Q8" s="1004"/>
      <c r="R8" s="1004"/>
      <c r="S8" s="1004"/>
      <c r="T8" s="981"/>
      <c r="U8" s="981"/>
    </row>
    <row r="9" spans="1:21" ht="13.95" customHeight="1">
      <c r="A9" s="1006" t="s">
        <v>1548</v>
      </c>
      <c r="B9" s="1007" t="s">
        <v>1549</v>
      </c>
      <c r="C9" s="1004"/>
      <c r="D9" s="1004"/>
      <c r="E9" s="1004"/>
      <c r="F9" s="1004"/>
      <c r="G9" s="1004"/>
      <c r="H9" s="1004"/>
      <c r="I9" s="1004"/>
      <c r="J9" s="1004"/>
      <c r="K9" s="1004"/>
      <c r="L9" s="1004"/>
      <c r="M9" s="1004"/>
      <c r="N9" s="1004"/>
      <c r="O9" s="1004"/>
      <c r="P9" s="1004"/>
      <c r="Q9" s="1004"/>
      <c r="R9" s="1004"/>
      <c r="S9" s="1004"/>
      <c r="T9" s="981"/>
      <c r="U9" s="981"/>
    </row>
    <row r="10" spans="1:21" ht="13.95" customHeight="1"/>
    <row r="11" spans="1:21" ht="13.95" customHeight="1">
      <c r="A11" s="1008" t="s">
        <v>1550</v>
      </c>
      <c r="B11" s="1009"/>
    </row>
    <row r="12" spans="1:21" ht="15.6" customHeight="1">
      <c r="A12" s="983" t="s">
        <v>1551</v>
      </c>
      <c r="B12" s="1000"/>
      <c r="C12" s="1000"/>
      <c r="D12" s="1000"/>
      <c r="E12" s="1000"/>
      <c r="F12" s="1000"/>
    </row>
    <row r="13" spans="1:21" ht="15.6" customHeight="1">
      <c r="A13" s="1006" t="s">
        <v>1528</v>
      </c>
      <c r="B13" s="1001" t="s">
        <v>1552</v>
      </c>
      <c r="C13" s="1000"/>
      <c r="D13" s="1000"/>
      <c r="E13" s="1000"/>
      <c r="F13" s="1000"/>
    </row>
    <row r="14" spans="1:21" s="1011" customFormat="1">
      <c r="A14" s="1010" t="s">
        <v>1529</v>
      </c>
      <c r="B14" s="1001" t="s">
        <v>1553</v>
      </c>
      <c r="C14" s="980"/>
      <c r="D14" s="980"/>
      <c r="E14" s="980"/>
      <c r="F14" s="980"/>
      <c r="G14" s="980"/>
      <c r="H14" s="980"/>
      <c r="I14" s="980"/>
      <c r="J14" s="980"/>
    </row>
    <row r="15" spans="1:21">
      <c r="A15" s="1010" t="s">
        <v>1554</v>
      </c>
      <c r="B15" s="1012" t="s">
        <v>1555</v>
      </c>
      <c r="C15" s="1011"/>
      <c r="D15" s="1011"/>
      <c r="E15" s="1011"/>
      <c r="F15" s="1011"/>
      <c r="G15" s="1011"/>
      <c r="H15" s="1011"/>
      <c r="I15" s="1011"/>
      <c r="J15" s="1011"/>
    </row>
    <row r="16" spans="1:21" ht="15.6" customHeight="1">
      <c r="A16" s="983" t="s">
        <v>1556</v>
      </c>
      <c r="B16" s="1011"/>
      <c r="C16" s="1011"/>
      <c r="D16" s="1011"/>
      <c r="E16" s="1011"/>
      <c r="F16" s="1011"/>
      <c r="G16" s="1011"/>
      <c r="H16" s="1011"/>
      <c r="I16" s="1011"/>
      <c r="J16" s="1011"/>
    </row>
    <row r="17" spans="1:2" ht="13.95" customHeight="1">
      <c r="A17" s="1010" t="s">
        <v>1557</v>
      </c>
      <c r="B17" s="1001" t="s">
        <v>1558</v>
      </c>
    </row>
    <row r="18" spans="1:2" ht="13.95" customHeight="1">
      <c r="A18" s="1001"/>
      <c r="B18" s="1013"/>
    </row>
    <row r="19" spans="1:2" ht="15.6" customHeight="1">
      <c r="A19" s="1014" t="s">
        <v>1559</v>
      </c>
    </row>
    <row r="20" spans="1:2" ht="15.6" customHeight="1">
      <c r="A20" s="1015" t="s">
        <v>1560</v>
      </c>
    </row>
    <row r="21" spans="1:2" ht="13.95" customHeight="1">
      <c r="A21" s="1010" t="s">
        <v>156</v>
      </c>
      <c r="B21" s="1001" t="s">
        <v>1561</v>
      </c>
    </row>
    <row r="22" spans="1:2" ht="13.95" customHeight="1">
      <c r="A22" s="1010" t="s">
        <v>1562</v>
      </c>
      <c r="B22" s="1001" t="s">
        <v>1563</v>
      </c>
    </row>
    <row r="23" spans="1:2" ht="13.95" customHeight="1">
      <c r="A23" s="1015" t="s">
        <v>1564</v>
      </c>
      <c r="B23" s="1001"/>
    </row>
    <row r="24" spans="1:2" ht="13.95" customHeight="1">
      <c r="A24" s="1010" t="s">
        <v>1534</v>
      </c>
      <c r="B24" s="1001" t="s">
        <v>1565</v>
      </c>
    </row>
    <row r="25" spans="1:2" ht="15.6" customHeight="1">
      <c r="A25" s="979"/>
    </row>
    <row r="26" spans="1:2" ht="15.6" customHeight="1">
      <c r="A26" s="1016" t="s">
        <v>1566</v>
      </c>
    </row>
    <row r="27" spans="1:2" ht="13.95" customHeight="1">
      <c r="A27" s="1010" t="s">
        <v>1526</v>
      </c>
      <c r="B27" s="1001" t="s">
        <v>1567</v>
      </c>
    </row>
    <row r="28" spans="1:2" s="999" customFormat="1" ht="13.95" customHeight="1"/>
    <row r="29" spans="1:2" ht="13.95" customHeight="1">
      <c r="A29" s="1017" t="s">
        <v>1568</v>
      </c>
    </row>
    <row r="30" spans="1:2" ht="13.95" customHeight="1">
      <c r="A30" s="1018" t="s">
        <v>1569</v>
      </c>
      <c r="B30" s="1001" t="s">
        <v>1570</v>
      </c>
    </row>
    <row r="31" spans="1:2" ht="13.95" customHeight="1">
      <c r="A31" s="1018" t="s">
        <v>1473</v>
      </c>
      <c r="B31" s="1001" t="s">
        <v>1571</v>
      </c>
    </row>
    <row r="32" spans="1:2" ht="13.95" customHeight="1"/>
    <row r="33" spans="1:1024">
      <c r="A33" s="1019" t="s">
        <v>1572</v>
      </c>
    </row>
    <row r="35" spans="1:1024" s="1021" customFormat="1">
      <c r="A35" s="1020"/>
      <c r="B35" s="1020"/>
      <c r="C35" s="1020"/>
      <c r="D35" s="1020"/>
      <c r="E35" s="1020"/>
      <c r="F35" s="1020"/>
      <c r="G35" s="1020"/>
      <c r="H35" s="1020"/>
      <c r="I35" s="1020"/>
      <c r="J35" s="1020"/>
      <c r="K35" s="1020"/>
      <c r="L35" s="1020"/>
      <c r="M35" s="1020"/>
      <c r="N35" s="1020"/>
      <c r="O35" s="1020"/>
      <c r="P35" s="1020"/>
      <c r="Q35" s="1020"/>
      <c r="R35" s="1020"/>
      <c r="S35" s="1020"/>
      <c r="T35" s="1020"/>
      <c r="U35" s="1020"/>
      <c r="V35" s="1020"/>
      <c r="W35" s="1020"/>
      <c r="X35" s="1020"/>
      <c r="Y35" s="1020"/>
      <c r="Z35" s="1020"/>
      <c r="AA35" s="1020"/>
      <c r="AB35" s="1020"/>
      <c r="AC35" s="1020"/>
      <c r="AD35" s="1020"/>
      <c r="AE35" s="1020"/>
      <c r="AF35" s="1020"/>
      <c r="AG35" s="1020"/>
      <c r="AH35" s="1020"/>
      <c r="AI35" s="1020"/>
      <c r="AJ35" s="1020"/>
      <c r="AK35" s="1020"/>
      <c r="AL35" s="1020"/>
      <c r="AM35" s="1020"/>
      <c r="AN35" s="1020"/>
      <c r="AO35" s="1020"/>
      <c r="AP35" s="1020"/>
      <c r="AQ35" s="1020"/>
      <c r="AR35" s="1020"/>
      <c r="AS35" s="1020"/>
      <c r="AT35" s="1020"/>
      <c r="AU35" s="1020"/>
      <c r="AV35" s="1020"/>
      <c r="AW35" s="1020"/>
      <c r="AX35" s="1020"/>
      <c r="AY35" s="1020"/>
      <c r="AZ35" s="1020"/>
      <c r="BA35" s="1020"/>
      <c r="BB35" s="1020"/>
      <c r="BC35" s="1020"/>
      <c r="BD35" s="1020"/>
      <c r="BE35" s="1020"/>
      <c r="BF35" s="1020"/>
      <c r="BG35" s="1020"/>
      <c r="BH35" s="1020"/>
      <c r="BI35" s="1020"/>
      <c r="BJ35" s="1020"/>
      <c r="BK35" s="1020"/>
      <c r="BL35" s="1020"/>
      <c r="BM35" s="1020"/>
      <c r="BN35" s="1020"/>
      <c r="BO35" s="1020"/>
      <c r="BP35" s="1020"/>
      <c r="BQ35" s="1020"/>
      <c r="BR35" s="1020"/>
      <c r="BS35" s="1020"/>
      <c r="BT35" s="1020"/>
      <c r="BU35" s="1020"/>
      <c r="BV35" s="1020"/>
      <c r="BW35" s="1020"/>
      <c r="BX35" s="1020"/>
      <c r="BY35" s="1020"/>
      <c r="BZ35" s="1020"/>
      <c r="CA35" s="1020"/>
      <c r="CB35" s="1020"/>
      <c r="CC35" s="1020"/>
      <c r="CD35" s="1020"/>
      <c r="CE35" s="1020"/>
      <c r="CF35" s="1020"/>
      <c r="CG35" s="1020"/>
      <c r="CH35" s="1020"/>
      <c r="CI35" s="1020"/>
      <c r="CJ35" s="1020"/>
      <c r="CK35" s="1020"/>
      <c r="CL35" s="1020"/>
      <c r="CM35" s="1020"/>
      <c r="CN35" s="1020"/>
      <c r="CO35" s="1020"/>
      <c r="CP35" s="1020"/>
      <c r="CQ35" s="1020"/>
      <c r="CR35" s="1020"/>
      <c r="CS35" s="1020"/>
      <c r="CT35" s="1020"/>
      <c r="CU35" s="1020"/>
      <c r="CV35" s="1020"/>
      <c r="CW35" s="1020"/>
      <c r="CX35" s="1020"/>
      <c r="CY35" s="1020"/>
      <c r="CZ35" s="1020"/>
      <c r="DA35" s="1020"/>
      <c r="DB35" s="1020"/>
      <c r="DC35" s="1020"/>
      <c r="DD35" s="1020"/>
      <c r="DE35" s="1020"/>
      <c r="DF35" s="1020"/>
      <c r="DG35" s="1020"/>
      <c r="DH35" s="1020"/>
      <c r="DI35" s="1020"/>
      <c r="DJ35" s="1020"/>
      <c r="DK35" s="1020"/>
      <c r="DL35" s="1020"/>
      <c r="DM35" s="1020"/>
      <c r="DN35" s="1020"/>
      <c r="DO35" s="1020"/>
      <c r="DP35" s="1020"/>
      <c r="DQ35" s="1020"/>
      <c r="DR35" s="1020"/>
      <c r="DS35" s="1020"/>
      <c r="DT35" s="1020"/>
      <c r="DU35" s="1020"/>
      <c r="DV35" s="1020"/>
      <c r="DW35" s="1020"/>
      <c r="DX35" s="1020"/>
      <c r="DY35" s="1020"/>
      <c r="DZ35" s="1020"/>
      <c r="EA35" s="1020"/>
      <c r="EB35" s="1020"/>
      <c r="EC35" s="1020"/>
      <c r="ED35" s="1020"/>
      <c r="EE35" s="1020"/>
      <c r="EF35" s="1020"/>
      <c r="EG35" s="1020"/>
      <c r="EH35" s="1020"/>
      <c r="EI35" s="1020"/>
      <c r="EJ35" s="1020"/>
      <c r="EK35" s="1020"/>
      <c r="EL35" s="1020"/>
      <c r="EM35" s="1020"/>
      <c r="EN35" s="1020"/>
      <c r="EO35" s="1020"/>
      <c r="EP35" s="1020"/>
      <c r="EQ35" s="1020"/>
      <c r="ER35" s="1020"/>
      <c r="ES35" s="1020"/>
      <c r="ET35" s="1020"/>
      <c r="EU35" s="1020"/>
      <c r="EV35" s="1020"/>
      <c r="EW35" s="1020"/>
      <c r="EX35" s="1020"/>
      <c r="EY35" s="1020"/>
      <c r="EZ35" s="1020"/>
      <c r="FA35" s="1020"/>
      <c r="FB35" s="1020"/>
      <c r="FC35" s="1020"/>
      <c r="FD35" s="1020"/>
      <c r="FE35" s="1020"/>
      <c r="FF35" s="1020"/>
      <c r="FG35" s="1020"/>
      <c r="FH35" s="1020"/>
      <c r="FI35" s="1020"/>
      <c r="FJ35" s="1020"/>
      <c r="FK35" s="1020"/>
      <c r="FL35" s="1020"/>
      <c r="FM35" s="1020"/>
      <c r="FN35" s="1020"/>
      <c r="FO35" s="1020"/>
      <c r="FP35" s="1020"/>
      <c r="FQ35" s="1020"/>
      <c r="FR35" s="1020"/>
      <c r="FS35" s="1020"/>
      <c r="FT35" s="1020"/>
      <c r="FU35" s="1020"/>
      <c r="FV35" s="1020"/>
      <c r="FW35" s="1020"/>
      <c r="FX35" s="1020"/>
      <c r="FY35" s="1020"/>
      <c r="FZ35" s="1020"/>
      <c r="GA35" s="1020"/>
      <c r="GB35" s="1020"/>
      <c r="GC35" s="1020"/>
      <c r="GD35" s="1020"/>
      <c r="GE35" s="1020"/>
      <c r="GF35" s="1020"/>
      <c r="GG35" s="1020"/>
      <c r="GH35" s="1020"/>
      <c r="GI35" s="1020"/>
      <c r="GJ35" s="1020"/>
      <c r="GK35" s="1020"/>
      <c r="GL35" s="1020"/>
      <c r="GM35" s="1020"/>
      <c r="GN35" s="1020"/>
      <c r="GO35" s="1020"/>
      <c r="GP35" s="1020"/>
      <c r="GQ35" s="1020"/>
      <c r="GR35" s="1020"/>
      <c r="GS35" s="1020"/>
      <c r="GT35" s="1020"/>
      <c r="GU35" s="1020"/>
      <c r="GV35" s="1020"/>
      <c r="GW35" s="1020"/>
      <c r="GX35" s="1020"/>
      <c r="GY35" s="1020"/>
      <c r="GZ35" s="1020"/>
      <c r="HA35" s="1020"/>
      <c r="HB35" s="1020"/>
      <c r="HC35" s="1020"/>
      <c r="HD35" s="1020"/>
      <c r="HE35" s="1020"/>
      <c r="HF35" s="1020"/>
      <c r="HG35" s="1020"/>
      <c r="HH35" s="1020"/>
      <c r="HI35" s="1020"/>
      <c r="HJ35" s="1020"/>
      <c r="HK35" s="1020"/>
      <c r="HL35" s="1020"/>
      <c r="HM35" s="1020"/>
      <c r="HN35" s="1020"/>
      <c r="HO35" s="1020"/>
      <c r="HP35" s="1020"/>
      <c r="HQ35" s="1020"/>
      <c r="HR35" s="1020"/>
      <c r="HS35" s="1020"/>
      <c r="HT35" s="1020"/>
      <c r="HU35" s="1020"/>
      <c r="HV35" s="1020"/>
      <c r="HW35" s="1020"/>
      <c r="HX35" s="1020"/>
      <c r="HY35" s="1020"/>
      <c r="HZ35" s="1020"/>
      <c r="IA35" s="1020"/>
      <c r="IB35" s="1020"/>
      <c r="IC35" s="1020"/>
      <c r="ID35" s="1020"/>
      <c r="IE35" s="1020"/>
      <c r="IF35" s="1020"/>
      <c r="IG35" s="1020"/>
      <c r="IH35" s="1020"/>
      <c r="II35" s="1020"/>
      <c r="IJ35" s="1020"/>
      <c r="IK35" s="1020"/>
      <c r="IL35" s="1020"/>
      <c r="IM35" s="1020"/>
      <c r="IN35" s="1020"/>
      <c r="IO35" s="1020"/>
      <c r="IP35" s="1020"/>
      <c r="IQ35" s="1020"/>
      <c r="IR35" s="1020"/>
      <c r="IS35" s="1020"/>
      <c r="IT35" s="1020"/>
      <c r="IU35" s="1020"/>
      <c r="IV35" s="1020"/>
      <c r="IW35" s="1020"/>
      <c r="IX35" s="1020"/>
      <c r="IY35" s="1020"/>
      <c r="IZ35" s="1020"/>
      <c r="JA35" s="1020"/>
      <c r="JB35" s="1020"/>
      <c r="JC35" s="1020"/>
      <c r="JD35" s="1020"/>
      <c r="JE35" s="1020"/>
      <c r="JF35" s="1020"/>
      <c r="JG35" s="1020"/>
      <c r="JH35" s="1020"/>
      <c r="JI35" s="1020"/>
      <c r="JJ35" s="1020"/>
      <c r="JK35" s="1020"/>
      <c r="JL35" s="1020"/>
      <c r="JM35" s="1020"/>
      <c r="JN35" s="1020"/>
      <c r="JO35" s="1020"/>
      <c r="JP35" s="1020"/>
      <c r="JQ35" s="1020"/>
      <c r="JR35" s="1020"/>
      <c r="JS35" s="1020"/>
      <c r="JT35" s="1020"/>
      <c r="JU35" s="1020"/>
      <c r="JV35" s="1020"/>
      <c r="JW35" s="1020"/>
      <c r="JX35" s="1020"/>
      <c r="JY35" s="1020"/>
      <c r="JZ35" s="1020"/>
      <c r="KA35" s="1020"/>
      <c r="KB35" s="1020"/>
      <c r="KC35" s="1020"/>
      <c r="KD35" s="1020"/>
      <c r="KE35" s="1020"/>
      <c r="KF35" s="1020"/>
      <c r="KG35" s="1020"/>
      <c r="KH35" s="1020"/>
      <c r="KI35" s="1020"/>
      <c r="KJ35" s="1020"/>
      <c r="KK35" s="1020"/>
      <c r="KL35" s="1020"/>
      <c r="KM35" s="1020"/>
      <c r="KN35" s="1020"/>
      <c r="KO35" s="1020"/>
      <c r="KP35" s="1020"/>
      <c r="KQ35" s="1020"/>
      <c r="KR35" s="1020"/>
      <c r="KS35" s="1020"/>
      <c r="KT35" s="1020"/>
      <c r="KU35" s="1020"/>
      <c r="KV35" s="1020"/>
      <c r="KW35" s="1020"/>
      <c r="KX35" s="1020"/>
      <c r="KY35" s="1020"/>
      <c r="KZ35" s="1020"/>
      <c r="LA35" s="1020"/>
      <c r="LB35" s="1020"/>
      <c r="LC35" s="1020"/>
      <c r="LD35" s="1020"/>
      <c r="LE35" s="1020"/>
      <c r="LF35" s="1020"/>
      <c r="LG35" s="1020"/>
      <c r="LH35" s="1020"/>
      <c r="LI35" s="1020"/>
      <c r="LJ35" s="1020"/>
      <c r="LK35" s="1020"/>
      <c r="LL35" s="1020"/>
      <c r="LM35" s="1020"/>
      <c r="LN35" s="1020"/>
      <c r="LO35" s="1020"/>
      <c r="LP35" s="1020"/>
      <c r="LQ35" s="1020"/>
      <c r="LR35" s="1020"/>
      <c r="LS35" s="1020"/>
      <c r="LT35" s="1020"/>
      <c r="LU35" s="1020"/>
      <c r="LV35" s="1020"/>
      <c r="LW35" s="1020"/>
      <c r="LX35" s="1020"/>
      <c r="LY35" s="1020"/>
      <c r="LZ35" s="1020"/>
      <c r="MA35" s="1020"/>
      <c r="MB35" s="1020"/>
      <c r="MC35" s="1020"/>
      <c r="MD35" s="1020"/>
      <c r="ME35" s="1020"/>
      <c r="MF35" s="1020"/>
      <c r="MG35" s="1020"/>
      <c r="MH35" s="1020"/>
      <c r="MI35" s="1020"/>
      <c r="MJ35" s="1020"/>
      <c r="MK35" s="1020"/>
      <c r="ML35" s="1020"/>
      <c r="MM35" s="1020"/>
      <c r="MN35" s="1020"/>
      <c r="MO35" s="1020"/>
      <c r="MP35" s="1020"/>
      <c r="MQ35" s="1020"/>
      <c r="MR35" s="1020"/>
      <c r="MS35" s="1020"/>
      <c r="MT35" s="1020"/>
      <c r="MU35" s="1020"/>
      <c r="MV35" s="1020"/>
      <c r="MW35" s="1020"/>
      <c r="MX35" s="1020"/>
      <c r="MY35" s="1020"/>
      <c r="MZ35" s="1020"/>
      <c r="NA35" s="1020"/>
      <c r="NB35" s="1020"/>
      <c r="NC35" s="1020"/>
      <c r="ND35" s="1020"/>
      <c r="NE35" s="1020"/>
      <c r="NF35" s="1020"/>
      <c r="NG35" s="1020"/>
      <c r="NH35" s="1020"/>
      <c r="NI35" s="1020"/>
      <c r="NJ35" s="1020"/>
      <c r="NK35" s="1020"/>
      <c r="NL35" s="1020"/>
      <c r="NM35" s="1020"/>
      <c r="NN35" s="1020"/>
      <c r="NO35" s="1020"/>
      <c r="NP35" s="1020"/>
      <c r="NQ35" s="1020"/>
      <c r="NR35" s="1020"/>
      <c r="NS35" s="1020"/>
      <c r="NT35" s="1020"/>
      <c r="NU35" s="1020"/>
      <c r="NV35" s="1020"/>
      <c r="NW35" s="1020"/>
      <c r="NX35" s="1020"/>
      <c r="NY35" s="1020"/>
      <c r="NZ35" s="1020"/>
      <c r="OA35" s="1020"/>
      <c r="OB35" s="1020"/>
      <c r="OC35" s="1020"/>
      <c r="OD35" s="1020"/>
      <c r="OE35" s="1020"/>
      <c r="OF35" s="1020"/>
      <c r="OG35" s="1020"/>
      <c r="OH35" s="1020"/>
      <c r="OI35" s="1020"/>
      <c r="OJ35" s="1020"/>
      <c r="OK35" s="1020"/>
      <c r="OL35" s="1020"/>
      <c r="OM35" s="1020"/>
      <c r="ON35" s="1020"/>
      <c r="OO35" s="1020"/>
      <c r="OP35" s="1020"/>
      <c r="OQ35" s="1020"/>
      <c r="OR35" s="1020"/>
      <c r="OS35" s="1020"/>
      <c r="OT35" s="1020"/>
      <c r="OU35" s="1020"/>
      <c r="OV35" s="1020"/>
      <c r="OW35" s="1020"/>
      <c r="OX35" s="1020"/>
      <c r="OY35" s="1020"/>
      <c r="OZ35" s="1020"/>
      <c r="PA35" s="1020"/>
      <c r="PB35" s="1020"/>
      <c r="PC35" s="1020"/>
      <c r="PD35" s="1020"/>
      <c r="PE35" s="1020"/>
      <c r="PF35" s="1020"/>
      <c r="PG35" s="1020"/>
      <c r="PH35" s="1020"/>
      <c r="PI35" s="1020"/>
      <c r="PJ35" s="1020"/>
      <c r="PK35" s="1020"/>
      <c r="PL35" s="1020"/>
      <c r="PM35" s="1020"/>
      <c r="PN35" s="1020"/>
      <c r="PO35" s="1020"/>
      <c r="PP35" s="1020"/>
      <c r="PQ35" s="1020"/>
      <c r="PR35" s="1020"/>
      <c r="PS35" s="1020"/>
      <c r="PT35" s="1020"/>
      <c r="PU35" s="1020"/>
      <c r="PV35" s="1020"/>
      <c r="PW35" s="1020"/>
      <c r="PX35" s="1020"/>
      <c r="PY35" s="1020"/>
      <c r="PZ35" s="1020"/>
      <c r="QA35" s="1020"/>
      <c r="QB35" s="1020"/>
      <c r="QC35" s="1020"/>
      <c r="QD35" s="1020"/>
      <c r="QE35" s="1020"/>
      <c r="QF35" s="1020"/>
      <c r="QG35" s="1020"/>
      <c r="QH35" s="1020"/>
      <c r="QI35" s="1020"/>
      <c r="QJ35" s="1020"/>
      <c r="QK35" s="1020"/>
      <c r="QL35" s="1020"/>
      <c r="QM35" s="1020"/>
      <c r="QN35" s="1020"/>
      <c r="QO35" s="1020"/>
      <c r="QP35" s="1020"/>
      <c r="QQ35" s="1020"/>
      <c r="QR35" s="1020"/>
      <c r="QS35" s="1020"/>
      <c r="QT35" s="1020"/>
      <c r="QU35" s="1020"/>
      <c r="QV35" s="1020"/>
      <c r="QW35" s="1020"/>
      <c r="QX35" s="1020"/>
      <c r="QY35" s="1020"/>
      <c r="QZ35" s="1020"/>
      <c r="RA35" s="1020"/>
      <c r="RB35" s="1020"/>
      <c r="RC35" s="1020"/>
      <c r="RD35" s="1020"/>
      <c r="RE35" s="1020"/>
      <c r="RF35" s="1020"/>
      <c r="RG35" s="1020"/>
      <c r="RH35" s="1020"/>
      <c r="RI35" s="1020"/>
      <c r="RJ35" s="1020"/>
      <c r="RK35" s="1020"/>
      <c r="RL35" s="1020"/>
      <c r="RM35" s="1020"/>
      <c r="RN35" s="1020"/>
      <c r="RO35" s="1020"/>
      <c r="RP35" s="1020"/>
      <c r="RQ35" s="1020"/>
      <c r="RR35" s="1020"/>
      <c r="RS35" s="1020"/>
      <c r="RT35" s="1020"/>
      <c r="RU35" s="1020"/>
      <c r="RV35" s="1020"/>
      <c r="RW35" s="1020"/>
      <c r="RX35" s="1020"/>
      <c r="RY35" s="1020"/>
      <c r="RZ35" s="1020"/>
      <c r="SA35" s="1020"/>
      <c r="SB35" s="1020"/>
      <c r="SC35" s="1020"/>
      <c r="SD35" s="1020"/>
      <c r="SE35" s="1020"/>
      <c r="SF35" s="1020"/>
      <c r="SG35" s="1020"/>
      <c r="SH35" s="1020"/>
      <c r="SI35" s="1020"/>
      <c r="SJ35" s="1020"/>
      <c r="SK35" s="1020"/>
      <c r="SL35" s="1020"/>
      <c r="SM35" s="1020"/>
      <c r="SN35" s="1020"/>
      <c r="SO35" s="1020"/>
      <c r="SP35" s="1020"/>
      <c r="SQ35" s="1020"/>
      <c r="SR35" s="1020"/>
      <c r="SS35" s="1020"/>
      <c r="ST35" s="1020"/>
      <c r="SU35" s="1020"/>
      <c r="SV35" s="1020"/>
      <c r="SW35" s="1020"/>
      <c r="SX35" s="1020"/>
      <c r="SY35" s="1020"/>
      <c r="SZ35" s="1020"/>
      <c r="TA35" s="1020"/>
      <c r="TB35" s="1020"/>
      <c r="TC35" s="1020"/>
      <c r="TD35" s="1020"/>
      <c r="TE35" s="1020"/>
      <c r="TF35" s="1020"/>
      <c r="TG35" s="1020"/>
      <c r="TH35" s="1020"/>
      <c r="TI35" s="1020"/>
      <c r="TJ35" s="1020"/>
      <c r="TK35" s="1020"/>
      <c r="TL35" s="1020"/>
      <c r="TM35" s="1020"/>
      <c r="TN35" s="1020"/>
      <c r="TO35" s="1020"/>
      <c r="TP35" s="1020"/>
      <c r="TQ35" s="1020"/>
      <c r="TR35" s="1020"/>
      <c r="TS35" s="1020"/>
      <c r="TT35" s="1020"/>
      <c r="TU35" s="1020"/>
      <c r="TV35" s="1020"/>
      <c r="TW35" s="1020"/>
      <c r="TX35" s="1020"/>
      <c r="TY35" s="1020"/>
      <c r="TZ35" s="1020"/>
      <c r="UA35" s="1020"/>
      <c r="UB35" s="1020"/>
      <c r="UC35" s="1020"/>
      <c r="UD35" s="1020"/>
      <c r="UE35" s="1020"/>
      <c r="UF35" s="1020"/>
      <c r="UG35" s="1020"/>
      <c r="UH35" s="1020"/>
      <c r="UI35" s="1020"/>
      <c r="UJ35" s="1020"/>
      <c r="UK35" s="1020"/>
      <c r="UL35" s="1020"/>
      <c r="UM35" s="1020"/>
      <c r="UN35" s="1020"/>
      <c r="UO35" s="1020"/>
      <c r="UP35" s="1020"/>
      <c r="UQ35" s="1020"/>
      <c r="UR35" s="1020"/>
      <c r="US35" s="1020"/>
      <c r="UT35" s="1020"/>
      <c r="UU35" s="1020"/>
      <c r="UV35" s="1020"/>
      <c r="UW35" s="1020"/>
      <c r="UX35" s="1020"/>
      <c r="UY35" s="1020"/>
      <c r="UZ35" s="1020"/>
      <c r="VA35" s="1020"/>
      <c r="VB35" s="1020"/>
      <c r="VC35" s="1020"/>
      <c r="VD35" s="1020"/>
      <c r="VE35" s="1020"/>
      <c r="VF35" s="1020"/>
      <c r="VG35" s="1020"/>
      <c r="VH35" s="1020"/>
      <c r="VI35" s="1020"/>
      <c r="VJ35" s="1020"/>
      <c r="VK35" s="1020"/>
      <c r="VL35" s="1020"/>
      <c r="VM35" s="1020"/>
      <c r="VN35" s="1020"/>
      <c r="VO35" s="1020"/>
      <c r="VP35" s="1020"/>
      <c r="VQ35" s="1020"/>
      <c r="VR35" s="1020"/>
      <c r="VS35" s="1020"/>
      <c r="VT35" s="1020"/>
      <c r="VU35" s="1020"/>
      <c r="VV35" s="1020"/>
      <c r="VW35" s="1020"/>
      <c r="VX35" s="1020"/>
      <c r="VY35" s="1020"/>
      <c r="VZ35" s="1020"/>
      <c r="WA35" s="1020"/>
      <c r="WB35" s="1020"/>
      <c r="WC35" s="1020"/>
      <c r="WD35" s="1020"/>
      <c r="WE35" s="1020"/>
      <c r="WF35" s="1020"/>
      <c r="WG35" s="1020"/>
      <c r="WH35" s="1020"/>
      <c r="WI35" s="1020"/>
      <c r="WJ35" s="1020"/>
      <c r="WK35" s="1020"/>
      <c r="WL35" s="1020"/>
      <c r="WM35" s="1020"/>
      <c r="WN35" s="1020"/>
      <c r="WO35" s="1020"/>
      <c r="WP35" s="1020"/>
      <c r="WQ35" s="1020"/>
      <c r="WR35" s="1020"/>
      <c r="WS35" s="1020"/>
      <c r="WT35" s="1020"/>
      <c r="WU35" s="1020"/>
      <c r="WV35" s="1020"/>
      <c r="WW35" s="1020"/>
      <c r="WX35" s="1020"/>
      <c r="WY35" s="1020"/>
      <c r="WZ35" s="1020"/>
      <c r="XA35" s="1020"/>
      <c r="XB35" s="1020"/>
      <c r="XC35" s="1020"/>
      <c r="XD35" s="1020"/>
      <c r="XE35" s="1020"/>
      <c r="XF35" s="1020"/>
      <c r="XG35" s="1020"/>
      <c r="XH35" s="1020"/>
      <c r="XI35" s="1020"/>
      <c r="XJ35" s="1020"/>
      <c r="XK35" s="1020"/>
      <c r="XL35" s="1020"/>
      <c r="XM35" s="1020"/>
      <c r="XN35" s="1020"/>
      <c r="XO35" s="1020"/>
      <c r="XP35" s="1020"/>
      <c r="XQ35" s="1020"/>
      <c r="XR35" s="1020"/>
      <c r="XS35" s="1020"/>
      <c r="XT35" s="1020"/>
      <c r="XU35" s="1020"/>
      <c r="XV35" s="1020"/>
      <c r="XW35" s="1020"/>
      <c r="XX35" s="1020"/>
      <c r="XY35" s="1020"/>
      <c r="XZ35" s="1020"/>
      <c r="YA35" s="1020"/>
      <c r="YB35" s="1020"/>
      <c r="YC35" s="1020"/>
      <c r="YD35" s="1020"/>
      <c r="YE35" s="1020"/>
      <c r="YF35" s="1020"/>
      <c r="YG35" s="1020"/>
      <c r="YH35" s="1020"/>
      <c r="YI35" s="1020"/>
      <c r="YJ35" s="1020"/>
      <c r="YK35" s="1020"/>
      <c r="YL35" s="1020"/>
      <c r="YM35" s="1020"/>
      <c r="YN35" s="1020"/>
      <c r="YO35" s="1020"/>
      <c r="YP35" s="1020"/>
      <c r="YQ35" s="1020"/>
      <c r="YR35" s="1020"/>
      <c r="YS35" s="1020"/>
      <c r="YT35" s="1020"/>
      <c r="YU35" s="1020"/>
      <c r="YV35" s="1020"/>
      <c r="YW35" s="1020"/>
      <c r="YX35" s="1020"/>
      <c r="YY35" s="1020"/>
      <c r="YZ35" s="1020"/>
      <c r="ZA35" s="1020"/>
      <c r="ZB35" s="1020"/>
      <c r="ZC35" s="1020"/>
      <c r="ZD35" s="1020"/>
      <c r="ZE35" s="1020"/>
      <c r="ZF35" s="1020"/>
      <c r="ZG35" s="1020"/>
      <c r="ZH35" s="1020"/>
      <c r="ZI35" s="1020"/>
      <c r="ZJ35" s="1020"/>
      <c r="ZK35" s="1020"/>
      <c r="ZL35" s="1020"/>
      <c r="ZM35" s="1020"/>
      <c r="ZN35" s="1020"/>
      <c r="ZO35" s="1020"/>
      <c r="ZP35" s="1020"/>
      <c r="ZQ35" s="1020"/>
      <c r="ZR35" s="1020"/>
      <c r="ZS35" s="1020"/>
      <c r="ZT35" s="1020"/>
      <c r="ZU35" s="1020"/>
      <c r="ZV35" s="1020"/>
      <c r="ZW35" s="1020"/>
      <c r="ZX35" s="1020"/>
      <c r="ZY35" s="1020"/>
      <c r="ZZ35" s="1020"/>
      <c r="AAA35" s="1020"/>
      <c r="AAB35" s="1020"/>
      <c r="AAC35" s="1020"/>
      <c r="AAD35" s="1020"/>
      <c r="AAE35" s="1020"/>
      <c r="AAF35" s="1020"/>
      <c r="AAG35" s="1020"/>
      <c r="AAH35" s="1020"/>
      <c r="AAI35" s="1020"/>
      <c r="AAJ35" s="1020"/>
      <c r="AAK35" s="1020"/>
      <c r="AAL35" s="1020"/>
      <c r="AAM35" s="1020"/>
      <c r="AAN35" s="1020"/>
      <c r="AAO35" s="1020"/>
      <c r="AAP35" s="1020"/>
      <c r="AAQ35" s="1020"/>
      <c r="AAR35" s="1020"/>
      <c r="AAS35" s="1020"/>
      <c r="AAT35" s="1020"/>
      <c r="AAU35" s="1020"/>
      <c r="AAV35" s="1020"/>
      <c r="AAW35" s="1020"/>
      <c r="AAX35" s="1020"/>
      <c r="AAY35" s="1020"/>
      <c r="AAZ35" s="1020"/>
      <c r="ABA35" s="1020"/>
      <c r="ABB35" s="1020"/>
      <c r="ABC35" s="1020"/>
      <c r="ABD35" s="1020"/>
      <c r="ABE35" s="1020"/>
      <c r="ABF35" s="1020"/>
      <c r="ABG35" s="1020"/>
      <c r="ABH35" s="1020"/>
      <c r="ABI35" s="1020"/>
      <c r="ABJ35" s="1020"/>
      <c r="ABK35" s="1020"/>
      <c r="ABL35" s="1020"/>
      <c r="ABM35" s="1020"/>
      <c r="ABN35" s="1020"/>
      <c r="ABO35" s="1020"/>
      <c r="ABP35" s="1020"/>
      <c r="ABQ35" s="1020"/>
      <c r="ABR35" s="1020"/>
      <c r="ABS35" s="1020"/>
      <c r="ABT35" s="1020"/>
      <c r="ABU35" s="1020"/>
      <c r="ABV35" s="1020"/>
      <c r="ABW35" s="1020"/>
      <c r="ABX35" s="1020"/>
      <c r="ABY35" s="1020"/>
      <c r="ABZ35" s="1020"/>
      <c r="ACA35" s="1020"/>
      <c r="ACB35" s="1020"/>
      <c r="ACC35" s="1020"/>
      <c r="ACD35" s="1020"/>
      <c r="ACE35" s="1020"/>
      <c r="ACF35" s="1020"/>
      <c r="ACG35" s="1020"/>
      <c r="ACH35" s="1020"/>
      <c r="ACI35" s="1020"/>
      <c r="ACJ35" s="1020"/>
      <c r="ACK35" s="1020"/>
      <c r="ACL35" s="1020"/>
      <c r="ACM35" s="1020"/>
      <c r="ACN35" s="1020"/>
      <c r="ACO35" s="1020"/>
      <c r="ACP35" s="1020"/>
      <c r="ACQ35" s="1020"/>
      <c r="ACR35" s="1020"/>
      <c r="ACS35" s="1020"/>
      <c r="ACT35" s="1020"/>
      <c r="ACU35" s="1020"/>
      <c r="ACV35" s="1020"/>
      <c r="ACW35" s="1020"/>
      <c r="ACX35" s="1020"/>
      <c r="ACY35" s="1020"/>
      <c r="ACZ35" s="1020"/>
      <c r="ADA35" s="1020"/>
      <c r="ADB35" s="1020"/>
      <c r="ADC35" s="1020"/>
      <c r="ADD35" s="1020"/>
      <c r="ADE35" s="1020"/>
      <c r="ADF35" s="1020"/>
      <c r="ADG35" s="1020"/>
      <c r="ADH35" s="1020"/>
      <c r="ADI35" s="1020"/>
      <c r="ADJ35" s="1020"/>
      <c r="ADK35" s="1020"/>
      <c r="ADL35" s="1020"/>
      <c r="ADM35" s="1020"/>
      <c r="ADN35" s="1020"/>
      <c r="ADO35" s="1020"/>
      <c r="ADP35" s="1020"/>
      <c r="ADQ35" s="1020"/>
      <c r="ADR35" s="1020"/>
      <c r="ADS35" s="1020"/>
      <c r="ADT35" s="1020"/>
      <c r="ADU35" s="1020"/>
      <c r="ADV35" s="1020"/>
      <c r="ADW35" s="1020"/>
      <c r="ADX35" s="1020"/>
      <c r="ADY35" s="1020"/>
      <c r="ADZ35" s="1020"/>
      <c r="AEA35" s="1020"/>
      <c r="AEB35" s="1020"/>
      <c r="AEC35" s="1020"/>
      <c r="AED35" s="1020"/>
      <c r="AEE35" s="1020"/>
      <c r="AEF35" s="1020"/>
      <c r="AEG35" s="1020"/>
      <c r="AEH35" s="1020"/>
      <c r="AEI35" s="1020"/>
      <c r="AEJ35" s="1020"/>
      <c r="AEK35" s="1020"/>
      <c r="AEL35" s="1020"/>
      <c r="AEM35" s="1020"/>
      <c r="AEN35" s="1020"/>
      <c r="AEO35" s="1020"/>
      <c r="AEP35" s="1020"/>
      <c r="AEQ35" s="1020"/>
      <c r="AER35" s="1020"/>
      <c r="AES35" s="1020"/>
      <c r="AET35" s="1020"/>
      <c r="AEU35" s="1020"/>
      <c r="AEV35" s="1020"/>
      <c r="AEW35" s="1020"/>
      <c r="AEX35" s="1020"/>
      <c r="AEY35" s="1020"/>
      <c r="AEZ35" s="1020"/>
      <c r="AFA35" s="1020"/>
      <c r="AFB35" s="1020"/>
      <c r="AFC35" s="1020"/>
      <c r="AFD35" s="1020"/>
      <c r="AFE35" s="1020"/>
      <c r="AFF35" s="1020"/>
      <c r="AFG35" s="1020"/>
      <c r="AFH35" s="1020"/>
      <c r="AFI35" s="1020"/>
      <c r="AFJ35" s="1020"/>
      <c r="AFK35" s="1020"/>
      <c r="AFL35" s="1020"/>
      <c r="AFM35" s="1020"/>
      <c r="AFN35" s="1020"/>
      <c r="AFO35" s="1020"/>
      <c r="AFP35" s="1020"/>
      <c r="AFQ35" s="1020"/>
      <c r="AFR35" s="1020"/>
      <c r="AFS35" s="1020"/>
      <c r="AFT35" s="1020"/>
      <c r="AFU35" s="1020"/>
      <c r="AFV35" s="1020"/>
      <c r="AFW35" s="1020"/>
      <c r="AFX35" s="1020"/>
      <c r="AFY35" s="1020"/>
      <c r="AFZ35" s="1020"/>
      <c r="AGA35" s="1020"/>
      <c r="AGB35" s="1020"/>
      <c r="AGC35" s="1020"/>
      <c r="AGD35" s="1020"/>
      <c r="AGE35" s="1020"/>
      <c r="AGF35" s="1020"/>
      <c r="AGG35" s="1020"/>
      <c r="AGH35" s="1020"/>
      <c r="AGI35" s="1020"/>
      <c r="AGJ35" s="1020"/>
      <c r="AGK35" s="1020"/>
      <c r="AGL35" s="1020"/>
      <c r="AGM35" s="1020"/>
      <c r="AGN35" s="1020"/>
      <c r="AGO35" s="1020"/>
      <c r="AGP35" s="1020"/>
      <c r="AGQ35" s="1020"/>
      <c r="AGR35" s="1020"/>
      <c r="AGS35" s="1020"/>
      <c r="AGT35" s="1020"/>
      <c r="AGU35" s="1020"/>
      <c r="AGV35" s="1020"/>
      <c r="AGW35" s="1020"/>
      <c r="AGX35" s="1020"/>
      <c r="AGY35" s="1020"/>
      <c r="AGZ35" s="1020"/>
      <c r="AHA35" s="1020"/>
      <c r="AHB35" s="1020"/>
      <c r="AHC35" s="1020"/>
      <c r="AHD35" s="1020"/>
      <c r="AHE35" s="1020"/>
      <c r="AHF35" s="1020"/>
      <c r="AHG35" s="1020"/>
      <c r="AHH35" s="1020"/>
      <c r="AHI35" s="1020"/>
      <c r="AHJ35" s="1020"/>
      <c r="AHK35" s="1020"/>
      <c r="AHL35" s="1020"/>
      <c r="AHM35" s="1020"/>
      <c r="AHN35" s="1020"/>
      <c r="AHO35" s="1020"/>
      <c r="AHP35" s="1020"/>
      <c r="AHQ35" s="1020"/>
      <c r="AHR35" s="1020"/>
      <c r="AHS35" s="1020"/>
      <c r="AHT35" s="1020"/>
      <c r="AHU35" s="1020"/>
      <c r="AHV35" s="1020"/>
      <c r="AHW35" s="1020"/>
      <c r="AHX35" s="1020"/>
      <c r="AHY35" s="1020"/>
      <c r="AHZ35" s="1020"/>
      <c r="AIA35" s="1020"/>
      <c r="AIB35" s="1020"/>
      <c r="AIC35" s="1020"/>
      <c r="AID35" s="1020"/>
      <c r="AIE35" s="1020"/>
      <c r="AIF35" s="1020"/>
      <c r="AIG35" s="1020"/>
      <c r="AIH35" s="1020"/>
      <c r="AII35" s="1020"/>
      <c r="AIJ35" s="1020"/>
      <c r="AIK35" s="1020"/>
      <c r="AIL35" s="1020"/>
      <c r="AIM35" s="1020"/>
      <c r="AIN35" s="1020"/>
      <c r="AIO35" s="1020"/>
      <c r="AIP35" s="1020"/>
      <c r="AIQ35" s="1020"/>
      <c r="AIR35" s="1020"/>
      <c r="AIS35" s="1020"/>
      <c r="AIT35" s="1020"/>
      <c r="AIU35" s="1020"/>
      <c r="AIV35" s="1020"/>
      <c r="AIW35" s="1020"/>
      <c r="AIX35" s="1020"/>
      <c r="AIY35" s="1020"/>
      <c r="AIZ35" s="1020"/>
      <c r="AJA35" s="1020"/>
      <c r="AJB35" s="1020"/>
      <c r="AJC35" s="1020"/>
      <c r="AJD35" s="1020"/>
      <c r="AJE35" s="1020"/>
      <c r="AJF35" s="1020"/>
      <c r="AJG35" s="1020"/>
      <c r="AJH35" s="1020"/>
      <c r="AJI35" s="1020"/>
      <c r="AJJ35" s="1020"/>
      <c r="AJK35" s="1020"/>
      <c r="AJL35" s="1020"/>
      <c r="AJM35" s="1020"/>
      <c r="AJN35" s="1020"/>
      <c r="AJO35" s="1020"/>
      <c r="AJP35" s="1020"/>
      <c r="AJQ35" s="1020"/>
      <c r="AJR35" s="1020"/>
      <c r="AJS35" s="1020"/>
      <c r="AJT35" s="1020"/>
      <c r="AJU35" s="1020"/>
      <c r="AJV35" s="1020"/>
      <c r="AJW35" s="1020"/>
      <c r="AJX35" s="1020"/>
      <c r="AJY35" s="1020"/>
      <c r="AJZ35" s="1020"/>
      <c r="AKA35" s="1020"/>
      <c r="AKB35" s="1020"/>
      <c r="AKC35" s="1020"/>
      <c r="AKD35" s="1020"/>
      <c r="AKE35" s="1020"/>
      <c r="AKF35" s="1020"/>
      <c r="AKG35" s="1020"/>
      <c r="AKH35" s="1020"/>
      <c r="AKI35" s="1020"/>
      <c r="AKJ35" s="1020"/>
      <c r="AKK35" s="1020"/>
      <c r="AKL35" s="1020"/>
      <c r="AKM35" s="1020"/>
      <c r="AKN35" s="1020"/>
      <c r="AKO35" s="1020"/>
      <c r="AKP35" s="1020"/>
      <c r="AKQ35" s="1020"/>
      <c r="AKR35" s="1020"/>
      <c r="AKS35" s="1020"/>
      <c r="AKT35" s="1020"/>
      <c r="AKU35" s="1020"/>
      <c r="AKV35" s="1020"/>
      <c r="AKW35" s="1020"/>
      <c r="AKX35" s="1020"/>
      <c r="AKY35" s="1020"/>
      <c r="AKZ35" s="1020"/>
      <c r="ALA35" s="1020"/>
      <c r="ALB35" s="1020"/>
      <c r="ALC35" s="1020"/>
      <c r="ALD35" s="1020"/>
      <c r="ALE35" s="1020"/>
      <c r="ALF35" s="1020"/>
      <c r="ALG35" s="1020"/>
      <c r="ALH35" s="1020"/>
      <c r="ALI35" s="1020"/>
      <c r="ALJ35" s="1020"/>
      <c r="ALK35" s="1020"/>
      <c r="ALL35" s="1020"/>
      <c r="ALM35" s="1020"/>
      <c r="ALN35" s="1020"/>
      <c r="ALO35" s="1020"/>
      <c r="ALP35" s="1020"/>
      <c r="ALQ35" s="1020"/>
      <c r="ALR35" s="1020"/>
      <c r="ALS35" s="1020"/>
      <c r="ALT35" s="1020"/>
      <c r="ALU35" s="1020"/>
      <c r="ALV35" s="1020"/>
      <c r="ALW35" s="1020"/>
      <c r="ALX35" s="1020"/>
      <c r="ALY35" s="1020"/>
      <c r="ALZ35" s="1020"/>
      <c r="AMA35" s="1020"/>
      <c r="AMB35" s="1020"/>
      <c r="AMC35" s="1020"/>
      <c r="AMD35" s="1020"/>
      <c r="AME35" s="1020"/>
      <c r="AMF35" s="1020"/>
      <c r="AMG35" s="1020"/>
      <c r="AMH35" s="1020"/>
      <c r="AMI35" s="1020"/>
      <c r="AMJ35" s="1020"/>
    </row>
    <row r="36" spans="1:1024">
      <c r="A36" s="1000" t="s">
        <v>1573</v>
      </c>
    </row>
    <row r="38" spans="1:1024">
      <c r="A38" s="1006" t="s">
        <v>1548</v>
      </c>
    </row>
    <row r="40" spans="1:1024">
      <c r="A40" s="1001" t="s">
        <v>1574</v>
      </c>
    </row>
    <row r="42" spans="1:1024">
      <c r="A42" s="1006" t="s">
        <v>1528</v>
      </c>
      <c r="B42" s="1010" t="s">
        <v>1529</v>
      </c>
      <c r="C42" s="1010" t="s">
        <v>1554</v>
      </c>
    </row>
    <row r="44" spans="1:1024">
      <c r="A44" s="1001" t="s">
        <v>1575</v>
      </c>
    </row>
    <row r="45" spans="1:1024">
      <c r="A45" s="1022" t="s">
        <v>1576</v>
      </c>
      <c r="B45" s="1001" t="s">
        <v>1577</v>
      </c>
    </row>
    <row r="46" spans="1:1024">
      <c r="A46" s="1022" t="s">
        <v>1578</v>
      </c>
      <c r="B46" s="1001" t="s">
        <v>1579</v>
      </c>
    </row>
    <row r="47" spans="1:1024">
      <c r="A47" s="1022" t="s">
        <v>1580</v>
      </c>
      <c r="B47" s="1001" t="s">
        <v>1581</v>
      </c>
    </row>
    <row r="48" spans="1:1024">
      <c r="A48" s="1022" t="s">
        <v>1582</v>
      </c>
      <c r="B48" s="1001" t="s">
        <v>1583</v>
      </c>
    </row>
    <row r="49" spans="1:2">
      <c r="A49" s="1022" t="s">
        <v>1584</v>
      </c>
      <c r="B49" s="1001" t="s">
        <v>1585</v>
      </c>
    </row>
    <row r="51" spans="1:2">
      <c r="A51" s="1010" t="s">
        <v>1586</v>
      </c>
    </row>
    <row r="53" spans="1:2">
      <c r="A53" s="1001" t="s">
        <v>1587</v>
      </c>
    </row>
    <row r="54" spans="1:2">
      <c r="A54" s="1001" t="s">
        <v>1588</v>
      </c>
    </row>
    <row r="55" spans="1:2">
      <c r="A55" s="1001" t="s">
        <v>1589</v>
      </c>
    </row>
    <row r="56" spans="1:2">
      <c r="A56" s="1023" t="s">
        <v>1590</v>
      </c>
    </row>
    <row r="57" spans="1:2">
      <c r="A57" s="1023" t="s">
        <v>1591</v>
      </c>
    </row>
    <row r="58" spans="1:2">
      <c r="A58" s="1023" t="s">
        <v>1592</v>
      </c>
    </row>
    <row r="60" spans="1:2">
      <c r="A60" s="1010" t="s">
        <v>156</v>
      </c>
      <c r="B60" s="1010" t="s">
        <v>1562</v>
      </c>
    </row>
    <row r="62" spans="1:2">
      <c r="A62" s="1001" t="s">
        <v>1593</v>
      </c>
    </row>
    <row r="63" spans="1:2">
      <c r="A63" s="1022" t="s">
        <v>1594</v>
      </c>
      <c r="B63" s="1001" t="s">
        <v>1595</v>
      </c>
    </row>
    <row r="64" spans="1:2">
      <c r="A64" s="1022" t="s">
        <v>1596</v>
      </c>
      <c r="B64" s="1001" t="s">
        <v>1597</v>
      </c>
    </row>
    <row r="65" spans="1:2">
      <c r="A65" s="985" t="s">
        <v>1598</v>
      </c>
      <c r="B65" s="1001"/>
    </row>
    <row r="66" spans="1:2">
      <c r="A66" s="1022" t="s">
        <v>1599</v>
      </c>
      <c r="B66" s="1001" t="s">
        <v>1600</v>
      </c>
    </row>
    <row r="67" spans="1:2">
      <c r="A67" s="1022" t="s">
        <v>1601</v>
      </c>
      <c r="B67" s="1001" t="s">
        <v>1602</v>
      </c>
    </row>
    <row r="68" spans="1:2">
      <c r="A68" s="1022" t="s">
        <v>1603</v>
      </c>
      <c r="B68" s="1001" t="s">
        <v>1604</v>
      </c>
    </row>
    <row r="69" spans="1:2">
      <c r="A69" s="1022" t="s">
        <v>1584</v>
      </c>
      <c r="B69" s="1001" t="s">
        <v>1605</v>
      </c>
    </row>
    <row r="71" spans="1:2">
      <c r="A71" s="1010" t="s">
        <v>1534</v>
      </c>
    </row>
    <row r="73" spans="1:2">
      <c r="A73" s="1001" t="s">
        <v>1606</v>
      </c>
    </row>
    <row r="74" spans="1:2">
      <c r="A74" s="1001" t="s">
        <v>1607</v>
      </c>
    </row>
    <row r="75" spans="1:2">
      <c r="A75" s="1022" t="s">
        <v>1578</v>
      </c>
      <c r="B75" s="1001" t="s">
        <v>1608</v>
      </c>
    </row>
    <row r="76" spans="1:2">
      <c r="A76" s="1022" t="s">
        <v>1596</v>
      </c>
      <c r="B76" s="1001" t="s">
        <v>1595</v>
      </c>
    </row>
    <row r="77" spans="1:2">
      <c r="A77" s="1022" t="s">
        <v>1609</v>
      </c>
      <c r="B77" s="1001" t="s">
        <v>1597</v>
      </c>
    </row>
    <row r="78" spans="1:2">
      <c r="A78" s="1022" t="s">
        <v>1610</v>
      </c>
      <c r="B78" s="1001" t="s">
        <v>1611</v>
      </c>
    </row>
    <row r="79" spans="1:2">
      <c r="A79" s="1022" t="s">
        <v>1612</v>
      </c>
      <c r="B79" s="1001" t="s">
        <v>1613</v>
      </c>
    </row>
    <row r="80" spans="1:2">
      <c r="A80" s="1022" t="s">
        <v>1584</v>
      </c>
      <c r="B80" s="1001" t="s">
        <v>1614</v>
      </c>
    </row>
    <row r="82" spans="1:2">
      <c r="A82" s="1010" t="s">
        <v>1526</v>
      </c>
    </row>
    <row r="84" spans="1:2">
      <c r="A84" s="1001" t="s">
        <v>1615</v>
      </c>
    </row>
    <row r="85" spans="1:2">
      <c r="A85" s="1023" t="s">
        <v>1616</v>
      </c>
      <c r="B85" s="1001" t="s">
        <v>1617</v>
      </c>
    </row>
    <row r="86" spans="1:2">
      <c r="A86" s="1023" t="s">
        <v>1618</v>
      </c>
      <c r="B86" s="1001" t="s">
        <v>1619</v>
      </c>
    </row>
    <row r="87" spans="1:2">
      <c r="A87" s="1023" t="s">
        <v>1620</v>
      </c>
      <c r="B87" s="1001" t="s">
        <v>1621</v>
      </c>
    </row>
    <row r="88" spans="1:2">
      <c r="A88" s="1023" t="s">
        <v>1622</v>
      </c>
      <c r="B88" s="1001" t="s">
        <v>1623</v>
      </c>
    </row>
    <row r="90" spans="1:2">
      <c r="A90" s="1022" t="s">
        <v>1578</v>
      </c>
      <c r="B90" s="980" t="s">
        <v>1624</v>
      </c>
    </row>
    <row r="91" spans="1:2">
      <c r="A91" s="1022" t="s">
        <v>1596</v>
      </c>
      <c r="B91" s="980" t="s">
        <v>1625</v>
      </c>
    </row>
    <row r="92" spans="1:2">
      <c r="A92" s="1022" t="s">
        <v>1609</v>
      </c>
      <c r="B92" s="980" t="s">
        <v>1626</v>
      </c>
    </row>
    <row r="93" spans="1:2">
      <c r="A93" s="1022" t="s">
        <v>1610</v>
      </c>
      <c r="B93" s="980" t="s">
        <v>1627</v>
      </c>
    </row>
    <row r="94" spans="1:2">
      <c r="A94" s="1022" t="s">
        <v>1612</v>
      </c>
      <c r="B94" s="1001" t="s">
        <v>1628</v>
      </c>
    </row>
    <row r="95" spans="1:2">
      <c r="A95" s="1022" t="s">
        <v>1629</v>
      </c>
      <c r="B95" s="980" t="s">
        <v>1630</v>
      </c>
    </row>
    <row r="96" spans="1:2">
      <c r="A96" s="1022" t="s">
        <v>1631</v>
      </c>
      <c r="B96" s="1001" t="s">
        <v>1632</v>
      </c>
    </row>
    <row r="97" spans="1:2">
      <c r="A97" s="1022"/>
    </row>
    <row r="98" spans="1:2" ht="15.6">
      <c r="A98" s="1018" t="s">
        <v>1569</v>
      </c>
    </row>
    <row r="100" spans="1:2">
      <c r="A100" s="980" t="s">
        <v>1633</v>
      </c>
    </row>
    <row r="101" spans="1:2">
      <c r="A101" s="1022" t="s">
        <v>1634</v>
      </c>
      <c r="B101" s="980" t="s">
        <v>1635</v>
      </c>
    </row>
    <row r="102" spans="1:2">
      <c r="A102" s="1022" t="s">
        <v>1596</v>
      </c>
      <c r="B102" s="1001" t="s">
        <v>1595</v>
      </c>
    </row>
    <row r="103" spans="1:2">
      <c r="A103" s="1022" t="s">
        <v>1609</v>
      </c>
      <c r="B103" s="1001" t="s">
        <v>1597</v>
      </c>
    </row>
    <row r="104" spans="1:2">
      <c r="A104" s="1022" t="s">
        <v>1610</v>
      </c>
      <c r="B104" s="980" t="s">
        <v>1636</v>
      </c>
    </row>
    <row r="105" spans="1:2">
      <c r="A105" s="1022" t="s">
        <v>1612</v>
      </c>
      <c r="B105" s="980" t="s">
        <v>1637</v>
      </c>
    </row>
    <row r="106" spans="1:2">
      <c r="A106" s="1022" t="s">
        <v>1629</v>
      </c>
      <c r="B106" s="980" t="s">
        <v>1638</v>
      </c>
    </row>
    <row r="107" spans="1:2">
      <c r="A107" s="1022" t="s">
        <v>1631</v>
      </c>
      <c r="B107" s="980" t="s">
        <v>1639</v>
      </c>
    </row>
    <row r="108" spans="1:2">
      <c r="A108" s="1022" t="s">
        <v>1584</v>
      </c>
      <c r="B108" s="980" t="s">
        <v>1640</v>
      </c>
    </row>
    <row r="110" spans="1:2" ht="15.6">
      <c r="A110" s="1018" t="s">
        <v>1473</v>
      </c>
    </row>
    <row r="112" spans="1:2">
      <c r="A112" s="1001" t="s">
        <v>1641</v>
      </c>
    </row>
    <row r="113" spans="1:2">
      <c r="A113" s="1022" t="s">
        <v>1634</v>
      </c>
      <c r="B113" s="980" t="s">
        <v>1642</v>
      </c>
    </row>
    <row r="114" spans="1:2">
      <c r="A114" s="1022" t="s">
        <v>1596</v>
      </c>
      <c r="B114" s="1001" t="s">
        <v>1595</v>
      </c>
    </row>
    <row r="115" spans="1:2">
      <c r="A115" s="1022" t="s">
        <v>1609</v>
      </c>
      <c r="B115" s="1001" t="s">
        <v>1597</v>
      </c>
    </row>
    <row r="116" spans="1:2">
      <c r="A116" s="1022" t="s">
        <v>1610</v>
      </c>
      <c r="B116" s="980" t="s">
        <v>1636</v>
      </c>
    </row>
    <row r="117" spans="1:2">
      <c r="A117" s="1022" t="s">
        <v>1612</v>
      </c>
      <c r="B117" s="1001" t="s">
        <v>1643</v>
      </c>
    </row>
    <row r="118" spans="1:2">
      <c r="A118" s="1022" t="s">
        <v>1629</v>
      </c>
      <c r="B118" s="1001" t="s">
        <v>1644</v>
      </c>
    </row>
    <row r="119" spans="1:2">
      <c r="A119" s="1022" t="s">
        <v>1631</v>
      </c>
      <c r="B119" s="1001" t="s">
        <v>1645</v>
      </c>
    </row>
    <row r="120" spans="1:2">
      <c r="A120" s="1022" t="s">
        <v>1646</v>
      </c>
      <c r="B120" s="1001" t="s">
        <v>1647</v>
      </c>
    </row>
    <row r="121" spans="1:2">
      <c r="A121" s="1022" t="s">
        <v>1648</v>
      </c>
      <c r="B121" s="1001" t="s">
        <v>1649</v>
      </c>
    </row>
    <row r="122" spans="1:2">
      <c r="A122" s="1022" t="s">
        <v>1650</v>
      </c>
      <c r="B122" s="1001" t="s">
        <v>1651</v>
      </c>
    </row>
    <row r="123" spans="1:2">
      <c r="A123" s="1022" t="s">
        <v>1652</v>
      </c>
      <c r="B123" s="1001" t="s">
        <v>1653</v>
      </c>
    </row>
    <row r="124" spans="1:2">
      <c r="A124" s="1022"/>
    </row>
    <row r="125" spans="1:2">
      <c r="A125" s="1024" t="s">
        <v>1654</v>
      </c>
    </row>
    <row r="127" spans="1:2">
      <c r="A127" s="1001" t="s">
        <v>1655</v>
      </c>
    </row>
  </sheetData>
  <hyperlinks>
    <hyperlink ref="A13" location="Produits!A1" display="Produits" xr:uid="{1F0E0868-72A9-46C5-88A4-A59ED778424A}"/>
    <hyperlink ref="A14" location="Secteurs!A1" display="Secteurs" xr:uid="{CEAD750D-85F2-4B62-847D-B28568D9CA9E}"/>
    <hyperlink ref="A21" location="Données!A1" display="Données" xr:uid="{97BE0590-37DC-4D1D-94D7-74C08BE1787E}"/>
    <hyperlink ref="A22" location="'Min Max'!A1" display="Min Max" xr:uid="{2E7239CF-BD93-4C2A-B5FF-C5687B959F0E}"/>
    <hyperlink ref="A24" location="Contraintes!A1" display="Contraintes" xr:uid="{AE40099D-C091-4D37-AD67-82425CEDEF4D}"/>
    <hyperlink ref="A27" location="Etiquettes!A1" display="Etiquettes" xr:uid="{F241AB64-9397-480B-BAE2-5E8EDBD0526E}"/>
    <hyperlink ref="A9" location="Méthodologie!A1" display="Méthodologie" xr:uid="{833E31A6-198B-4FBD-A874-525D0FAB8AB3}"/>
    <hyperlink ref="A42" location="Produits!A1" display="Produits" xr:uid="{20975E77-3C72-4D1E-8012-C107FD38C6FA}"/>
    <hyperlink ref="B42" location="Secteurs!A1" display="Secteurs" xr:uid="{16D4446D-6DA0-492B-A57F-0AD9C148E25B}"/>
    <hyperlink ref="A51" location="'Structure des flux'!A1" display="Structure des flux" xr:uid="{9BAA8508-14A8-4311-B137-2AAED1A34A16}"/>
    <hyperlink ref="A60" location="Données!A1" display="Données" xr:uid="{98FF6F48-13DE-461A-BD9B-D24114E101FE}"/>
    <hyperlink ref="B60" location="'Min Max'!A1" display="Min Max" xr:uid="{25617906-09B4-48BA-B206-0AEF2713D062}"/>
    <hyperlink ref="A71" location="Contraintes!A1" display="Contraintes" xr:uid="{BB09115A-31B8-4EC1-964A-C444D440DF29}"/>
    <hyperlink ref="A82" location="Etiquettes!A1" display="Etiquettes" xr:uid="{2DF59CF9-655A-41E1-9B7A-AC2F4F026082}"/>
    <hyperlink ref="A38" location="Méthodologie!A1" display="Méthodologie" xr:uid="{46450545-05D0-43D9-81D5-0073511061B6}"/>
    <hyperlink ref="A15" location="'Echanges territoires'!A1" display="Echanges territoires" xr:uid="{17C3FB2D-EC41-46FF-BC43-3F8778F957FE}"/>
    <hyperlink ref="A17" location="'Table emplois ressources'!A1" display="Table emplois ressources" xr:uid="{2F421A16-F261-46F2-BFD0-A74BFEC5FEE4}"/>
    <hyperlink ref="C42" location="'Echanges territoires'!A1" display="Echanges territoires" xr:uid="{239B7F1E-DCC2-4B8F-BA93-898817B3AD7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2688-B4B1-4705-AAB0-152EC94C4E56}">
  <dimension ref="A1:O140"/>
  <sheetViews>
    <sheetView zoomScaleNormal="100" workbookViewId="0">
      <pane xSplit="3" ySplit="3" topLeftCell="D4" activePane="bottomRight" state="frozen"/>
      <selection activeCell="O17" sqref="O17"/>
      <selection pane="topRight" activeCell="O17" sqref="O17"/>
      <selection pane="bottomLeft" activeCell="O17" sqref="O17"/>
      <selection pane="bottomRight" activeCell="A9" sqref="A1:O140"/>
    </sheetView>
  </sheetViews>
  <sheetFormatPr baseColWidth="10" defaultRowHeight="14.4"/>
  <cols>
    <col min="1" max="1" width="18.77734375" customWidth="1"/>
    <col min="2" max="2" width="15.6640625" customWidth="1"/>
    <col min="3" max="3" width="81.77734375" customWidth="1"/>
    <col min="4" max="6" width="6.77734375" bestFit="1" customWidth="1"/>
    <col min="7" max="7" width="6.5546875" bestFit="1" customWidth="1"/>
    <col min="8" max="8" width="6.77734375" bestFit="1" customWidth="1"/>
    <col min="9" max="9" width="6.5546875" bestFit="1" customWidth="1"/>
    <col min="10" max="15" width="7" customWidth="1"/>
  </cols>
  <sheetData>
    <row r="1" spans="1:15">
      <c r="B1" s="1067"/>
      <c r="C1" s="1067"/>
      <c r="D1" s="1067" t="s">
        <v>997</v>
      </c>
      <c r="E1" s="1067"/>
      <c r="F1" s="1067"/>
      <c r="G1" s="1067"/>
      <c r="H1" s="1067"/>
      <c r="I1" s="1067"/>
      <c r="J1" s="1067" t="s">
        <v>997</v>
      </c>
      <c r="K1" s="1067"/>
      <c r="L1" s="1067"/>
      <c r="M1" s="1067"/>
      <c r="N1" s="1067"/>
      <c r="O1" s="1067"/>
    </row>
    <row r="2" spans="1:15">
      <c r="A2" s="1067" t="s">
        <v>998</v>
      </c>
      <c r="B2" s="1067"/>
      <c r="C2" s="1067" t="s">
        <v>999</v>
      </c>
      <c r="D2" s="1068" t="str">
        <f>Etiquettes!$H$5</f>
        <v>2015-16</v>
      </c>
      <c r="E2" s="1068"/>
      <c r="F2" s="1068" t="str">
        <f>Etiquettes!$I$5</f>
        <v>2019-20</v>
      </c>
      <c r="G2" s="1068"/>
      <c r="H2" s="1068" t="str">
        <f>Etiquettes!$J$5</f>
        <v>2023-24</v>
      </c>
      <c r="I2" s="1068"/>
      <c r="J2" s="1068">
        <v>2015</v>
      </c>
      <c r="K2" s="1068"/>
      <c r="L2" s="1068">
        <v>2019</v>
      </c>
      <c r="M2" s="1068"/>
      <c r="N2" s="1068">
        <v>2023</v>
      </c>
      <c r="O2" s="1068"/>
    </row>
    <row r="3" spans="1:15">
      <c r="A3" t="s">
        <v>1000</v>
      </c>
      <c r="B3" s="907"/>
      <c r="C3" s="1067"/>
      <c r="D3" t="s">
        <v>708</v>
      </c>
      <c r="E3" t="s">
        <v>709</v>
      </c>
      <c r="F3" t="s">
        <v>708</v>
      </c>
      <c r="G3" t="s">
        <v>709</v>
      </c>
      <c r="H3" t="s">
        <v>708</v>
      </c>
      <c r="I3" t="s">
        <v>709</v>
      </c>
      <c r="J3" t="s">
        <v>708</v>
      </c>
      <c r="K3" t="s">
        <v>709</v>
      </c>
      <c r="L3" t="s">
        <v>708</v>
      </c>
      <c r="M3" t="s">
        <v>709</v>
      </c>
      <c r="N3" t="s">
        <v>708</v>
      </c>
      <c r="O3" t="s">
        <v>709</v>
      </c>
    </row>
    <row r="4" spans="1:15">
      <c r="A4" t="s">
        <v>1012</v>
      </c>
      <c r="B4" s="1027" t="s">
        <v>1001</v>
      </c>
      <c r="C4" t="str">
        <f>'Comext mensuel - EUROSTAT'!A13</f>
        <v>Olives, à l’état frais ou réfrigéré (à l'excl. des olives pour la production de l’huile)</v>
      </c>
      <c r="D4" s="909">
        <f>SUM('Comext mensuel - EUROSTAT'!B13,'Comext mensuel - EUROSTAT'!D13,'Comext mensuel - EUROSTAT'!F13,'Comext mensuel - EUROSTAT'!H13,'Comext mensuel - EUROSTAT'!J13,'Comext mensuel - EUROSTAT'!L13,'Comext mensuel - EUROSTAT'!N13,'Comext mensuel - EUROSTAT'!P13,'Comext mensuel - EUROSTAT'!R13,'Comext mensuel - EUROSTAT'!T13,'Comext mensuel - EUROSTAT'!V13,'Comext mensuel - EUROSTAT'!X13)/10^4</f>
        <v>1.2611030000000001</v>
      </c>
      <c r="E4" s="909">
        <f>SUM('Comext mensuel - EUROSTAT'!C13,'Comext mensuel - EUROSTAT'!E13,'Comext mensuel - EUROSTAT'!G13,'Comext mensuel - EUROSTAT'!I13,'Comext mensuel - EUROSTAT'!K13,'Comext mensuel - EUROSTAT'!M13,'Comext mensuel - EUROSTAT'!O13,'Comext mensuel - EUROSTAT'!Q13,'Comext mensuel - EUROSTAT'!S13,'Comext mensuel - EUROSTAT'!U13,'Comext mensuel - EUROSTAT'!W13,'Comext mensuel - EUROSTAT'!Y13)/10^4</f>
        <v>5.2399999999999999E-3</v>
      </c>
      <c r="F4" s="909">
        <f>SUM('Comext mensuel - EUROSTAT'!Z13,'Comext mensuel - EUROSTAT'!AB13,'Comext mensuel - EUROSTAT'!AD13,'Comext mensuel - EUROSTAT'!AF13,'Comext mensuel - EUROSTAT'!AH13,'Comext mensuel - EUROSTAT'!AJ13,'Comext mensuel - EUROSTAT'!AL13,'Comext mensuel - EUROSTAT'!AN13,'Comext mensuel - EUROSTAT'!AP13,'Comext mensuel - EUROSTAT'!AR13,'Comext mensuel - EUROSTAT'!AT13,'Comext mensuel - EUROSTAT'!AV13)/10^4</f>
        <v>1.478559</v>
      </c>
      <c r="G4" s="909">
        <f>SUM('Comext mensuel - EUROSTAT'!AA13,'Comext mensuel - EUROSTAT'!AC13,'Comext mensuel - EUROSTAT'!AE13,'Comext mensuel - EUROSTAT'!AG13,'Comext mensuel - EUROSTAT'!AI13,'Comext mensuel - EUROSTAT'!AK13,'Comext mensuel - EUROSTAT'!AM13,'Comext mensuel - EUROSTAT'!AO13,'Comext mensuel - EUROSTAT'!AQ13,'Comext mensuel - EUROSTAT'!AS13,'Comext mensuel - EUROSTAT'!AU13,'Comext mensuel - EUROSTAT'!AW13)/10^4</f>
        <v>3.5428999999999995E-2</v>
      </c>
      <c r="H4" s="909">
        <f>SUM('Comext mensuel - EUROSTAT'!AX13,'Comext mensuel - EUROSTAT'!AZ13,'Comext mensuel - EUROSTAT'!BB13,'Comext mensuel - EUROSTAT'!BD13,'Comext mensuel - EUROSTAT'!BF13,'Comext mensuel - EUROSTAT'!BH13,'Comext mensuel - EUROSTAT'!BJ13,'Comext mensuel - EUROSTAT'!BL13,'Comext mensuel - EUROSTAT'!BN13,'Comext mensuel - EUROSTAT'!BP13,'Comext mensuel - EUROSTAT'!BR13,'Comext mensuel - EUROSTAT'!BT13)/10^4</f>
        <v>1.2366929999999998</v>
      </c>
      <c r="I4" s="909">
        <f>SUM('Comext mensuel - EUROSTAT'!AY13,'Comext mensuel - EUROSTAT'!BA13,'Comext mensuel - EUROSTAT'!BC13,'Comext mensuel - EUROSTAT'!BE13,'Comext mensuel - EUROSTAT'!BG13,'Comext mensuel - EUROSTAT'!BI13,'Comext mensuel - EUROSTAT'!BK13,'Comext mensuel - EUROSTAT'!BM13,'Comext mensuel - EUROSTAT'!BO13,'Comext mensuel - EUROSTAT'!BQ13,'Comext mensuel - EUROSTAT'!BS13,'Comext mensuel - EUROSTAT'!BU13)/10^4</f>
        <v>0.117702</v>
      </c>
      <c r="J4" s="921">
        <f>'Comext annuel - EUROSTAT'!C13/10^4</f>
        <v>1.471689</v>
      </c>
      <c r="K4" s="921">
        <f>'Comext annuel - EUROSTAT'!D13/10^4</f>
        <v>9.2589999999999999E-3</v>
      </c>
      <c r="L4" s="921">
        <f>'Comext annuel - EUROSTAT'!E13/10^4</f>
        <v>1.4507459999999999</v>
      </c>
      <c r="M4" s="921">
        <f>'Comext annuel - EUROSTAT'!F13/10^4</f>
        <v>3.4676999999999999E-2</v>
      </c>
      <c r="N4" s="921">
        <f>'Comext annuel - EUROSTAT'!G13/10^4</f>
        <v>1.5240180000000001</v>
      </c>
      <c r="O4" s="921">
        <f>'Comext annuel - EUROSTAT'!H13/10^4</f>
        <v>0.14194500000000002</v>
      </c>
    </row>
    <row r="5" spans="1:15">
      <c r="A5" t="s">
        <v>1012</v>
      </c>
      <c r="B5" s="1027"/>
      <c r="C5" t="str">
        <f>'Comext mensuel - EUROSTAT'!A14</f>
        <v>Olives, à l’état frais ou réfrigéré, pour la production de l’huile</v>
      </c>
      <c r="D5" s="909">
        <f>SUM('Comext mensuel - EUROSTAT'!B14,'Comext mensuel - EUROSTAT'!D14,'Comext mensuel - EUROSTAT'!F14,'Comext mensuel - EUROSTAT'!H14,'Comext mensuel - EUROSTAT'!J14,'Comext mensuel - EUROSTAT'!L14,'Comext mensuel - EUROSTAT'!N14,'Comext mensuel - EUROSTAT'!P14,'Comext mensuel - EUROSTAT'!R14,'Comext mensuel - EUROSTAT'!T14,'Comext mensuel - EUROSTAT'!V14,'Comext mensuel - EUROSTAT'!X14)/10^4</f>
        <v>0.96753199999999995</v>
      </c>
      <c r="E5" s="909">
        <f>SUM('Comext mensuel - EUROSTAT'!C14,'Comext mensuel - EUROSTAT'!E14,'Comext mensuel - EUROSTAT'!G14,'Comext mensuel - EUROSTAT'!I14,'Comext mensuel - EUROSTAT'!K14,'Comext mensuel - EUROSTAT'!M14,'Comext mensuel - EUROSTAT'!O14,'Comext mensuel - EUROSTAT'!Q14,'Comext mensuel - EUROSTAT'!S14,'Comext mensuel - EUROSTAT'!U14,'Comext mensuel - EUROSTAT'!W14,'Comext mensuel - EUROSTAT'!Y14)/10^4</f>
        <v>5.7754E-2</v>
      </c>
      <c r="F5" s="909">
        <f>SUM('Comext mensuel - EUROSTAT'!Z14,'Comext mensuel - EUROSTAT'!AB14,'Comext mensuel - EUROSTAT'!AD14,'Comext mensuel - EUROSTAT'!AF14,'Comext mensuel - EUROSTAT'!AH14,'Comext mensuel - EUROSTAT'!AJ14,'Comext mensuel - EUROSTAT'!AL14,'Comext mensuel - EUROSTAT'!AN14,'Comext mensuel - EUROSTAT'!AP14,'Comext mensuel - EUROSTAT'!AR14,'Comext mensuel - EUROSTAT'!AT14,'Comext mensuel - EUROSTAT'!AV14)/10^4</f>
        <v>7.6784000000000005E-2</v>
      </c>
      <c r="G5" s="909">
        <f>SUM('Comext mensuel - EUROSTAT'!AA14,'Comext mensuel - EUROSTAT'!AC14,'Comext mensuel - EUROSTAT'!AE14,'Comext mensuel - EUROSTAT'!AG14,'Comext mensuel - EUROSTAT'!AI14,'Comext mensuel - EUROSTAT'!AK14,'Comext mensuel - EUROSTAT'!AM14,'Comext mensuel - EUROSTAT'!AO14,'Comext mensuel - EUROSTAT'!AQ14,'Comext mensuel - EUROSTAT'!AS14,'Comext mensuel - EUROSTAT'!AU14,'Comext mensuel - EUROSTAT'!AW14)/10^4</f>
        <v>3.6500000000000005E-2</v>
      </c>
      <c r="H5" s="909">
        <f>SUM('Comext mensuel - EUROSTAT'!AX14,'Comext mensuel - EUROSTAT'!AZ14,'Comext mensuel - EUROSTAT'!BB14,'Comext mensuel - EUROSTAT'!BD14,'Comext mensuel - EUROSTAT'!BF14,'Comext mensuel - EUROSTAT'!BH14,'Comext mensuel - EUROSTAT'!BJ14,'Comext mensuel - EUROSTAT'!BL14,'Comext mensuel - EUROSTAT'!BN14,'Comext mensuel - EUROSTAT'!BP14,'Comext mensuel - EUROSTAT'!BR14,'Comext mensuel - EUROSTAT'!BT14)/10^4</f>
        <v>0.29193400000000008</v>
      </c>
      <c r="I5" s="909">
        <f>SUM('Comext mensuel - EUROSTAT'!AY14,'Comext mensuel - EUROSTAT'!BA14,'Comext mensuel - EUROSTAT'!BC14,'Comext mensuel - EUROSTAT'!BE14,'Comext mensuel - EUROSTAT'!BG14,'Comext mensuel - EUROSTAT'!BI14,'Comext mensuel - EUROSTAT'!BK14,'Comext mensuel - EUROSTAT'!BM14,'Comext mensuel - EUROSTAT'!BO14,'Comext mensuel - EUROSTAT'!BQ14,'Comext mensuel - EUROSTAT'!BS14,'Comext mensuel - EUROSTAT'!BU14)/10^4</f>
        <v>3.7568000000000004E-2</v>
      </c>
      <c r="J5" s="921">
        <f>'Comext annuel - EUROSTAT'!C14/10^4</f>
        <v>3.9593999999999997E-2</v>
      </c>
      <c r="K5" s="921">
        <f>'Comext annuel - EUROSTAT'!D14/10^4</f>
        <v>6.3292000000000001E-2</v>
      </c>
      <c r="L5" s="921">
        <f>'Comext annuel - EUROSTAT'!E14/10^4</f>
        <v>0.124653</v>
      </c>
      <c r="M5" s="921">
        <f>'Comext annuel - EUROSTAT'!F14/10^4</f>
        <v>3.0681E-2</v>
      </c>
      <c r="N5" s="921">
        <f>'Comext annuel - EUROSTAT'!G14/10^4</f>
        <v>0.33040000000000003</v>
      </c>
      <c r="O5" s="921">
        <f>'Comext annuel - EUROSTAT'!H14/10^4</f>
        <v>7.7687999999999993E-2</v>
      </c>
    </row>
    <row r="6" spans="1:15">
      <c r="A6" t="s">
        <v>1012</v>
      </c>
      <c r="B6" s="1027" t="s">
        <v>1013</v>
      </c>
      <c r="C6" t="str">
        <f>'Comext mensuel - EUROSTAT'!A15</f>
        <v>Olives, non cuites ou cuites à l'eau ou à la vapeur, congelées</v>
      </c>
      <c r="D6" s="909">
        <f>SUM('Comext mensuel - EUROSTAT'!B15,'Comext mensuel - EUROSTAT'!D15,'Comext mensuel - EUROSTAT'!F15,'Comext mensuel - EUROSTAT'!H15,'Comext mensuel - EUROSTAT'!J15,'Comext mensuel - EUROSTAT'!L15,'Comext mensuel - EUROSTAT'!N15,'Comext mensuel - EUROSTAT'!P15,'Comext mensuel - EUROSTAT'!R15,'Comext mensuel - EUROSTAT'!T15,'Comext mensuel - EUROSTAT'!V15,'Comext mensuel - EUROSTAT'!X15)/10^4</f>
        <v>3.562651999999999</v>
      </c>
      <c r="E6" s="909">
        <f>SUM('Comext mensuel - EUROSTAT'!C15,'Comext mensuel - EUROSTAT'!E15,'Comext mensuel - EUROSTAT'!G15,'Comext mensuel - EUROSTAT'!I15,'Comext mensuel - EUROSTAT'!K15,'Comext mensuel - EUROSTAT'!M15,'Comext mensuel - EUROSTAT'!O15,'Comext mensuel - EUROSTAT'!Q15,'Comext mensuel - EUROSTAT'!S15,'Comext mensuel - EUROSTAT'!U15,'Comext mensuel - EUROSTAT'!W15,'Comext mensuel - EUROSTAT'!Y15)/10^4</f>
        <v>0.78097900000000009</v>
      </c>
      <c r="F6" s="909">
        <f>SUM('Comext mensuel - EUROSTAT'!Z15,'Comext mensuel - EUROSTAT'!AB15,'Comext mensuel - EUROSTAT'!AD15,'Comext mensuel - EUROSTAT'!AF15,'Comext mensuel - EUROSTAT'!AH15,'Comext mensuel - EUROSTAT'!AJ15,'Comext mensuel - EUROSTAT'!AL15,'Comext mensuel - EUROSTAT'!AN15,'Comext mensuel - EUROSTAT'!AP15,'Comext mensuel - EUROSTAT'!AR15,'Comext mensuel - EUROSTAT'!AT15,'Comext mensuel - EUROSTAT'!AV15)/10^4</f>
        <v>1.3221329999999998</v>
      </c>
      <c r="G6" s="909">
        <f>SUM('Comext mensuel - EUROSTAT'!AA15,'Comext mensuel - EUROSTAT'!AC15,'Comext mensuel - EUROSTAT'!AE15,'Comext mensuel - EUROSTAT'!AG15,'Comext mensuel - EUROSTAT'!AI15,'Comext mensuel - EUROSTAT'!AK15,'Comext mensuel - EUROSTAT'!AM15,'Comext mensuel - EUROSTAT'!AO15,'Comext mensuel - EUROSTAT'!AQ15,'Comext mensuel - EUROSTAT'!AS15,'Comext mensuel - EUROSTAT'!AU15,'Comext mensuel - EUROSTAT'!AW15)/10^4</f>
        <v>0.13093299999999999</v>
      </c>
      <c r="H6" s="909">
        <f>SUM('Comext mensuel - EUROSTAT'!AX15,'Comext mensuel - EUROSTAT'!AZ15,'Comext mensuel - EUROSTAT'!BB15,'Comext mensuel - EUROSTAT'!BD15,'Comext mensuel - EUROSTAT'!BF15,'Comext mensuel - EUROSTAT'!BH15,'Comext mensuel - EUROSTAT'!BJ15,'Comext mensuel - EUROSTAT'!BL15,'Comext mensuel - EUROSTAT'!BN15,'Comext mensuel - EUROSTAT'!BP15,'Comext mensuel - EUROSTAT'!BR15,'Comext mensuel - EUROSTAT'!BT15)/10^4</f>
        <v>0.58052099999999995</v>
      </c>
      <c r="I6" s="909">
        <f>SUM('Comext mensuel - EUROSTAT'!AY15,'Comext mensuel - EUROSTAT'!BA15,'Comext mensuel - EUROSTAT'!BC15,'Comext mensuel - EUROSTAT'!BE15,'Comext mensuel - EUROSTAT'!BG15,'Comext mensuel - EUROSTAT'!BI15,'Comext mensuel - EUROSTAT'!BK15,'Comext mensuel - EUROSTAT'!BM15,'Comext mensuel - EUROSTAT'!BO15,'Comext mensuel - EUROSTAT'!BQ15,'Comext mensuel - EUROSTAT'!BS15,'Comext mensuel - EUROSTAT'!BU15)/10^4</f>
        <v>8.0375000000000002E-2</v>
      </c>
      <c r="J6" s="921">
        <f>'Comext annuel - EUROSTAT'!C15/10^4</f>
        <v>5.2185499999999996</v>
      </c>
      <c r="K6" s="921">
        <f>'Comext annuel - EUROSTAT'!D15/10^4</f>
        <v>1.3858409999999999</v>
      </c>
      <c r="L6" s="921">
        <f>'Comext annuel - EUROSTAT'!E15/10^4</f>
        <v>1.350041</v>
      </c>
      <c r="M6" s="921">
        <f>'Comext annuel - EUROSTAT'!F15/10^4</f>
        <v>2.9876999999999997E-2</v>
      </c>
      <c r="N6" s="921">
        <f>'Comext annuel - EUROSTAT'!G15/10^4</f>
        <v>0.53723399999999999</v>
      </c>
      <c r="O6" s="921">
        <f>'Comext annuel - EUROSTAT'!H15/10^4</f>
        <v>3.8057000000000001E-2</v>
      </c>
    </row>
    <row r="7" spans="1:15">
      <c r="A7" t="s">
        <v>1012</v>
      </c>
      <c r="B7" s="1027"/>
      <c r="C7" t="str">
        <f>'Comext mensuel - EUROSTAT'!A16</f>
        <v>Olives (autres que pour la production de l'huile), conservées provisoirement {p.ex. au moyen de gaz sulfureux ou dans de l'eau salée, soufrée ou additionnée d'autres substances servant à assurer provisoirement leur conservation}, mais impropres à l'alimentation en l'état</v>
      </c>
      <c r="D7" s="909">
        <f>SUM('Comext mensuel - EUROSTAT'!B16,'Comext mensuel - EUROSTAT'!D16,'Comext mensuel - EUROSTAT'!F16,'Comext mensuel - EUROSTAT'!H16,'Comext mensuel - EUROSTAT'!J16,'Comext mensuel - EUROSTAT'!L16,'Comext mensuel - EUROSTAT'!N16,'Comext mensuel - EUROSTAT'!P16,'Comext mensuel - EUROSTAT'!R16,'Comext mensuel - EUROSTAT'!T16,'Comext mensuel - EUROSTAT'!V16,'Comext mensuel - EUROSTAT'!X16)/10^4</f>
        <v>1.3874170000000001</v>
      </c>
      <c r="E7" s="909">
        <f>SUM('Comext mensuel - EUROSTAT'!C16,'Comext mensuel - EUROSTAT'!E16,'Comext mensuel - EUROSTAT'!G16,'Comext mensuel - EUROSTAT'!I16,'Comext mensuel - EUROSTAT'!K16,'Comext mensuel - EUROSTAT'!M16,'Comext mensuel - EUROSTAT'!O16,'Comext mensuel - EUROSTAT'!Q16,'Comext mensuel - EUROSTAT'!S16,'Comext mensuel - EUROSTAT'!U16,'Comext mensuel - EUROSTAT'!W16,'Comext mensuel - EUROSTAT'!Y16)/10^4</f>
        <v>1.57E-3</v>
      </c>
      <c r="F7" s="909">
        <f>SUM('Comext mensuel - EUROSTAT'!Z16,'Comext mensuel - EUROSTAT'!AB16,'Comext mensuel - EUROSTAT'!AD16,'Comext mensuel - EUROSTAT'!AF16,'Comext mensuel - EUROSTAT'!AH16,'Comext mensuel - EUROSTAT'!AJ16,'Comext mensuel - EUROSTAT'!AL16,'Comext mensuel - EUROSTAT'!AN16,'Comext mensuel - EUROSTAT'!AP16,'Comext mensuel - EUROSTAT'!AR16,'Comext mensuel - EUROSTAT'!AT16,'Comext mensuel - EUROSTAT'!AV16)/10^4</f>
        <v>2.4166790000000002</v>
      </c>
      <c r="G7" s="909">
        <f>SUM('Comext mensuel - EUROSTAT'!AA16,'Comext mensuel - EUROSTAT'!AC16,'Comext mensuel - EUROSTAT'!AE16,'Comext mensuel - EUROSTAT'!AG16,'Comext mensuel - EUROSTAT'!AI16,'Comext mensuel - EUROSTAT'!AK16,'Comext mensuel - EUROSTAT'!AM16,'Comext mensuel - EUROSTAT'!AO16,'Comext mensuel - EUROSTAT'!AQ16,'Comext mensuel - EUROSTAT'!AS16,'Comext mensuel - EUROSTAT'!AU16,'Comext mensuel - EUROSTAT'!AW16)/10^4</f>
        <v>1.4312E-2</v>
      </c>
      <c r="H7" s="909">
        <f>SUM('Comext mensuel - EUROSTAT'!AX16,'Comext mensuel - EUROSTAT'!AZ16,'Comext mensuel - EUROSTAT'!BB16,'Comext mensuel - EUROSTAT'!BD16,'Comext mensuel - EUROSTAT'!BF16,'Comext mensuel - EUROSTAT'!BH16,'Comext mensuel - EUROSTAT'!BJ16,'Comext mensuel - EUROSTAT'!BL16,'Comext mensuel - EUROSTAT'!BN16,'Comext mensuel - EUROSTAT'!BP16,'Comext mensuel - EUROSTAT'!BR16,'Comext mensuel - EUROSTAT'!BT16)/10^4</f>
        <v>4.4244310000000002</v>
      </c>
      <c r="I7" s="909">
        <f>SUM('Comext mensuel - EUROSTAT'!AY16,'Comext mensuel - EUROSTAT'!BA16,'Comext mensuel - EUROSTAT'!BC16,'Comext mensuel - EUROSTAT'!BE16,'Comext mensuel - EUROSTAT'!BG16,'Comext mensuel - EUROSTAT'!BI16,'Comext mensuel - EUROSTAT'!BK16,'Comext mensuel - EUROSTAT'!BM16,'Comext mensuel - EUROSTAT'!BO16,'Comext mensuel - EUROSTAT'!BQ16,'Comext mensuel - EUROSTAT'!BS16,'Comext mensuel - EUROSTAT'!BU16)/10^4</f>
        <v>0.13430900000000001</v>
      </c>
      <c r="J7" s="921">
        <f>'Comext annuel - EUROSTAT'!C16/10^4</f>
        <v>1.379189</v>
      </c>
      <c r="K7" s="921">
        <f>'Comext annuel - EUROSTAT'!D16/10^4</f>
        <v>1.023E-3</v>
      </c>
      <c r="L7" s="921">
        <f>'Comext annuel - EUROSTAT'!E16/10^4</f>
        <v>2.859067</v>
      </c>
      <c r="M7" s="921">
        <f>'Comext annuel - EUROSTAT'!F16/10^4</f>
        <v>1.1692000000000001E-2</v>
      </c>
      <c r="N7" s="921">
        <f>'Comext annuel - EUROSTAT'!G16/10^4</f>
        <v>4.7076390000000004</v>
      </c>
      <c r="O7" s="921">
        <f>'Comext annuel - EUROSTAT'!H16/10^4</f>
        <v>5.4789999999999995E-3</v>
      </c>
    </row>
    <row r="8" spans="1:15">
      <c r="A8" t="s">
        <v>1012</v>
      </c>
      <c r="B8" s="1027"/>
      <c r="C8" t="str">
        <f>'Comext mensuel - EUROSTAT'!A17</f>
        <v>Olives destinées à la production de l'huile, conservées provisoirement {p.ex. au moyen de gaz sulfureux ou dans de l'eau salée, soufrée ou additionnée d'autres substances servant à assurer provisoirement leur conservation}, mais impropres à l'alimentation en l'état</v>
      </c>
      <c r="D8" s="909">
        <f>SUM('Comext mensuel - EUROSTAT'!B17,'Comext mensuel - EUROSTAT'!D17,'Comext mensuel - EUROSTAT'!F17,'Comext mensuel - EUROSTAT'!H17,'Comext mensuel - EUROSTAT'!J17,'Comext mensuel - EUROSTAT'!L17,'Comext mensuel - EUROSTAT'!N17,'Comext mensuel - EUROSTAT'!P17,'Comext mensuel - EUROSTAT'!R17,'Comext mensuel - EUROSTAT'!T17,'Comext mensuel - EUROSTAT'!V17,'Comext mensuel - EUROSTAT'!X17)/10^4</f>
        <v>6.4891999999999991E-2</v>
      </c>
      <c r="E8" s="909">
        <f>SUM('Comext mensuel - EUROSTAT'!C17,'Comext mensuel - EUROSTAT'!E17,'Comext mensuel - EUROSTAT'!G17,'Comext mensuel - EUROSTAT'!I17,'Comext mensuel - EUROSTAT'!K17,'Comext mensuel - EUROSTAT'!M17,'Comext mensuel - EUROSTAT'!O17,'Comext mensuel - EUROSTAT'!Q17,'Comext mensuel - EUROSTAT'!S17,'Comext mensuel - EUROSTAT'!U17,'Comext mensuel - EUROSTAT'!W17,'Comext mensuel - EUROSTAT'!Y17)/10^4</f>
        <v>2.1957999999999998E-2</v>
      </c>
      <c r="F8" s="909">
        <f>SUM('Comext mensuel - EUROSTAT'!Z17,'Comext mensuel - EUROSTAT'!AB17,'Comext mensuel - EUROSTAT'!AD17,'Comext mensuel - EUROSTAT'!AF17,'Comext mensuel - EUROSTAT'!AH17,'Comext mensuel - EUROSTAT'!AJ17,'Comext mensuel - EUROSTAT'!AL17,'Comext mensuel - EUROSTAT'!AN17,'Comext mensuel - EUROSTAT'!AP17,'Comext mensuel - EUROSTAT'!AR17,'Comext mensuel - EUROSTAT'!AT17,'Comext mensuel - EUROSTAT'!AV17)/10^4</f>
        <v>2.6405000000000001E-2</v>
      </c>
      <c r="G8" s="909">
        <f>SUM('Comext mensuel - EUROSTAT'!AA17,'Comext mensuel - EUROSTAT'!AC17,'Comext mensuel - EUROSTAT'!AE17,'Comext mensuel - EUROSTAT'!AG17,'Comext mensuel - EUROSTAT'!AI17,'Comext mensuel - EUROSTAT'!AK17,'Comext mensuel - EUROSTAT'!AM17,'Comext mensuel - EUROSTAT'!AO17,'Comext mensuel - EUROSTAT'!AQ17,'Comext mensuel - EUROSTAT'!AS17,'Comext mensuel - EUROSTAT'!AU17,'Comext mensuel - EUROSTAT'!AW17)/10^4</f>
        <v>4.9347000000000002E-2</v>
      </c>
      <c r="H8" s="909">
        <f>SUM('Comext mensuel - EUROSTAT'!AX17,'Comext mensuel - EUROSTAT'!AZ17,'Comext mensuel - EUROSTAT'!BB17,'Comext mensuel - EUROSTAT'!BD17,'Comext mensuel - EUROSTAT'!BF17,'Comext mensuel - EUROSTAT'!BH17,'Comext mensuel - EUROSTAT'!BJ17,'Comext mensuel - EUROSTAT'!BL17,'Comext mensuel - EUROSTAT'!BN17,'Comext mensuel - EUROSTAT'!BP17,'Comext mensuel - EUROSTAT'!BR17,'Comext mensuel - EUROSTAT'!BT17)/10^4</f>
        <v>5.2752999999999994E-2</v>
      </c>
      <c r="I8" s="909">
        <f>SUM('Comext mensuel - EUROSTAT'!AY17,'Comext mensuel - EUROSTAT'!BA17,'Comext mensuel - EUROSTAT'!BC17,'Comext mensuel - EUROSTAT'!BE17,'Comext mensuel - EUROSTAT'!BG17,'Comext mensuel - EUROSTAT'!BI17,'Comext mensuel - EUROSTAT'!BK17,'Comext mensuel - EUROSTAT'!BM17,'Comext mensuel - EUROSTAT'!BO17,'Comext mensuel - EUROSTAT'!BQ17,'Comext mensuel - EUROSTAT'!BS17,'Comext mensuel - EUROSTAT'!BU17)/10^4</f>
        <v>6.3978999999999994E-2</v>
      </c>
      <c r="J8" s="921">
        <f>'Comext annuel - EUROSTAT'!C17/10^4</f>
        <v>0.11205799999999999</v>
      </c>
      <c r="K8" s="921">
        <f>'Comext annuel - EUROSTAT'!D17/10^4</f>
        <v>2.4533000000000003E-2</v>
      </c>
      <c r="L8" s="921">
        <f>'Comext annuel - EUROSTAT'!E17/10^4</f>
        <v>5.0970999999999995E-2</v>
      </c>
      <c r="M8" s="921">
        <f>'Comext annuel - EUROSTAT'!F17/10^4</f>
        <v>2.7989999999999998E-2</v>
      </c>
      <c r="N8" s="921">
        <f>'Comext annuel - EUROSTAT'!G17/10^4</f>
        <v>2.2981000000000001E-2</v>
      </c>
      <c r="O8" s="921">
        <f>'Comext annuel - EUROSTAT'!H17/10^4</f>
        <v>3.4308999999999999E-2</v>
      </c>
    </row>
    <row r="9" spans="1:15">
      <c r="A9" t="s">
        <v>87</v>
      </c>
      <c r="B9" s="1027" t="s">
        <v>1001</v>
      </c>
      <c r="C9" t="str">
        <f>'Comext mensuel - EUROSTAT'!A18</f>
        <v>Pois 'Pisum Sativum', secs, écossés, destinés à l'ensemencement</v>
      </c>
      <c r="D9" s="909">
        <f>SUM('Comext mensuel - EUROSTAT'!B18,'Comext mensuel - EUROSTAT'!D18,'Comext mensuel - EUROSTAT'!F18,'Comext mensuel - EUROSTAT'!H18,'Comext mensuel - EUROSTAT'!J18,'Comext mensuel - EUROSTAT'!L18,'Comext mensuel - EUROSTAT'!N18,'Comext mensuel - EUROSTAT'!P18,'Comext mensuel - EUROSTAT'!R18,'Comext mensuel - EUROSTAT'!T18,'Comext mensuel - EUROSTAT'!V18,'Comext mensuel - EUROSTAT'!X18)/10^4</f>
        <v>3.7869739999999998</v>
      </c>
      <c r="E9" s="909">
        <f>SUM('Comext mensuel - EUROSTAT'!C18,'Comext mensuel - EUROSTAT'!E18,'Comext mensuel - EUROSTAT'!G18,'Comext mensuel - EUROSTAT'!I18,'Comext mensuel - EUROSTAT'!K18,'Comext mensuel - EUROSTAT'!M18,'Comext mensuel - EUROSTAT'!O18,'Comext mensuel - EUROSTAT'!Q18,'Comext mensuel - EUROSTAT'!S18,'Comext mensuel - EUROSTAT'!U18,'Comext mensuel - EUROSTAT'!W18,'Comext mensuel - EUROSTAT'!Y18)/10^4</f>
        <v>11.666639999999999</v>
      </c>
      <c r="F9" s="909">
        <f>SUM('Comext mensuel - EUROSTAT'!Z18,'Comext mensuel - EUROSTAT'!AB18,'Comext mensuel - EUROSTAT'!AD18,'Comext mensuel - EUROSTAT'!AF18,'Comext mensuel - EUROSTAT'!AH18,'Comext mensuel - EUROSTAT'!AJ18,'Comext mensuel - EUROSTAT'!AL18,'Comext mensuel - EUROSTAT'!AN18,'Comext mensuel - EUROSTAT'!AP18,'Comext mensuel - EUROSTAT'!AR18,'Comext mensuel - EUROSTAT'!AT18,'Comext mensuel - EUROSTAT'!AV18)/10^4</f>
        <v>4.6125570000000007</v>
      </c>
      <c r="G9" s="909">
        <f>SUM('Comext mensuel - EUROSTAT'!AA18,'Comext mensuel - EUROSTAT'!AC18,'Comext mensuel - EUROSTAT'!AE18,'Comext mensuel - EUROSTAT'!AG18,'Comext mensuel - EUROSTAT'!AI18,'Comext mensuel - EUROSTAT'!AK18,'Comext mensuel - EUROSTAT'!AM18,'Comext mensuel - EUROSTAT'!AO18,'Comext mensuel - EUROSTAT'!AQ18,'Comext mensuel - EUROSTAT'!AS18,'Comext mensuel - EUROSTAT'!AU18,'Comext mensuel - EUROSTAT'!AW18)/10^4</f>
        <v>11.811428000000001</v>
      </c>
      <c r="H9" s="909">
        <f>SUM('Comext mensuel - EUROSTAT'!AX18,'Comext mensuel - EUROSTAT'!AZ18,'Comext mensuel - EUROSTAT'!BB18,'Comext mensuel - EUROSTAT'!BD18,'Comext mensuel - EUROSTAT'!BF18,'Comext mensuel - EUROSTAT'!BH18,'Comext mensuel - EUROSTAT'!BJ18,'Comext mensuel - EUROSTAT'!BL18,'Comext mensuel - EUROSTAT'!BN18,'Comext mensuel - EUROSTAT'!BP18,'Comext mensuel - EUROSTAT'!BR18,'Comext mensuel - EUROSTAT'!BT18)/10^4</f>
        <v>6.0935579999999998</v>
      </c>
      <c r="I9" s="909">
        <f>SUM('Comext mensuel - EUROSTAT'!AY18,'Comext mensuel - EUROSTAT'!BA18,'Comext mensuel - EUROSTAT'!BC18,'Comext mensuel - EUROSTAT'!BE18,'Comext mensuel - EUROSTAT'!BG18,'Comext mensuel - EUROSTAT'!BI18,'Comext mensuel - EUROSTAT'!BK18,'Comext mensuel - EUROSTAT'!BM18,'Comext mensuel - EUROSTAT'!BO18,'Comext mensuel - EUROSTAT'!BQ18,'Comext mensuel - EUROSTAT'!BS18,'Comext mensuel - EUROSTAT'!BU18)/10^4</f>
        <v>14.370578</v>
      </c>
      <c r="J9" s="911">
        <f>'Comext annuel - EUROSTAT'!C18/10^4</f>
        <v>3.6289929999999999</v>
      </c>
      <c r="K9" s="911">
        <f>'Comext annuel - EUROSTAT'!D18/10^4</f>
        <v>11.741103000000001</v>
      </c>
      <c r="L9" s="911">
        <f>'Comext annuel - EUROSTAT'!E18/10^4</f>
        <v>4.7526910000000004</v>
      </c>
      <c r="M9" s="911">
        <f>'Comext annuel - EUROSTAT'!F18/10^4</f>
        <v>11.513728</v>
      </c>
      <c r="N9" s="911">
        <f>'Comext annuel - EUROSTAT'!G18/10^4</f>
        <v>7.3881020000000008</v>
      </c>
      <c r="O9" s="911">
        <f>'Comext annuel - EUROSTAT'!H18/10^4</f>
        <v>16.077043</v>
      </c>
    </row>
    <row r="10" spans="1:15">
      <c r="A10" t="s">
        <v>87</v>
      </c>
      <c r="B10" s="1027"/>
      <c r="C10" t="str">
        <f>'Comext mensuel - EUROSTAT'!A19</f>
        <v>Pois 'Pisum Sativum', secs, écossés, même décortiqués ou cassés (à l'excl. des pois destinés à l'ensemencement)</v>
      </c>
      <c r="D10" s="909">
        <f>SUM('Comext mensuel - EUROSTAT'!B19,'Comext mensuel - EUROSTAT'!D19,'Comext mensuel - EUROSTAT'!F19,'Comext mensuel - EUROSTAT'!H19,'Comext mensuel - EUROSTAT'!J19,'Comext mensuel - EUROSTAT'!L19,'Comext mensuel - EUROSTAT'!N19,'Comext mensuel - EUROSTAT'!P19,'Comext mensuel - EUROSTAT'!R19,'Comext mensuel - EUROSTAT'!T19,'Comext mensuel - EUROSTAT'!V19,'Comext mensuel - EUROSTAT'!X19)/10^4</f>
        <v>5.505776</v>
      </c>
      <c r="E10" s="909">
        <f>SUM('Comext mensuel - EUROSTAT'!C19,'Comext mensuel - EUROSTAT'!E19,'Comext mensuel - EUROSTAT'!G19,'Comext mensuel - EUROSTAT'!I19,'Comext mensuel - EUROSTAT'!K19,'Comext mensuel - EUROSTAT'!M19,'Comext mensuel - EUROSTAT'!O19,'Comext mensuel - EUROSTAT'!Q19,'Comext mensuel - EUROSTAT'!S19,'Comext mensuel - EUROSTAT'!U19,'Comext mensuel - EUROSTAT'!W19,'Comext mensuel - EUROSTAT'!Y19)/10^4</f>
        <v>322.02852799999999</v>
      </c>
      <c r="F10" s="909">
        <f>SUM('Comext mensuel - EUROSTAT'!Z19,'Comext mensuel - EUROSTAT'!AB19,'Comext mensuel - EUROSTAT'!AD19,'Comext mensuel - EUROSTAT'!AF19,'Comext mensuel - EUROSTAT'!AH19,'Comext mensuel - EUROSTAT'!AJ19,'Comext mensuel - EUROSTAT'!AL19,'Comext mensuel - EUROSTAT'!AN19,'Comext mensuel - EUROSTAT'!AP19,'Comext mensuel - EUROSTAT'!AR19,'Comext mensuel - EUROSTAT'!AT19,'Comext mensuel - EUROSTAT'!AV19)/10^4</f>
        <v>14.216395</v>
      </c>
      <c r="G10" s="909">
        <f>SUM('Comext mensuel - EUROSTAT'!AA19,'Comext mensuel - EUROSTAT'!AC19,'Comext mensuel - EUROSTAT'!AE19,'Comext mensuel - EUROSTAT'!AG19,'Comext mensuel - EUROSTAT'!AI19,'Comext mensuel - EUROSTAT'!AK19,'Comext mensuel - EUROSTAT'!AM19,'Comext mensuel - EUROSTAT'!AO19,'Comext mensuel - EUROSTAT'!AQ19,'Comext mensuel - EUROSTAT'!AS19,'Comext mensuel - EUROSTAT'!AU19,'Comext mensuel - EUROSTAT'!AW19)/10^4</f>
        <v>262.76637699999998</v>
      </c>
      <c r="H10" s="909">
        <f>SUM('Comext mensuel - EUROSTAT'!AX19,'Comext mensuel - EUROSTAT'!AZ19,'Comext mensuel - EUROSTAT'!BB19,'Comext mensuel - EUROSTAT'!BD19,'Comext mensuel - EUROSTAT'!BF19,'Comext mensuel - EUROSTAT'!BH19,'Comext mensuel - EUROSTAT'!BJ19,'Comext mensuel - EUROSTAT'!BL19,'Comext mensuel - EUROSTAT'!BN19,'Comext mensuel - EUROSTAT'!BP19,'Comext mensuel - EUROSTAT'!BR19,'Comext mensuel - EUROSTAT'!BT19)/10^4</f>
        <v>15.304951000000001</v>
      </c>
      <c r="I10" s="909">
        <f>SUM('Comext mensuel - EUROSTAT'!AY19,'Comext mensuel - EUROSTAT'!BA19,'Comext mensuel - EUROSTAT'!BC19,'Comext mensuel - EUROSTAT'!BE19,'Comext mensuel - EUROSTAT'!BG19,'Comext mensuel - EUROSTAT'!BI19,'Comext mensuel - EUROSTAT'!BK19,'Comext mensuel - EUROSTAT'!BM19,'Comext mensuel - EUROSTAT'!BO19,'Comext mensuel - EUROSTAT'!BQ19,'Comext mensuel - EUROSTAT'!BS19,'Comext mensuel - EUROSTAT'!BU19)/10^4</f>
        <v>254.085081</v>
      </c>
      <c r="J10" s="911">
        <f>'Comext annuel - EUROSTAT'!C21/10^4</f>
        <v>6.4600589999999993</v>
      </c>
      <c r="K10" s="911">
        <f>'Comext annuel - EUROSTAT'!D21/10^4</f>
        <v>264.53204199999999</v>
      </c>
      <c r="L10" s="911">
        <f>'Comext annuel - EUROSTAT'!E21/10^4</f>
        <v>29.118366999999999</v>
      </c>
      <c r="M10" s="911">
        <f>'Comext annuel - EUROSTAT'!F21/10^4</f>
        <v>237.49708199999998</v>
      </c>
      <c r="N10" s="911">
        <f>'Comext annuel - EUROSTAT'!G21/10^4</f>
        <v>14.842827</v>
      </c>
      <c r="O10" s="911">
        <f>'Comext annuel - EUROSTAT'!H21/10^4</f>
        <v>233.876544</v>
      </c>
    </row>
    <row r="11" spans="1:15">
      <c r="A11" t="s">
        <v>88</v>
      </c>
      <c r="B11" s="1027"/>
      <c r="C11" t="str">
        <f>'Comext mensuel - EUROSTAT'!A20</f>
        <v>Pois chiches, secs, écossés, même décortiqués ou cassés</v>
      </c>
      <c r="D11" s="909">
        <f>SUM('Comext mensuel - EUROSTAT'!B20,'Comext mensuel - EUROSTAT'!D20,'Comext mensuel - EUROSTAT'!F20,'Comext mensuel - EUROSTAT'!H20,'Comext mensuel - EUROSTAT'!J20,'Comext mensuel - EUROSTAT'!L20,'Comext mensuel - EUROSTAT'!N20,'Comext mensuel - EUROSTAT'!P20,'Comext mensuel - EUROSTAT'!R20,'Comext mensuel - EUROSTAT'!T20,'Comext mensuel - EUROSTAT'!V20,'Comext mensuel - EUROSTAT'!X20)/10^4</f>
        <v>6.5271749999999997</v>
      </c>
      <c r="E11" s="909">
        <f>SUM('Comext mensuel - EUROSTAT'!C20,'Comext mensuel - EUROSTAT'!E20,'Comext mensuel - EUROSTAT'!G20,'Comext mensuel - EUROSTAT'!I20,'Comext mensuel - EUROSTAT'!K20,'Comext mensuel - EUROSTAT'!M20,'Comext mensuel - EUROSTAT'!O20,'Comext mensuel - EUROSTAT'!Q20,'Comext mensuel - EUROSTAT'!S20,'Comext mensuel - EUROSTAT'!U20,'Comext mensuel - EUROSTAT'!W20,'Comext mensuel - EUROSTAT'!Y20)/10^4</f>
        <v>6.0803720000000006</v>
      </c>
      <c r="F11" s="909">
        <f>SUM('Comext mensuel - EUROSTAT'!Z20,'Comext mensuel - EUROSTAT'!AB20,'Comext mensuel - EUROSTAT'!AD20,'Comext mensuel - EUROSTAT'!AF20,'Comext mensuel - EUROSTAT'!AH20,'Comext mensuel - EUROSTAT'!AJ20,'Comext mensuel - EUROSTAT'!AL20,'Comext mensuel - EUROSTAT'!AN20,'Comext mensuel - EUROSTAT'!AP20,'Comext mensuel - EUROSTAT'!AR20,'Comext mensuel - EUROSTAT'!AT20,'Comext mensuel - EUROSTAT'!AV20)/10^4</f>
        <v>7.0259539999999996</v>
      </c>
      <c r="G11" s="909">
        <f>SUM('Comext mensuel - EUROSTAT'!AA20,'Comext mensuel - EUROSTAT'!AC20,'Comext mensuel - EUROSTAT'!AE20,'Comext mensuel - EUROSTAT'!AG20,'Comext mensuel - EUROSTAT'!AI20,'Comext mensuel - EUROSTAT'!AK20,'Comext mensuel - EUROSTAT'!AM20,'Comext mensuel - EUROSTAT'!AO20,'Comext mensuel - EUROSTAT'!AQ20,'Comext mensuel - EUROSTAT'!AS20,'Comext mensuel - EUROSTAT'!AU20,'Comext mensuel - EUROSTAT'!AW20)/10^4</f>
        <v>15.559516</v>
      </c>
      <c r="H11" s="909">
        <f>SUM('Comext mensuel - EUROSTAT'!AX20,'Comext mensuel - EUROSTAT'!AZ20,'Comext mensuel - EUROSTAT'!BB20,'Comext mensuel - EUROSTAT'!BD20,'Comext mensuel - EUROSTAT'!BF20,'Comext mensuel - EUROSTAT'!BH20,'Comext mensuel - EUROSTAT'!BJ20,'Comext mensuel - EUROSTAT'!BL20,'Comext mensuel - EUROSTAT'!BN20,'Comext mensuel - EUROSTAT'!BP20,'Comext mensuel - EUROSTAT'!BR20,'Comext mensuel - EUROSTAT'!BT20)/10^4</f>
        <v>13.045798000000001</v>
      </c>
      <c r="I11" s="909">
        <f>SUM('Comext mensuel - EUROSTAT'!AY20,'Comext mensuel - EUROSTAT'!BA20,'Comext mensuel - EUROSTAT'!BC20,'Comext mensuel - EUROSTAT'!BE20,'Comext mensuel - EUROSTAT'!BG20,'Comext mensuel - EUROSTAT'!BI20,'Comext mensuel - EUROSTAT'!BK20,'Comext mensuel - EUROSTAT'!BM20,'Comext mensuel - EUROSTAT'!BO20,'Comext mensuel - EUROSTAT'!BQ20,'Comext mensuel - EUROSTAT'!BS20,'Comext mensuel - EUROSTAT'!BU20)/10^4</f>
        <v>17.401329000000004</v>
      </c>
      <c r="J11" s="911">
        <f>'Comext annuel - EUROSTAT'!C22/10^4</f>
        <v>4.3171710000000001</v>
      </c>
      <c r="K11" s="911">
        <f>'Comext annuel - EUROSTAT'!D22/10^4</f>
        <v>6.2004239999999999</v>
      </c>
      <c r="L11" s="911">
        <f>'Comext annuel - EUROSTAT'!E22/10^4</f>
        <v>6.7493240000000005</v>
      </c>
      <c r="M11" s="911">
        <f>'Comext annuel - EUROSTAT'!F22/10^4</f>
        <v>13.834154000000002</v>
      </c>
      <c r="N11" s="911">
        <f>'Comext annuel - EUROSTAT'!G22/10^4</f>
        <v>18.749627</v>
      </c>
      <c r="O11" s="911">
        <f>'Comext annuel - EUROSTAT'!H22/10^4</f>
        <v>17.048054999999998</v>
      </c>
    </row>
    <row r="12" spans="1:15">
      <c r="B12" s="1027"/>
      <c r="C12" t="str">
        <f>'Comext mensuel - EUROSTAT'!A21</f>
        <v>Haricots des espèces 'Vigna mungo L. Hepper ou Vigna radiata L. Wilczek', secs, écossés, même décortiqués ou cassés</v>
      </c>
      <c r="D12" s="908">
        <f>SUM('Comext mensuel - EUROSTAT'!B21,'Comext mensuel - EUROSTAT'!D21,'Comext mensuel - EUROSTAT'!F21,'Comext mensuel - EUROSTAT'!H21,'Comext mensuel - EUROSTAT'!J21,'Comext mensuel - EUROSTAT'!L21,'Comext mensuel - EUROSTAT'!N21,'Comext mensuel - EUROSTAT'!P21,'Comext mensuel - EUROSTAT'!R21,'Comext mensuel - EUROSTAT'!T21,'Comext mensuel - EUROSTAT'!V21,'Comext mensuel - EUROSTAT'!X21)/10^4</f>
        <v>2.3461110000000001</v>
      </c>
      <c r="E12" s="908">
        <f>SUM('Comext mensuel - EUROSTAT'!C21,'Comext mensuel - EUROSTAT'!E21,'Comext mensuel - EUROSTAT'!G21,'Comext mensuel - EUROSTAT'!I21,'Comext mensuel - EUROSTAT'!K21,'Comext mensuel - EUROSTAT'!M21,'Comext mensuel - EUROSTAT'!O21,'Comext mensuel - EUROSTAT'!Q21,'Comext mensuel - EUROSTAT'!S21,'Comext mensuel - EUROSTAT'!U21,'Comext mensuel - EUROSTAT'!W21,'Comext mensuel - EUROSTAT'!Y21)/10^4</f>
        <v>0.38440099999999999</v>
      </c>
      <c r="F12" s="908">
        <f>SUM('Comext mensuel - EUROSTAT'!Z21,'Comext mensuel - EUROSTAT'!AB21,'Comext mensuel - EUROSTAT'!AD21,'Comext mensuel - EUROSTAT'!AF21,'Comext mensuel - EUROSTAT'!AH21,'Comext mensuel - EUROSTAT'!AJ21,'Comext mensuel - EUROSTAT'!AL21,'Comext mensuel - EUROSTAT'!AN21,'Comext mensuel - EUROSTAT'!AP21,'Comext mensuel - EUROSTAT'!AR21,'Comext mensuel - EUROSTAT'!AT21,'Comext mensuel - EUROSTAT'!AV21)/10^4</f>
        <v>2.069957</v>
      </c>
      <c r="G12" s="908">
        <f>SUM('Comext mensuel - EUROSTAT'!AA21,'Comext mensuel - EUROSTAT'!AC21,'Comext mensuel - EUROSTAT'!AE21,'Comext mensuel - EUROSTAT'!AG21,'Comext mensuel - EUROSTAT'!AI21,'Comext mensuel - EUROSTAT'!AK21,'Comext mensuel - EUROSTAT'!AM21,'Comext mensuel - EUROSTAT'!AO21,'Comext mensuel - EUROSTAT'!AQ21,'Comext mensuel - EUROSTAT'!AS21,'Comext mensuel - EUROSTAT'!AU21,'Comext mensuel - EUROSTAT'!AW21)/10^4</f>
        <v>4.8581000000000006E-2</v>
      </c>
      <c r="H12" s="908">
        <f>SUM('Comext mensuel - EUROSTAT'!AX21,'Comext mensuel - EUROSTAT'!AZ21,'Comext mensuel - EUROSTAT'!BB21,'Comext mensuel - EUROSTAT'!BD21,'Comext mensuel - EUROSTAT'!BF21,'Comext mensuel - EUROSTAT'!BH21,'Comext mensuel - EUROSTAT'!BJ21,'Comext mensuel - EUROSTAT'!BL21,'Comext mensuel - EUROSTAT'!BN21,'Comext mensuel - EUROSTAT'!BP21,'Comext mensuel - EUROSTAT'!BR21,'Comext mensuel - EUROSTAT'!BT21)/10^4</f>
        <v>1.729636</v>
      </c>
      <c r="I12" s="908">
        <f>SUM('Comext mensuel - EUROSTAT'!AY21,'Comext mensuel - EUROSTAT'!BA21,'Comext mensuel - EUROSTAT'!BC21,'Comext mensuel - EUROSTAT'!BE21,'Comext mensuel - EUROSTAT'!BG21,'Comext mensuel - EUROSTAT'!BI21,'Comext mensuel - EUROSTAT'!BK21,'Comext mensuel - EUROSTAT'!BM21,'Comext mensuel - EUROSTAT'!BO21,'Comext mensuel - EUROSTAT'!BQ21,'Comext mensuel - EUROSTAT'!BS21,'Comext mensuel - EUROSTAT'!BU21)/10^4</f>
        <v>0.48751100000000008</v>
      </c>
      <c r="J12" s="911">
        <f>'Comext annuel - EUROSTAT'!C25/10^4</f>
        <v>2.0935419999999998</v>
      </c>
      <c r="K12" s="911">
        <f>'Comext annuel - EUROSTAT'!D25/10^4</f>
        <v>0.48852099999999998</v>
      </c>
      <c r="L12" s="911">
        <f>'Comext annuel - EUROSTAT'!E25/10^4</f>
        <v>1.8013619999999999</v>
      </c>
      <c r="M12" s="911">
        <f>'Comext annuel - EUROSTAT'!F25/10^4</f>
        <v>0.15194299999999999</v>
      </c>
      <c r="N12" s="911">
        <f>'Comext annuel - EUROSTAT'!G25/10^4</f>
        <v>1.9785470000000001</v>
      </c>
      <c r="O12" s="911">
        <f>'Comext annuel - EUROSTAT'!H25/10^4</f>
        <v>0.57025599999999999</v>
      </c>
    </row>
    <row r="13" spans="1:15">
      <c r="B13" s="1027"/>
      <c r="C13" t="str">
        <f>'Comext mensuel - EUROSTAT'!A22</f>
        <v>Haricots 'petits rouges' {haricots Adzuki} 'Phaseolus ou Vigna angularis', secs, écossés, même décortiqués ou cassés</v>
      </c>
      <c r="D13" s="908">
        <f>SUM('Comext mensuel - EUROSTAT'!B22,'Comext mensuel - EUROSTAT'!D22,'Comext mensuel - EUROSTAT'!F22,'Comext mensuel - EUROSTAT'!H22,'Comext mensuel - EUROSTAT'!J22,'Comext mensuel - EUROSTAT'!L22,'Comext mensuel - EUROSTAT'!N22,'Comext mensuel - EUROSTAT'!P22,'Comext mensuel - EUROSTAT'!R22,'Comext mensuel - EUROSTAT'!T22,'Comext mensuel - EUROSTAT'!V22,'Comext mensuel - EUROSTAT'!X22)/10^4</f>
        <v>0.80764800000000003</v>
      </c>
      <c r="E13" s="908">
        <f>SUM('Comext mensuel - EUROSTAT'!C22,'Comext mensuel - EUROSTAT'!E22,'Comext mensuel - EUROSTAT'!G22,'Comext mensuel - EUROSTAT'!I22,'Comext mensuel - EUROSTAT'!K22,'Comext mensuel - EUROSTAT'!M22,'Comext mensuel - EUROSTAT'!O22,'Comext mensuel - EUROSTAT'!Q22,'Comext mensuel - EUROSTAT'!S22,'Comext mensuel - EUROSTAT'!U22,'Comext mensuel - EUROSTAT'!W22,'Comext mensuel - EUROSTAT'!Y22)/10^4</f>
        <v>9.7377999999999992E-2</v>
      </c>
      <c r="F13" s="908">
        <f>SUM('Comext mensuel - EUROSTAT'!Z22,'Comext mensuel - EUROSTAT'!AB22,'Comext mensuel - EUROSTAT'!AD22,'Comext mensuel - EUROSTAT'!AF22,'Comext mensuel - EUROSTAT'!AH22,'Comext mensuel - EUROSTAT'!AJ22,'Comext mensuel - EUROSTAT'!AL22,'Comext mensuel - EUROSTAT'!AN22,'Comext mensuel - EUROSTAT'!AP22,'Comext mensuel - EUROSTAT'!AR22,'Comext mensuel - EUROSTAT'!AT22,'Comext mensuel - EUROSTAT'!AV22)/10^4</f>
        <v>0.48090500000000003</v>
      </c>
      <c r="G13" s="908">
        <f>SUM('Comext mensuel - EUROSTAT'!AA22,'Comext mensuel - EUROSTAT'!AC22,'Comext mensuel - EUROSTAT'!AE22,'Comext mensuel - EUROSTAT'!AG22,'Comext mensuel - EUROSTAT'!AI22,'Comext mensuel - EUROSTAT'!AK22,'Comext mensuel - EUROSTAT'!AM22,'Comext mensuel - EUROSTAT'!AO22,'Comext mensuel - EUROSTAT'!AQ22,'Comext mensuel - EUROSTAT'!AS22,'Comext mensuel - EUROSTAT'!AU22,'Comext mensuel - EUROSTAT'!AW22)/10^4</f>
        <v>6.0224E-2</v>
      </c>
      <c r="H13" s="908">
        <f>SUM('Comext mensuel - EUROSTAT'!AX22,'Comext mensuel - EUROSTAT'!AZ22,'Comext mensuel - EUROSTAT'!BB22,'Comext mensuel - EUROSTAT'!BD22,'Comext mensuel - EUROSTAT'!BF22,'Comext mensuel - EUROSTAT'!BH22,'Comext mensuel - EUROSTAT'!BJ22,'Comext mensuel - EUROSTAT'!BL22,'Comext mensuel - EUROSTAT'!BN22,'Comext mensuel - EUROSTAT'!BP22,'Comext mensuel - EUROSTAT'!BR22,'Comext mensuel - EUROSTAT'!BT22)/10^4</f>
        <v>0.46613300000000008</v>
      </c>
      <c r="I13" s="908">
        <f>SUM('Comext mensuel - EUROSTAT'!AY22,'Comext mensuel - EUROSTAT'!BA22,'Comext mensuel - EUROSTAT'!BC22,'Comext mensuel - EUROSTAT'!BE22,'Comext mensuel - EUROSTAT'!BG22,'Comext mensuel - EUROSTAT'!BI22,'Comext mensuel - EUROSTAT'!BK22,'Comext mensuel - EUROSTAT'!BM22,'Comext mensuel - EUROSTAT'!BO22,'Comext mensuel - EUROSTAT'!BQ22,'Comext mensuel - EUROSTAT'!BS22,'Comext mensuel - EUROSTAT'!BU22)/10^4</f>
        <v>0.12740599999999999</v>
      </c>
      <c r="J13" s="911">
        <f>'Comext annuel - EUROSTAT'!C28/10^4</f>
        <v>0.81510400000000005</v>
      </c>
      <c r="K13" s="911">
        <f>'Comext annuel - EUROSTAT'!D28/10^4</f>
        <v>4.9102E-2</v>
      </c>
      <c r="L13" s="911">
        <f>'Comext annuel - EUROSTAT'!E28/10^4</f>
        <v>0.36636999999999997</v>
      </c>
      <c r="M13" s="911">
        <f>'Comext annuel - EUROSTAT'!F28/10^4</f>
        <v>5.7848999999999998E-2</v>
      </c>
      <c r="N13" s="911">
        <f>'Comext annuel - EUROSTAT'!G28/10^4</f>
        <v>0.402781</v>
      </c>
      <c r="O13" s="911">
        <f>'Comext annuel - EUROSTAT'!H28/10^4</f>
        <v>0.12288800000000001</v>
      </c>
    </row>
    <row r="14" spans="1:15">
      <c r="A14" t="s">
        <v>85</v>
      </c>
      <c r="B14" s="1027"/>
      <c r="C14" t="str">
        <f>'Comext mensuel - EUROSTAT'!A23</f>
        <v>Haricots communs 'Phaseolus vulgaris', secs, écossés, destinés à l'ensemencement</v>
      </c>
      <c r="D14" s="909">
        <f>SUM('Comext mensuel - EUROSTAT'!B23,'Comext mensuel - EUROSTAT'!D23,'Comext mensuel - EUROSTAT'!F23,'Comext mensuel - EUROSTAT'!H23,'Comext mensuel - EUROSTAT'!J23,'Comext mensuel - EUROSTAT'!L23,'Comext mensuel - EUROSTAT'!N23,'Comext mensuel - EUROSTAT'!P23,'Comext mensuel - EUROSTAT'!R23,'Comext mensuel - EUROSTAT'!T23,'Comext mensuel - EUROSTAT'!V23,'Comext mensuel - EUROSTAT'!X23)/10^4</f>
        <v>2.8513389999999998</v>
      </c>
      <c r="E14" s="909">
        <f>SUM('Comext mensuel - EUROSTAT'!C23,'Comext mensuel - EUROSTAT'!E23,'Comext mensuel - EUROSTAT'!G23,'Comext mensuel - EUROSTAT'!I23,'Comext mensuel - EUROSTAT'!K23,'Comext mensuel - EUROSTAT'!M23,'Comext mensuel - EUROSTAT'!O23,'Comext mensuel - EUROSTAT'!Q23,'Comext mensuel - EUROSTAT'!S23,'Comext mensuel - EUROSTAT'!U23,'Comext mensuel - EUROSTAT'!W23,'Comext mensuel - EUROSTAT'!Y23)/10^4</f>
        <v>1.6369979999999997</v>
      </c>
      <c r="F14" s="909">
        <f>SUM('Comext mensuel - EUROSTAT'!Z23,'Comext mensuel - EUROSTAT'!AB23,'Comext mensuel - EUROSTAT'!AD23,'Comext mensuel - EUROSTAT'!AF23,'Comext mensuel - EUROSTAT'!AH23,'Comext mensuel - EUROSTAT'!AJ23,'Comext mensuel - EUROSTAT'!AL23,'Comext mensuel - EUROSTAT'!AN23,'Comext mensuel - EUROSTAT'!AP23,'Comext mensuel - EUROSTAT'!AR23,'Comext mensuel - EUROSTAT'!AT23,'Comext mensuel - EUROSTAT'!AV23)/10^4</f>
        <v>2.04514</v>
      </c>
      <c r="G14" s="909">
        <f>SUM('Comext mensuel - EUROSTAT'!AA23,'Comext mensuel - EUROSTAT'!AC23,'Comext mensuel - EUROSTAT'!AE23,'Comext mensuel - EUROSTAT'!AG23,'Comext mensuel - EUROSTAT'!AI23,'Comext mensuel - EUROSTAT'!AK23,'Comext mensuel - EUROSTAT'!AM23,'Comext mensuel - EUROSTAT'!AO23,'Comext mensuel - EUROSTAT'!AQ23,'Comext mensuel - EUROSTAT'!AS23,'Comext mensuel - EUROSTAT'!AU23,'Comext mensuel - EUROSTAT'!AW23)/10^4</f>
        <v>2.7813430000000001</v>
      </c>
      <c r="H14" s="909">
        <f>SUM('Comext mensuel - EUROSTAT'!AX23,'Comext mensuel - EUROSTAT'!AZ23,'Comext mensuel - EUROSTAT'!BB23,'Comext mensuel - EUROSTAT'!BD23,'Comext mensuel - EUROSTAT'!BF23,'Comext mensuel - EUROSTAT'!BH23,'Comext mensuel - EUROSTAT'!BJ23,'Comext mensuel - EUROSTAT'!BL23,'Comext mensuel - EUROSTAT'!BN23,'Comext mensuel - EUROSTAT'!BP23,'Comext mensuel - EUROSTAT'!BR23,'Comext mensuel - EUROSTAT'!BT23)/10^4</f>
        <v>2.4057469999999994</v>
      </c>
      <c r="I14" s="909">
        <f>SUM('Comext mensuel - EUROSTAT'!AY23,'Comext mensuel - EUROSTAT'!BA23,'Comext mensuel - EUROSTAT'!BC23,'Comext mensuel - EUROSTAT'!BE23,'Comext mensuel - EUROSTAT'!BG23,'Comext mensuel - EUROSTAT'!BI23,'Comext mensuel - EUROSTAT'!BK23,'Comext mensuel - EUROSTAT'!BM23,'Comext mensuel - EUROSTAT'!BO23,'Comext mensuel - EUROSTAT'!BQ23,'Comext mensuel - EUROSTAT'!BS23,'Comext mensuel - EUROSTAT'!BU23)/10^4</f>
        <v>2.1881789999999999</v>
      </c>
      <c r="J14" s="911">
        <f>'Comext annuel - EUROSTAT'!C31/10^4</f>
        <v>3.4799300000000004</v>
      </c>
      <c r="K14" s="911">
        <f>'Comext annuel - EUROSTAT'!D31/10^4</f>
        <v>1.7607950000000001</v>
      </c>
      <c r="L14" s="911">
        <f>'Comext annuel - EUROSTAT'!E31/10^4</f>
        <v>2.894593</v>
      </c>
      <c r="M14" s="911">
        <f>'Comext annuel - EUROSTAT'!F31/10^4</f>
        <v>2.444976</v>
      </c>
      <c r="N14" s="911">
        <f>'Comext annuel - EUROSTAT'!G31/10^4</f>
        <v>2.1251029999999997</v>
      </c>
      <c r="O14" s="911">
        <f>'Comext annuel - EUROSTAT'!H31/10^4</f>
        <v>2.4548400000000004</v>
      </c>
    </row>
    <row r="15" spans="1:15">
      <c r="A15" t="s">
        <v>85</v>
      </c>
      <c r="B15" s="1027"/>
      <c r="C15" t="str">
        <f>'Comext mensuel - EUROSTAT'!A24</f>
        <v>Haricots communs 'Phaseolus vulgaris', secs, écossés, même décortiqués ou cassés (à l'excl. des haricots destinés à l'ensemencement)</v>
      </c>
      <c r="D15" s="909">
        <f>SUM('Comext mensuel - EUROSTAT'!B24,'Comext mensuel - EUROSTAT'!D24,'Comext mensuel - EUROSTAT'!F24,'Comext mensuel - EUROSTAT'!H24,'Comext mensuel - EUROSTAT'!J24,'Comext mensuel - EUROSTAT'!L24,'Comext mensuel - EUROSTAT'!N24,'Comext mensuel - EUROSTAT'!P24,'Comext mensuel - EUROSTAT'!R24,'Comext mensuel - EUROSTAT'!T24,'Comext mensuel - EUROSTAT'!V24,'Comext mensuel - EUROSTAT'!X24)/10^4</f>
        <v>31.373503000000003</v>
      </c>
      <c r="E15" s="909">
        <f>SUM('Comext mensuel - EUROSTAT'!C24,'Comext mensuel - EUROSTAT'!E24,'Comext mensuel - EUROSTAT'!G24,'Comext mensuel - EUROSTAT'!I24,'Comext mensuel - EUROSTAT'!K24,'Comext mensuel - EUROSTAT'!M24,'Comext mensuel - EUROSTAT'!O24,'Comext mensuel - EUROSTAT'!Q24,'Comext mensuel - EUROSTAT'!S24,'Comext mensuel - EUROSTAT'!U24,'Comext mensuel - EUROSTAT'!W24,'Comext mensuel - EUROSTAT'!Y24)/10^4</f>
        <v>2.9926460000000001</v>
      </c>
      <c r="F15" s="909">
        <f>SUM('Comext mensuel - EUROSTAT'!Z24,'Comext mensuel - EUROSTAT'!AB24,'Comext mensuel - EUROSTAT'!AD24,'Comext mensuel - EUROSTAT'!AF24,'Comext mensuel - EUROSTAT'!AH24,'Comext mensuel - EUROSTAT'!AJ24,'Comext mensuel - EUROSTAT'!AL24,'Comext mensuel - EUROSTAT'!AN24,'Comext mensuel - EUROSTAT'!AP24,'Comext mensuel - EUROSTAT'!AR24,'Comext mensuel - EUROSTAT'!AT24,'Comext mensuel - EUROSTAT'!AV24)/10^4</f>
        <v>33.190837000000002</v>
      </c>
      <c r="G15" s="909">
        <f>SUM('Comext mensuel - EUROSTAT'!AA24,'Comext mensuel - EUROSTAT'!AC24,'Comext mensuel - EUROSTAT'!AE24,'Comext mensuel - EUROSTAT'!AG24,'Comext mensuel - EUROSTAT'!AI24,'Comext mensuel - EUROSTAT'!AK24,'Comext mensuel - EUROSTAT'!AM24,'Comext mensuel - EUROSTAT'!AO24,'Comext mensuel - EUROSTAT'!AQ24,'Comext mensuel - EUROSTAT'!AS24,'Comext mensuel - EUROSTAT'!AU24,'Comext mensuel - EUROSTAT'!AW24)/10^4</f>
        <v>5.5502540000000007</v>
      </c>
      <c r="H15" s="909">
        <f>SUM('Comext mensuel - EUROSTAT'!AX24,'Comext mensuel - EUROSTAT'!AZ24,'Comext mensuel - EUROSTAT'!BB24,'Comext mensuel - EUROSTAT'!BD24,'Comext mensuel - EUROSTAT'!BF24,'Comext mensuel - EUROSTAT'!BH24,'Comext mensuel - EUROSTAT'!BJ24,'Comext mensuel - EUROSTAT'!BL24,'Comext mensuel - EUROSTAT'!BN24,'Comext mensuel - EUROSTAT'!BP24,'Comext mensuel - EUROSTAT'!BR24,'Comext mensuel - EUROSTAT'!BT24)/10^4</f>
        <v>31.484178999999997</v>
      </c>
      <c r="I15" s="909">
        <f>SUM('Comext mensuel - EUROSTAT'!AY24,'Comext mensuel - EUROSTAT'!BA24,'Comext mensuel - EUROSTAT'!BC24,'Comext mensuel - EUROSTAT'!BE24,'Comext mensuel - EUROSTAT'!BG24,'Comext mensuel - EUROSTAT'!BI24,'Comext mensuel - EUROSTAT'!BK24,'Comext mensuel - EUROSTAT'!BM24,'Comext mensuel - EUROSTAT'!BO24,'Comext mensuel - EUROSTAT'!BQ24,'Comext mensuel - EUROSTAT'!BS24,'Comext mensuel - EUROSTAT'!BU24)/10^4</f>
        <v>5.8128380000000002</v>
      </c>
      <c r="J15" s="911">
        <f>'Comext annuel - EUROSTAT'!C32/10^4</f>
        <v>33.511974000000002</v>
      </c>
      <c r="K15" s="911">
        <f>'Comext annuel - EUROSTAT'!D32/10^4</f>
        <v>2.2987290000000002</v>
      </c>
      <c r="L15" s="911">
        <f>'Comext annuel - EUROSTAT'!E32/10^4</f>
        <v>32.882117000000001</v>
      </c>
      <c r="M15" s="911">
        <f>'Comext annuel - EUROSTAT'!F32/10^4</f>
        <v>5.3912000000000004</v>
      </c>
      <c r="N15" s="911">
        <f>'Comext annuel - EUROSTAT'!G32/10^4</f>
        <v>35.746324999999999</v>
      </c>
      <c r="O15" s="911">
        <f>'Comext annuel - EUROSTAT'!H32/10^4</f>
        <v>4.3864000000000001</v>
      </c>
    </row>
    <row r="16" spans="1:15">
      <c r="B16" s="1027"/>
      <c r="C16" t="str">
        <f>'Comext mensuel - EUROSTAT'!A25</f>
        <v>Pois Bambara (pois de terre) {Vigna subterranea ou Voandzeia subterranea}, secs, écossés, même décortiqués ou cassés</v>
      </c>
      <c r="D16" s="908">
        <f>SUM('Comext mensuel - EUROSTAT'!B25,'Comext mensuel - EUROSTAT'!D25,'Comext mensuel - EUROSTAT'!F25,'Comext mensuel - EUROSTAT'!H25,'Comext mensuel - EUROSTAT'!J25,'Comext mensuel - EUROSTAT'!L25,'Comext mensuel - EUROSTAT'!N25,'Comext mensuel - EUROSTAT'!P25,'Comext mensuel - EUROSTAT'!R25,'Comext mensuel - EUROSTAT'!T25,'Comext mensuel - EUROSTAT'!V25,'Comext mensuel - EUROSTAT'!X25)/10^4</f>
        <v>0.11364</v>
      </c>
      <c r="E16" s="908">
        <f>SUM('Comext mensuel - EUROSTAT'!C25,'Comext mensuel - EUROSTAT'!E25,'Comext mensuel - EUROSTAT'!G25,'Comext mensuel - EUROSTAT'!I25,'Comext mensuel - EUROSTAT'!K25,'Comext mensuel - EUROSTAT'!M25,'Comext mensuel - EUROSTAT'!O25,'Comext mensuel - EUROSTAT'!Q25,'Comext mensuel - EUROSTAT'!S25,'Comext mensuel - EUROSTAT'!U25,'Comext mensuel - EUROSTAT'!W25,'Comext mensuel - EUROSTAT'!Y25)/10^4</f>
        <v>4.2229999999999993E-3</v>
      </c>
      <c r="F16" s="908">
        <f>SUM('Comext mensuel - EUROSTAT'!Z25,'Comext mensuel - EUROSTAT'!AB25,'Comext mensuel - EUROSTAT'!AD25,'Comext mensuel - EUROSTAT'!AF25,'Comext mensuel - EUROSTAT'!AH25,'Comext mensuel - EUROSTAT'!AJ25,'Comext mensuel - EUROSTAT'!AL25,'Comext mensuel - EUROSTAT'!AN25,'Comext mensuel - EUROSTAT'!AP25,'Comext mensuel - EUROSTAT'!AR25,'Comext mensuel - EUROSTAT'!AT25,'Comext mensuel - EUROSTAT'!AV25)/10^4</f>
        <v>7.8129999999999988E-3</v>
      </c>
      <c r="G16" s="908">
        <f>SUM('Comext mensuel - EUROSTAT'!AA25,'Comext mensuel - EUROSTAT'!AC25,'Comext mensuel - EUROSTAT'!AE25,'Comext mensuel - EUROSTAT'!AG25,'Comext mensuel - EUROSTAT'!AI25,'Comext mensuel - EUROSTAT'!AK25,'Comext mensuel - EUROSTAT'!AM25,'Comext mensuel - EUROSTAT'!AO25,'Comext mensuel - EUROSTAT'!AQ25,'Comext mensuel - EUROSTAT'!AS25,'Comext mensuel - EUROSTAT'!AU25,'Comext mensuel - EUROSTAT'!AW25)/10^4</f>
        <v>2.3999999999999998E-4</v>
      </c>
      <c r="H16" s="908">
        <f>SUM('Comext mensuel - EUROSTAT'!AX25,'Comext mensuel - EUROSTAT'!AZ25,'Comext mensuel - EUROSTAT'!BB25,'Comext mensuel - EUROSTAT'!BD25,'Comext mensuel - EUROSTAT'!BF25,'Comext mensuel - EUROSTAT'!BH25,'Comext mensuel - EUROSTAT'!BJ25,'Comext mensuel - EUROSTAT'!BL25,'Comext mensuel - EUROSTAT'!BN25,'Comext mensuel - EUROSTAT'!BP25,'Comext mensuel - EUROSTAT'!BR25,'Comext mensuel - EUROSTAT'!BT25)/10^4</f>
        <v>0.76673500000000006</v>
      </c>
      <c r="I16" s="908">
        <f>SUM('Comext mensuel - EUROSTAT'!AY25,'Comext mensuel - EUROSTAT'!BA25,'Comext mensuel - EUROSTAT'!BC25,'Comext mensuel - EUROSTAT'!BE25,'Comext mensuel - EUROSTAT'!BG25,'Comext mensuel - EUROSTAT'!BI25,'Comext mensuel - EUROSTAT'!BK25,'Comext mensuel - EUROSTAT'!BM25,'Comext mensuel - EUROSTAT'!BO25,'Comext mensuel - EUROSTAT'!BQ25,'Comext mensuel - EUROSTAT'!BS25,'Comext mensuel - EUROSTAT'!BU25)/10^4</f>
        <v>1.6959999999999998E-3</v>
      </c>
      <c r="J16" s="911">
        <f>'Comext annuel - EUROSTAT'!C33/10^4</f>
        <v>5.8486000000000003E-2</v>
      </c>
      <c r="K16" s="911">
        <f>'Comext annuel - EUROSTAT'!D33/10^4</f>
        <v>3.3500000000000001E-3</v>
      </c>
      <c r="L16" s="911">
        <f>'Comext annuel - EUROSTAT'!E33/10^4</f>
        <v>6.6579999999999999E-3</v>
      </c>
      <c r="M16" s="911">
        <f>'Comext annuel - EUROSTAT'!F33/10^4</f>
        <v>1.449E-3</v>
      </c>
      <c r="N16" s="911">
        <f>'Comext annuel - EUROSTAT'!G33/10^4</f>
        <v>5.9969000000000008E-2</v>
      </c>
      <c r="O16" s="911">
        <f>'Comext annuel - EUROSTAT'!H33/10^4</f>
        <v>3.7290000000000001E-3</v>
      </c>
    </row>
    <row r="17" spans="1:15">
      <c r="B17" s="1027"/>
      <c r="C17" t="str">
        <f>'Comext mensuel - EUROSTAT'!A26</f>
        <v>Doliques à œil noir (pois du Brésil, Niébé) {Vigna unguiculata}, secs, écossés, même décortiqués ou cassés</v>
      </c>
      <c r="D17" s="908">
        <f>SUM('Comext mensuel - EUROSTAT'!B26,'Comext mensuel - EUROSTAT'!D26,'Comext mensuel - EUROSTAT'!F26,'Comext mensuel - EUROSTAT'!H26,'Comext mensuel - EUROSTAT'!J26,'Comext mensuel - EUROSTAT'!L26,'Comext mensuel - EUROSTAT'!N26,'Comext mensuel - EUROSTAT'!P26,'Comext mensuel - EUROSTAT'!R26,'Comext mensuel - EUROSTAT'!T26,'Comext mensuel - EUROSTAT'!V26,'Comext mensuel - EUROSTAT'!X26)/10^4</f>
        <v>8.4055999999999992E-2</v>
      </c>
      <c r="E17" s="908">
        <f>SUM('Comext mensuel - EUROSTAT'!C26,'Comext mensuel - EUROSTAT'!E26,'Comext mensuel - EUROSTAT'!G26,'Comext mensuel - EUROSTAT'!I26,'Comext mensuel - EUROSTAT'!K26,'Comext mensuel - EUROSTAT'!M26,'Comext mensuel - EUROSTAT'!O26,'Comext mensuel - EUROSTAT'!Q26,'Comext mensuel - EUROSTAT'!S26,'Comext mensuel - EUROSTAT'!U26,'Comext mensuel - EUROSTAT'!W26,'Comext mensuel - EUROSTAT'!Y26)/10^4</f>
        <v>0</v>
      </c>
      <c r="F17" s="908">
        <f>SUM('Comext mensuel - EUROSTAT'!Z26,'Comext mensuel - EUROSTAT'!AB26,'Comext mensuel - EUROSTAT'!AD26,'Comext mensuel - EUROSTAT'!AF26,'Comext mensuel - EUROSTAT'!AH26,'Comext mensuel - EUROSTAT'!AJ26,'Comext mensuel - EUROSTAT'!AL26,'Comext mensuel - EUROSTAT'!AN26,'Comext mensuel - EUROSTAT'!AP26,'Comext mensuel - EUROSTAT'!AR26,'Comext mensuel - EUROSTAT'!AT26,'Comext mensuel - EUROSTAT'!AV26)/10^4</f>
        <v>0.17447299999999999</v>
      </c>
      <c r="G17" s="908">
        <f>SUM('Comext mensuel - EUROSTAT'!AA26,'Comext mensuel - EUROSTAT'!AC26,'Comext mensuel - EUROSTAT'!AE26,'Comext mensuel - EUROSTAT'!AG26,'Comext mensuel - EUROSTAT'!AI26,'Comext mensuel - EUROSTAT'!AK26,'Comext mensuel - EUROSTAT'!AM26,'Comext mensuel - EUROSTAT'!AO26,'Comext mensuel - EUROSTAT'!AQ26,'Comext mensuel - EUROSTAT'!AS26,'Comext mensuel - EUROSTAT'!AU26,'Comext mensuel - EUROSTAT'!AW26)/10^4</f>
        <v>7.6199999999999998E-4</v>
      </c>
      <c r="H17" s="908">
        <f>SUM('Comext mensuel - EUROSTAT'!AX26,'Comext mensuel - EUROSTAT'!AZ26,'Comext mensuel - EUROSTAT'!BB26,'Comext mensuel - EUROSTAT'!BD26,'Comext mensuel - EUROSTAT'!BF26,'Comext mensuel - EUROSTAT'!BH26,'Comext mensuel - EUROSTAT'!BJ26,'Comext mensuel - EUROSTAT'!BL26,'Comext mensuel - EUROSTAT'!BN26,'Comext mensuel - EUROSTAT'!BP26,'Comext mensuel - EUROSTAT'!BR26,'Comext mensuel - EUROSTAT'!BT26)/10^4</f>
        <v>0.27430599999999994</v>
      </c>
      <c r="I17" s="908">
        <f>SUM('Comext mensuel - EUROSTAT'!AY26,'Comext mensuel - EUROSTAT'!BA26,'Comext mensuel - EUROSTAT'!BC26,'Comext mensuel - EUROSTAT'!BE26,'Comext mensuel - EUROSTAT'!BG26,'Comext mensuel - EUROSTAT'!BI26,'Comext mensuel - EUROSTAT'!BK26,'Comext mensuel - EUROSTAT'!BM26,'Comext mensuel - EUROSTAT'!BO26,'Comext mensuel - EUROSTAT'!BQ26,'Comext mensuel - EUROSTAT'!BS26,'Comext mensuel - EUROSTAT'!BU26)/10^4</f>
        <v>1.8295000000000002E-2</v>
      </c>
      <c r="J17" s="911">
        <f>'Comext annuel - EUROSTAT'!C34/10^4</f>
        <v>3.0483E-2</v>
      </c>
      <c r="K17" s="911" t="e">
        <f>'Comext annuel - EUROSTAT'!D34/10^4</f>
        <v>#VALUE!</v>
      </c>
      <c r="L17" s="911">
        <f>'Comext annuel - EUROSTAT'!E34/10^4</f>
        <v>0.185165</v>
      </c>
      <c r="M17" s="911" t="e">
        <f>'Comext annuel - EUROSTAT'!F34/10^4</f>
        <v>#VALUE!</v>
      </c>
      <c r="N17" s="911">
        <f>'Comext annuel - EUROSTAT'!G34/10^4</f>
        <v>0.54226800000000008</v>
      </c>
      <c r="O17" s="911">
        <f>'Comext annuel - EUROSTAT'!H34/10^4</f>
        <v>8.6439999999999989E-3</v>
      </c>
    </row>
    <row r="18" spans="1:15">
      <c r="B18" s="1027"/>
      <c r="C18" t="str">
        <f>'Comext mensuel - EUROSTAT'!A27</f>
        <v>Haricots {Vigna spp., Phaseolus spp.}, secs, écossés, même décortiqués ou cassés (à l'excl. des haricots des espèces {Vigna mungo (L.) Hepper} ou {Vigna radiata (L.) Wilczek}, haricots {petits rouges} {haricots Adzuki}, haricots communs {Phaseolus vulgaris}, pois Bambara (pois de terre) et doliques à œil noir (pois du Brésil, Niébé))(2012-2500);Haricots 'Vigna spp., Phaseolus spp.', secs, écossés, même décortiqués ou cassés (à l'excl. des haricots des espèces 'Vigna mungo L. Hepper ou Vigna radiata L. Wilczek', des haricots 'petits rouges' {haricots Adzuki} et des haricots communs)(1997-2011)</v>
      </c>
      <c r="D18" s="908">
        <f>SUM('Comext mensuel - EUROSTAT'!B27,'Comext mensuel - EUROSTAT'!D27,'Comext mensuel - EUROSTAT'!F27,'Comext mensuel - EUROSTAT'!H27,'Comext mensuel - EUROSTAT'!J27,'Comext mensuel - EUROSTAT'!L27,'Comext mensuel - EUROSTAT'!N27,'Comext mensuel - EUROSTAT'!P27,'Comext mensuel - EUROSTAT'!R27,'Comext mensuel - EUROSTAT'!T27,'Comext mensuel - EUROSTAT'!V27,'Comext mensuel - EUROSTAT'!X27)/10^4</f>
        <v>4.3672829999999996</v>
      </c>
      <c r="E18" s="908">
        <f>SUM('Comext mensuel - EUROSTAT'!C27,'Comext mensuel - EUROSTAT'!E27,'Comext mensuel - EUROSTAT'!G27,'Comext mensuel - EUROSTAT'!I27,'Comext mensuel - EUROSTAT'!K27,'Comext mensuel - EUROSTAT'!M27,'Comext mensuel - EUROSTAT'!O27,'Comext mensuel - EUROSTAT'!Q27,'Comext mensuel - EUROSTAT'!S27,'Comext mensuel - EUROSTAT'!U27,'Comext mensuel - EUROSTAT'!W27,'Comext mensuel - EUROSTAT'!Y27)/10^4</f>
        <v>0.15906699999999999</v>
      </c>
      <c r="F18" s="908">
        <f>SUM('Comext mensuel - EUROSTAT'!Z27,'Comext mensuel - EUROSTAT'!AB27,'Comext mensuel - EUROSTAT'!AD27,'Comext mensuel - EUROSTAT'!AF27,'Comext mensuel - EUROSTAT'!AH27,'Comext mensuel - EUROSTAT'!AJ27,'Comext mensuel - EUROSTAT'!AL27,'Comext mensuel - EUROSTAT'!AN27,'Comext mensuel - EUROSTAT'!AP27,'Comext mensuel - EUROSTAT'!AR27,'Comext mensuel - EUROSTAT'!AT27,'Comext mensuel - EUROSTAT'!AV27)/10^4</f>
        <v>4.0115930000000004</v>
      </c>
      <c r="G18" s="908">
        <f>SUM('Comext mensuel - EUROSTAT'!AA27,'Comext mensuel - EUROSTAT'!AC27,'Comext mensuel - EUROSTAT'!AE27,'Comext mensuel - EUROSTAT'!AG27,'Comext mensuel - EUROSTAT'!AI27,'Comext mensuel - EUROSTAT'!AK27,'Comext mensuel - EUROSTAT'!AM27,'Comext mensuel - EUROSTAT'!AO27,'Comext mensuel - EUROSTAT'!AQ27,'Comext mensuel - EUROSTAT'!AS27,'Comext mensuel - EUROSTAT'!AU27,'Comext mensuel - EUROSTAT'!AW27)/10^4</f>
        <v>0.523563</v>
      </c>
      <c r="H18" s="908">
        <f>SUM('Comext mensuel - EUROSTAT'!AX27,'Comext mensuel - EUROSTAT'!AZ27,'Comext mensuel - EUROSTAT'!BB27,'Comext mensuel - EUROSTAT'!BD27,'Comext mensuel - EUROSTAT'!BF27,'Comext mensuel - EUROSTAT'!BH27,'Comext mensuel - EUROSTAT'!BJ27,'Comext mensuel - EUROSTAT'!BL27,'Comext mensuel - EUROSTAT'!BN27,'Comext mensuel - EUROSTAT'!BP27,'Comext mensuel - EUROSTAT'!BR27,'Comext mensuel - EUROSTAT'!BT27)/10^4</f>
        <v>3.3934280000000006</v>
      </c>
      <c r="I18" s="908">
        <f>SUM('Comext mensuel - EUROSTAT'!AY27,'Comext mensuel - EUROSTAT'!BA27,'Comext mensuel - EUROSTAT'!BC27,'Comext mensuel - EUROSTAT'!BE27,'Comext mensuel - EUROSTAT'!BG27,'Comext mensuel - EUROSTAT'!BI27,'Comext mensuel - EUROSTAT'!BK27,'Comext mensuel - EUROSTAT'!BM27,'Comext mensuel - EUROSTAT'!BO27,'Comext mensuel - EUROSTAT'!BQ27,'Comext mensuel - EUROSTAT'!BS27,'Comext mensuel - EUROSTAT'!BU27)/10^4</f>
        <v>1.5101189999999998</v>
      </c>
      <c r="J18" s="911">
        <f>'Comext annuel - EUROSTAT'!C35/10^4</f>
        <v>4.9143080000000001</v>
      </c>
      <c r="K18" s="911">
        <f>'Comext annuel - EUROSTAT'!D35/10^4</f>
        <v>0.16783399999999998</v>
      </c>
      <c r="L18" s="911">
        <f>'Comext annuel - EUROSTAT'!E35/10^4</f>
        <v>4.6740719999999998</v>
      </c>
      <c r="M18" s="911">
        <f>'Comext annuel - EUROSTAT'!F35/10^4</f>
        <v>0.38184800000000002</v>
      </c>
      <c r="N18" s="911">
        <f>'Comext annuel - EUROSTAT'!G35/10^4</f>
        <v>3.6161849999999998</v>
      </c>
      <c r="O18" s="911">
        <f>'Comext annuel - EUROSTAT'!H35/10^4</f>
        <v>1.312581</v>
      </c>
    </row>
    <row r="19" spans="1:15">
      <c r="A19" t="s">
        <v>86</v>
      </c>
      <c r="B19" s="1027"/>
      <c r="C19" t="str">
        <f>'Comext mensuel - EUROSTAT'!A28</f>
        <v>Lentilles, séchées, écossées, même décortiquées ou cassées</v>
      </c>
      <c r="D19" s="909">
        <f>SUM('Comext mensuel - EUROSTAT'!B28,'Comext mensuel - EUROSTAT'!D28,'Comext mensuel - EUROSTAT'!F28,'Comext mensuel - EUROSTAT'!H28,'Comext mensuel - EUROSTAT'!J28,'Comext mensuel - EUROSTAT'!L28,'Comext mensuel - EUROSTAT'!N28,'Comext mensuel - EUROSTAT'!P28,'Comext mensuel - EUROSTAT'!R28,'Comext mensuel - EUROSTAT'!T28,'Comext mensuel - EUROSTAT'!V28,'Comext mensuel - EUROSTAT'!X28)/10^4</f>
        <v>28.823082999999997</v>
      </c>
      <c r="E19" s="909">
        <f>SUM('Comext mensuel - EUROSTAT'!C28,'Comext mensuel - EUROSTAT'!E28,'Comext mensuel - EUROSTAT'!G28,'Comext mensuel - EUROSTAT'!I28,'Comext mensuel - EUROSTAT'!K28,'Comext mensuel - EUROSTAT'!M28,'Comext mensuel - EUROSTAT'!O28,'Comext mensuel - EUROSTAT'!Q28,'Comext mensuel - EUROSTAT'!S28,'Comext mensuel - EUROSTAT'!U28,'Comext mensuel - EUROSTAT'!W28,'Comext mensuel - EUROSTAT'!Y28)/10^4</f>
        <v>4.7377379999999993</v>
      </c>
      <c r="F19" s="909">
        <f>SUM('Comext mensuel - EUROSTAT'!Z28,'Comext mensuel - EUROSTAT'!AB28,'Comext mensuel - EUROSTAT'!AD28,'Comext mensuel - EUROSTAT'!AF28,'Comext mensuel - EUROSTAT'!AH28,'Comext mensuel - EUROSTAT'!AJ28,'Comext mensuel - EUROSTAT'!AL28,'Comext mensuel - EUROSTAT'!AN28,'Comext mensuel - EUROSTAT'!AP28,'Comext mensuel - EUROSTAT'!AR28,'Comext mensuel - EUROSTAT'!AT28,'Comext mensuel - EUROSTAT'!AV28)/10^4</f>
        <v>27.647139000000003</v>
      </c>
      <c r="G19" s="909">
        <f>SUM('Comext mensuel - EUROSTAT'!AA28,'Comext mensuel - EUROSTAT'!AC28,'Comext mensuel - EUROSTAT'!AE28,'Comext mensuel - EUROSTAT'!AG28,'Comext mensuel - EUROSTAT'!AI28,'Comext mensuel - EUROSTAT'!AK28,'Comext mensuel - EUROSTAT'!AM28,'Comext mensuel - EUROSTAT'!AO28,'Comext mensuel - EUROSTAT'!AQ28,'Comext mensuel - EUROSTAT'!AS28,'Comext mensuel - EUROSTAT'!AU28,'Comext mensuel - EUROSTAT'!AW28)/10^4</f>
        <v>6.0430320000000011</v>
      </c>
      <c r="H19" s="909">
        <f>SUM('Comext mensuel - EUROSTAT'!AX28,'Comext mensuel - EUROSTAT'!AZ28,'Comext mensuel - EUROSTAT'!BB28,'Comext mensuel - EUROSTAT'!BD28,'Comext mensuel - EUROSTAT'!BF28,'Comext mensuel - EUROSTAT'!BH28,'Comext mensuel - EUROSTAT'!BJ28,'Comext mensuel - EUROSTAT'!BL28,'Comext mensuel - EUROSTAT'!BN28,'Comext mensuel - EUROSTAT'!BP28,'Comext mensuel - EUROSTAT'!BR28,'Comext mensuel - EUROSTAT'!BT28)/10^4</f>
        <v>37.820242</v>
      </c>
      <c r="I19" s="909">
        <f>SUM('Comext mensuel - EUROSTAT'!AY28,'Comext mensuel - EUROSTAT'!BA28,'Comext mensuel - EUROSTAT'!BC28,'Comext mensuel - EUROSTAT'!BE28,'Comext mensuel - EUROSTAT'!BG28,'Comext mensuel - EUROSTAT'!BI28,'Comext mensuel - EUROSTAT'!BK28,'Comext mensuel - EUROSTAT'!BM28,'Comext mensuel - EUROSTAT'!BO28,'Comext mensuel - EUROSTAT'!BQ28,'Comext mensuel - EUROSTAT'!BS28,'Comext mensuel - EUROSTAT'!BU28)/10^4</f>
        <v>3.8168229999999994</v>
      </c>
      <c r="J19" s="911">
        <f>'Comext annuel - EUROSTAT'!C38/10^4</f>
        <v>31.764199999999999</v>
      </c>
      <c r="K19" s="911">
        <f>'Comext annuel - EUROSTAT'!D38/10^4</f>
        <v>3.907403</v>
      </c>
      <c r="L19" s="911">
        <f>'Comext annuel - EUROSTAT'!E38/10^4</f>
        <v>24.166518</v>
      </c>
      <c r="M19" s="911">
        <f>'Comext annuel - EUROSTAT'!F38/10^4</f>
        <v>5.8929929999999997</v>
      </c>
      <c r="N19" s="911">
        <f>'Comext annuel - EUROSTAT'!G38/10^4</f>
        <v>40.936419999999998</v>
      </c>
      <c r="O19" s="911">
        <f>'Comext annuel - EUROSTAT'!H38/10^4</f>
        <v>4.9377660000000008</v>
      </c>
    </row>
    <row r="20" spans="1:15">
      <c r="A20" t="s">
        <v>84</v>
      </c>
      <c r="B20" s="1027"/>
      <c r="C20" t="str">
        <f>'Comext mensuel - EUROSTAT'!A29</f>
        <v>Fèves 'Vicia faba var. major' et féveroles 'Vicia faba var. equina et Vicia faba var. minor', séchées, écossées, même décortiquées ou cassées</v>
      </c>
      <c r="D20" s="909">
        <f>SUM('Comext mensuel - EUROSTAT'!B29,'Comext mensuel - EUROSTAT'!D29,'Comext mensuel - EUROSTAT'!F29,'Comext mensuel - EUROSTAT'!H29,'Comext mensuel - EUROSTAT'!J29,'Comext mensuel - EUROSTAT'!L29,'Comext mensuel - EUROSTAT'!N29,'Comext mensuel - EUROSTAT'!P29,'Comext mensuel - EUROSTAT'!R29,'Comext mensuel - EUROSTAT'!T29,'Comext mensuel - EUROSTAT'!V29,'Comext mensuel - EUROSTAT'!X29)/10^4</f>
        <v>15.233430999999998</v>
      </c>
      <c r="E20" s="909">
        <f>SUM('Comext mensuel - EUROSTAT'!C29,'Comext mensuel - EUROSTAT'!E29,'Comext mensuel - EUROSTAT'!G29,'Comext mensuel - EUROSTAT'!I29,'Comext mensuel - EUROSTAT'!K29,'Comext mensuel - EUROSTAT'!M29,'Comext mensuel - EUROSTAT'!O29,'Comext mensuel - EUROSTAT'!Q29,'Comext mensuel - EUROSTAT'!S29,'Comext mensuel - EUROSTAT'!U29,'Comext mensuel - EUROSTAT'!W29,'Comext mensuel - EUROSTAT'!Y29)/10^4</f>
        <v>92.836865999999986</v>
      </c>
      <c r="F20" s="909">
        <f>SUM('Comext mensuel - EUROSTAT'!Z29,'Comext mensuel - EUROSTAT'!AB29,'Comext mensuel - EUROSTAT'!AD29,'Comext mensuel - EUROSTAT'!AF29,'Comext mensuel - EUROSTAT'!AH29,'Comext mensuel - EUROSTAT'!AJ29,'Comext mensuel - EUROSTAT'!AL29,'Comext mensuel - EUROSTAT'!AN29,'Comext mensuel - EUROSTAT'!AP29,'Comext mensuel - EUROSTAT'!AR29,'Comext mensuel - EUROSTAT'!AT29,'Comext mensuel - EUROSTAT'!AV29)/10^4</f>
        <v>30.361481000000001</v>
      </c>
      <c r="G20" s="909">
        <f>SUM('Comext mensuel - EUROSTAT'!AA29,'Comext mensuel - EUROSTAT'!AC29,'Comext mensuel - EUROSTAT'!AE29,'Comext mensuel - EUROSTAT'!AG29,'Comext mensuel - EUROSTAT'!AI29,'Comext mensuel - EUROSTAT'!AK29,'Comext mensuel - EUROSTAT'!AM29,'Comext mensuel - EUROSTAT'!AO29,'Comext mensuel - EUROSTAT'!AQ29,'Comext mensuel - EUROSTAT'!AS29,'Comext mensuel - EUROSTAT'!AU29,'Comext mensuel - EUROSTAT'!AW29)/10^4</f>
        <v>46.014671999999997</v>
      </c>
      <c r="H20" s="909">
        <f>SUM('Comext mensuel - EUROSTAT'!AX29,'Comext mensuel - EUROSTAT'!AZ29,'Comext mensuel - EUROSTAT'!BB29,'Comext mensuel - EUROSTAT'!BD29,'Comext mensuel - EUROSTAT'!BF29,'Comext mensuel - EUROSTAT'!BH29,'Comext mensuel - EUROSTAT'!BJ29,'Comext mensuel - EUROSTAT'!BL29,'Comext mensuel - EUROSTAT'!BN29,'Comext mensuel - EUROSTAT'!BP29,'Comext mensuel - EUROSTAT'!BR29,'Comext mensuel - EUROSTAT'!BT29)/10^4</f>
        <v>36.386161999999992</v>
      </c>
      <c r="I20" s="909">
        <f>SUM('Comext mensuel - EUROSTAT'!AY29,'Comext mensuel - EUROSTAT'!BA29,'Comext mensuel - EUROSTAT'!BC29,'Comext mensuel - EUROSTAT'!BE29,'Comext mensuel - EUROSTAT'!BG29,'Comext mensuel - EUROSTAT'!BI29,'Comext mensuel - EUROSTAT'!BK29,'Comext mensuel - EUROSTAT'!BM29,'Comext mensuel - EUROSTAT'!BO29,'Comext mensuel - EUROSTAT'!BQ29,'Comext mensuel - EUROSTAT'!BS29,'Comext mensuel - EUROSTAT'!BU29)/10^4</f>
        <v>74.796026999999995</v>
      </c>
      <c r="J20" s="911">
        <f>'Comext annuel - EUROSTAT'!C41/10^4</f>
        <v>12.565123</v>
      </c>
      <c r="K20" s="911">
        <f>'Comext annuel - EUROSTAT'!D41/10^4</f>
        <v>97.91422</v>
      </c>
      <c r="L20" s="911">
        <f>'Comext annuel - EUROSTAT'!E41/10^4</f>
        <v>30.396051</v>
      </c>
      <c r="M20" s="911">
        <f>'Comext annuel - EUROSTAT'!F41/10^4</f>
        <v>46.465868</v>
      </c>
      <c r="N20" s="911">
        <f>'Comext annuel - EUROSTAT'!G41/10^4</f>
        <v>40.656708999999999</v>
      </c>
      <c r="O20" s="911">
        <f>'Comext annuel - EUROSTAT'!H41/10^4</f>
        <v>64.460077999999996</v>
      </c>
    </row>
    <row r="21" spans="1:15">
      <c r="B21" s="1027"/>
      <c r="C21" t="str">
        <f>'Comext mensuel - EUROSTAT'!A30</f>
        <v>Pois d’Ambrevade ou pois d’Angole {Cajanus cajan}, secs, écossés, même décortiqués ou cassés</v>
      </c>
      <c r="D21" s="908">
        <f>SUM('Comext mensuel - EUROSTAT'!B30,'Comext mensuel - EUROSTAT'!D30,'Comext mensuel - EUROSTAT'!F30,'Comext mensuel - EUROSTAT'!H30,'Comext mensuel - EUROSTAT'!J30,'Comext mensuel - EUROSTAT'!L30,'Comext mensuel - EUROSTAT'!N30,'Comext mensuel - EUROSTAT'!P30,'Comext mensuel - EUROSTAT'!R30,'Comext mensuel - EUROSTAT'!T30,'Comext mensuel - EUROSTAT'!V30,'Comext mensuel - EUROSTAT'!X30)/10^4</f>
        <v>0.12770799999999999</v>
      </c>
      <c r="E21" s="908">
        <f>SUM('Comext mensuel - EUROSTAT'!C30,'Comext mensuel - EUROSTAT'!E30,'Comext mensuel - EUROSTAT'!G30,'Comext mensuel - EUROSTAT'!I30,'Comext mensuel - EUROSTAT'!K30,'Comext mensuel - EUROSTAT'!M30,'Comext mensuel - EUROSTAT'!O30,'Comext mensuel - EUROSTAT'!Q30,'Comext mensuel - EUROSTAT'!S30,'Comext mensuel - EUROSTAT'!U30,'Comext mensuel - EUROSTAT'!W30,'Comext mensuel - EUROSTAT'!Y30)/10^4</f>
        <v>6.4891399999999999</v>
      </c>
      <c r="F21" s="908">
        <f>SUM('Comext mensuel - EUROSTAT'!Z30,'Comext mensuel - EUROSTAT'!AB30,'Comext mensuel - EUROSTAT'!AD30,'Comext mensuel - EUROSTAT'!AF30,'Comext mensuel - EUROSTAT'!AH30,'Comext mensuel - EUROSTAT'!AJ30,'Comext mensuel - EUROSTAT'!AL30,'Comext mensuel - EUROSTAT'!AN30,'Comext mensuel - EUROSTAT'!AP30,'Comext mensuel - EUROSTAT'!AR30,'Comext mensuel - EUROSTAT'!AT30,'Comext mensuel - EUROSTAT'!AV30)/10^4</f>
        <v>7.2803999999999994E-2</v>
      </c>
      <c r="G21" s="908">
        <f>SUM('Comext mensuel - EUROSTAT'!AA30,'Comext mensuel - EUROSTAT'!AC30,'Comext mensuel - EUROSTAT'!AE30,'Comext mensuel - EUROSTAT'!AG30,'Comext mensuel - EUROSTAT'!AI30,'Comext mensuel - EUROSTAT'!AK30,'Comext mensuel - EUROSTAT'!AM30,'Comext mensuel - EUROSTAT'!AO30,'Comext mensuel - EUROSTAT'!AQ30,'Comext mensuel - EUROSTAT'!AS30,'Comext mensuel - EUROSTAT'!AU30,'Comext mensuel - EUROSTAT'!AW30)/10^4</f>
        <v>4.0103600000000004</v>
      </c>
      <c r="H21" s="908">
        <f>SUM('Comext mensuel - EUROSTAT'!AX30,'Comext mensuel - EUROSTAT'!AZ30,'Comext mensuel - EUROSTAT'!BB30,'Comext mensuel - EUROSTAT'!BD30,'Comext mensuel - EUROSTAT'!BF30,'Comext mensuel - EUROSTAT'!BH30,'Comext mensuel - EUROSTAT'!BJ30,'Comext mensuel - EUROSTAT'!BL30,'Comext mensuel - EUROSTAT'!BN30,'Comext mensuel - EUROSTAT'!BP30,'Comext mensuel - EUROSTAT'!BR30,'Comext mensuel - EUROSTAT'!BT30)/10^4</f>
        <v>0.47309000000000007</v>
      </c>
      <c r="I21" s="908">
        <f>SUM('Comext mensuel - EUROSTAT'!AY30,'Comext mensuel - EUROSTAT'!BA30,'Comext mensuel - EUROSTAT'!BC30,'Comext mensuel - EUROSTAT'!BE30,'Comext mensuel - EUROSTAT'!BG30,'Comext mensuel - EUROSTAT'!BI30,'Comext mensuel - EUROSTAT'!BK30,'Comext mensuel - EUROSTAT'!BM30,'Comext mensuel - EUROSTAT'!BO30,'Comext mensuel - EUROSTAT'!BQ30,'Comext mensuel - EUROSTAT'!BS30,'Comext mensuel - EUROSTAT'!BU30)/10^4</f>
        <v>1.1671729999999998</v>
      </c>
      <c r="J21" s="911">
        <f>'Comext annuel - EUROSTAT'!C44/10^4</f>
        <v>4.4373000000000003E-2</v>
      </c>
      <c r="K21" s="911">
        <f>'Comext annuel - EUROSTAT'!D44/10^4</f>
        <v>6.3110999999999997</v>
      </c>
      <c r="L21" s="911">
        <f>'Comext annuel - EUROSTAT'!E44/10^4</f>
        <v>5.5662999999999997E-2</v>
      </c>
      <c r="M21" s="911">
        <f>'Comext annuel - EUROSTAT'!F44/10^4</f>
        <v>3.2958199999999995</v>
      </c>
      <c r="N21" s="911">
        <f>'Comext annuel - EUROSTAT'!G44/10^4</f>
        <v>0.61735600000000002</v>
      </c>
      <c r="O21" s="911">
        <f>'Comext annuel - EUROSTAT'!H44/10^4</f>
        <v>0.91732199999999997</v>
      </c>
    </row>
    <row r="22" spans="1:15">
      <c r="B22" s="1027"/>
      <c r="C22" t="str">
        <f>'Comext mensuel - EUROSTAT'!A31</f>
        <v>Légumes à cosse secs, écossés, même décortiqués ou cassés (à l'excl. des pois, pois chiches, haricots, lentilles, fèves, féveroles et pois d’Ambrevade ou pois d’Angole)(2012-2500);Légumes à cosse secs, écossés, même décortiqués ou cassés (à l'excl. des pois, des pois chiches, des haricots, des lentilles, des fèves et des féveroles)(2004-2011)</v>
      </c>
      <c r="D22" s="908">
        <f>SUM('Comext mensuel - EUROSTAT'!B31,'Comext mensuel - EUROSTAT'!D31,'Comext mensuel - EUROSTAT'!F31,'Comext mensuel - EUROSTAT'!H31,'Comext mensuel - EUROSTAT'!J31,'Comext mensuel - EUROSTAT'!L31,'Comext mensuel - EUROSTAT'!N31,'Comext mensuel - EUROSTAT'!P31,'Comext mensuel - EUROSTAT'!R31,'Comext mensuel - EUROSTAT'!T31,'Comext mensuel - EUROSTAT'!V31,'Comext mensuel - EUROSTAT'!X31)/10^4</f>
        <v>1.4677600000000002</v>
      </c>
      <c r="E22" s="908">
        <f>SUM('Comext mensuel - EUROSTAT'!C31,'Comext mensuel - EUROSTAT'!E31,'Comext mensuel - EUROSTAT'!G31,'Comext mensuel - EUROSTAT'!I31,'Comext mensuel - EUROSTAT'!K31,'Comext mensuel - EUROSTAT'!M31,'Comext mensuel - EUROSTAT'!O31,'Comext mensuel - EUROSTAT'!Q31,'Comext mensuel - EUROSTAT'!S31,'Comext mensuel - EUROSTAT'!U31,'Comext mensuel - EUROSTAT'!W31,'Comext mensuel - EUROSTAT'!Y31)/10^4</f>
        <v>1.3627449999999999</v>
      </c>
      <c r="F22" s="908">
        <f>SUM('Comext mensuel - EUROSTAT'!Z31,'Comext mensuel - EUROSTAT'!AB31,'Comext mensuel - EUROSTAT'!AD31,'Comext mensuel - EUROSTAT'!AF31,'Comext mensuel - EUROSTAT'!AH31,'Comext mensuel - EUROSTAT'!AJ31,'Comext mensuel - EUROSTAT'!AL31,'Comext mensuel - EUROSTAT'!AN31,'Comext mensuel - EUROSTAT'!AP31,'Comext mensuel - EUROSTAT'!AR31,'Comext mensuel - EUROSTAT'!AT31,'Comext mensuel - EUROSTAT'!AV31)/10^4</f>
        <v>1.9984879999999998</v>
      </c>
      <c r="G22" s="908">
        <f>SUM('Comext mensuel - EUROSTAT'!AA31,'Comext mensuel - EUROSTAT'!AC31,'Comext mensuel - EUROSTAT'!AE31,'Comext mensuel - EUROSTAT'!AG31,'Comext mensuel - EUROSTAT'!AI31,'Comext mensuel - EUROSTAT'!AK31,'Comext mensuel - EUROSTAT'!AM31,'Comext mensuel - EUROSTAT'!AO31,'Comext mensuel - EUROSTAT'!AQ31,'Comext mensuel - EUROSTAT'!AS31,'Comext mensuel - EUROSTAT'!AU31,'Comext mensuel - EUROSTAT'!AW31)/10^4</f>
        <v>9.0057899999999993</v>
      </c>
      <c r="H22" s="908">
        <f>SUM('Comext mensuel - EUROSTAT'!AX31,'Comext mensuel - EUROSTAT'!AZ31,'Comext mensuel - EUROSTAT'!BB31,'Comext mensuel - EUROSTAT'!BD31,'Comext mensuel - EUROSTAT'!BF31,'Comext mensuel - EUROSTAT'!BH31,'Comext mensuel - EUROSTAT'!BJ31,'Comext mensuel - EUROSTAT'!BL31,'Comext mensuel - EUROSTAT'!BN31,'Comext mensuel - EUROSTAT'!BP31,'Comext mensuel - EUROSTAT'!BR31,'Comext mensuel - EUROSTAT'!BT31)/10^4</f>
        <v>1.004902</v>
      </c>
      <c r="I22" s="908">
        <f>SUM('Comext mensuel - EUROSTAT'!AY31,'Comext mensuel - EUROSTAT'!BA31,'Comext mensuel - EUROSTAT'!BC31,'Comext mensuel - EUROSTAT'!BE31,'Comext mensuel - EUROSTAT'!BG31,'Comext mensuel - EUROSTAT'!BI31,'Comext mensuel - EUROSTAT'!BK31,'Comext mensuel - EUROSTAT'!BM31,'Comext mensuel - EUROSTAT'!BO31,'Comext mensuel - EUROSTAT'!BQ31,'Comext mensuel - EUROSTAT'!BS31,'Comext mensuel - EUROSTAT'!BU31)/10^4</f>
        <v>2.000254</v>
      </c>
      <c r="J22" s="911">
        <f>'Comext annuel - EUROSTAT'!C45/10^4</f>
        <v>1.404587</v>
      </c>
      <c r="K22" s="911">
        <f>'Comext annuel - EUROSTAT'!D45/10^4</f>
        <v>1.422755</v>
      </c>
      <c r="L22" s="911">
        <f>'Comext annuel - EUROSTAT'!E45/10^4</f>
        <v>1.643729</v>
      </c>
      <c r="M22" s="911">
        <f>'Comext annuel - EUROSTAT'!F45/10^4</f>
        <v>10.512357000000002</v>
      </c>
      <c r="N22" s="911">
        <f>'Comext annuel - EUROSTAT'!G45/10^4</f>
        <v>0.96886700000000003</v>
      </c>
      <c r="O22" s="911">
        <f>'Comext annuel - EUROSTAT'!H45/10^4</f>
        <v>1.233641</v>
      </c>
    </row>
    <row r="23" spans="1:15">
      <c r="B23" s="10" t="s">
        <v>717</v>
      </c>
      <c r="C23" t="str">
        <f>'Comext mensuel - EUROSTAT'!A32</f>
        <v>Farines, semoules et poudres de légumes à cosse secs du n° 0713</v>
      </c>
      <c r="D23" s="908">
        <f>SUM('Comext mensuel - EUROSTAT'!B32,'Comext mensuel - EUROSTAT'!D32,'Comext mensuel - EUROSTAT'!F32,'Comext mensuel - EUROSTAT'!H32,'Comext mensuel - EUROSTAT'!J32,'Comext mensuel - EUROSTAT'!L32,'Comext mensuel - EUROSTAT'!N32,'Comext mensuel - EUROSTAT'!P32,'Comext mensuel - EUROSTAT'!R32,'Comext mensuel - EUROSTAT'!T32,'Comext mensuel - EUROSTAT'!V32,'Comext mensuel - EUROSTAT'!X32)/10^4</f>
        <v>1.3866590000000001</v>
      </c>
      <c r="E23" s="908">
        <f>SUM('Comext mensuel - EUROSTAT'!C32,'Comext mensuel - EUROSTAT'!E32,'Comext mensuel - EUROSTAT'!G32,'Comext mensuel - EUROSTAT'!I32,'Comext mensuel - EUROSTAT'!K32,'Comext mensuel - EUROSTAT'!M32,'Comext mensuel - EUROSTAT'!O32,'Comext mensuel - EUROSTAT'!Q32,'Comext mensuel - EUROSTAT'!S32,'Comext mensuel - EUROSTAT'!U32,'Comext mensuel - EUROSTAT'!W32,'Comext mensuel - EUROSTAT'!Y32)/10^4</f>
        <v>9.9976339999999997</v>
      </c>
      <c r="F23" s="908">
        <f>SUM('Comext mensuel - EUROSTAT'!Z32,'Comext mensuel - EUROSTAT'!AB32,'Comext mensuel - EUROSTAT'!AD32,'Comext mensuel - EUROSTAT'!AF32,'Comext mensuel - EUROSTAT'!AH32,'Comext mensuel - EUROSTAT'!AJ32,'Comext mensuel - EUROSTAT'!AL32,'Comext mensuel - EUROSTAT'!AN32,'Comext mensuel - EUROSTAT'!AP32,'Comext mensuel - EUROSTAT'!AR32,'Comext mensuel - EUROSTAT'!AT32,'Comext mensuel - EUROSTAT'!AV32)/10^4</f>
        <v>3.9653070000000001</v>
      </c>
      <c r="G23" s="908">
        <f>SUM('Comext mensuel - EUROSTAT'!AA32,'Comext mensuel - EUROSTAT'!AC32,'Comext mensuel - EUROSTAT'!AE32,'Comext mensuel - EUROSTAT'!AG32,'Comext mensuel - EUROSTAT'!AI32,'Comext mensuel - EUROSTAT'!AK32,'Comext mensuel - EUROSTAT'!AM32,'Comext mensuel - EUROSTAT'!AO32,'Comext mensuel - EUROSTAT'!AQ32,'Comext mensuel - EUROSTAT'!AS32,'Comext mensuel - EUROSTAT'!AU32,'Comext mensuel - EUROSTAT'!AW32)/10^4</f>
        <v>14.273250000000001</v>
      </c>
      <c r="H23" s="908">
        <f>SUM('Comext mensuel - EUROSTAT'!AX32,'Comext mensuel - EUROSTAT'!AZ32,'Comext mensuel - EUROSTAT'!BB32,'Comext mensuel - EUROSTAT'!BD32,'Comext mensuel - EUROSTAT'!BF32,'Comext mensuel - EUROSTAT'!BH32,'Comext mensuel - EUROSTAT'!BJ32,'Comext mensuel - EUROSTAT'!BL32,'Comext mensuel - EUROSTAT'!BN32,'Comext mensuel - EUROSTAT'!BP32,'Comext mensuel - EUROSTAT'!BR32,'Comext mensuel - EUROSTAT'!BT32)/10^4</f>
        <v>4.6365359999999995</v>
      </c>
      <c r="I23" s="908">
        <f>SUM('Comext mensuel - EUROSTAT'!AY32,'Comext mensuel - EUROSTAT'!BA32,'Comext mensuel - EUROSTAT'!BC32,'Comext mensuel - EUROSTAT'!BE32,'Comext mensuel - EUROSTAT'!BG32,'Comext mensuel - EUROSTAT'!BI32,'Comext mensuel - EUROSTAT'!BK32,'Comext mensuel - EUROSTAT'!BM32,'Comext mensuel - EUROSTAT'!BO32,'Comext mensuel - EUROSTAT'!BQ32,'Comext mensuel - EUROSTAT'!BS32,'Comext mensuel - EUROSTAT'!BU32)/10^4</f>
        <v>12.396129999999999</v>
      </c>
      <c r="J23" s="911">
        <f>'Comext annuel - EUROSTAT'!C48/10^4</f>
        <v>1.254265</v>
      </c>
      <c r="K23" s="911">
        <f>'Comext annuel - EUROSTAT'!D48/10^4</f>
        <v>10.018471</v>
      </c>
      <c r="L23" s="911">
        <f>'Comext annuel - EUROSTAT'!E48/10^4</f>
        <v>3.9621019999999998</v>
      </c>
      <c r="M23" s="911">
        <f>'Comext annuel - EUROSTAT'!F48/10^4</f>
        <v>13.423542999999999</v>
      </c>
      <c r="N23" s="911">
        <f>'Comext annuel - EUROSTAT'!G48/10^4</f>
        <v>3.9481959999999998</v>
      </c>
      <c r="O23" s="911">
        <f>'Comext annuel - EUROSTAT'!H48/10^4</f>
        <v>11.556692999999999</v>
      </c>
    </row>
    <row r="24" spans="1:15">
      <c r="B24" s="10" t="s">
        <v>719</v>
      </c>
      <c r="C24" t="str">
        <f>'Comext mensuel - EUROSTAT'!A33</f>
        <v>Amidons et fécules (à l'excl. des amidons et fécules de froment {blé}, de maïs, de pommes de terre, de manioc et de riz)</v>
      </c>
      <c r="D24" s="908">
        <f>SUM('Comext mensuel - EUROSTAT'!B33,'Comext mensuel - EUROSTAT'!D33,'Comext mensuel - EUROSTAT'!F33,'Comext mensuel - EUROSTAT'!H33,'Comext mensuel - EUROSTAT'!J33,'Comext mensuel - EUROSTAT'!L33,'Comext mensuel - EUROSTAT'!N33,'Comext mensuel - EUROSTAT'!P33,'Comext mensuel - EUROSTAT'!R33,'Comext mensuel - EUROSTAT'!T33,'Comext mensuel - EUROSTAT'!V33,'Comext mensuel - EUROSTAT'!X33)/10^4</f>
        <v>0.53010200000000018</v>
      </c>
      <c r="E24" s="908">
        <f>SUM('Comext mensuel - EUROSTAT'!C33,'Comext mensuel - EUROSTAT'!E33,'Comext mensuel - EUROSTAT'!G33,'Comext mensuel - EUROSTAT'!I33,'Comext mensuel - EUROSTAT'!K33,'Comext mensuel - EUROSTAT'!M33,'Comext mensuel - EUROSTAT'!O33,'Comext mensuel - EUROSTAT'!Q33,'Comext mensuel - EUROSTAT'!S33,'Comext mensuel - EUROSTAT'!U33,'Comext mensuel - EUROSTAT'!W33,'Comext mensuel - EUROSTAT'!Y33)/10^4</f>
        <v>18.455178</v>
      </c>
      <c r="F24" s="908">
        <f>SUM('Comext mensuel - EUROSTAT'!Z33,'Comext mensuel - EUROSTAT'!AB33,'Comext mensuel - EUROSTAT'!AD33,'Comext mensuel - EUROSTAT'!AF33,'Comext mensuel - EUROSTAT'!AH33,'Comext mensuel - EUROSTAT'!AJ33,'Comext mensuel - EUROSTAT'!AL33,'Comext mensuel - EUROSTAT'!AN33,'Comext mensuel - EUROSTAT'!AP33,'Comext mensuel - EUROSTAT'!AR33,'Comext mensuel - EUROSTAT'!AT33,'Comext mensuel - EUROSTAT'!AV33)/10^4</f>
        <v>4.4663569999999995</v>
      </c>
      <c r="G24" s="908">
        <f>SUM('Comext mensuel - EUROSTAT'!AA33,'Comext mensuel - EUROSTAT'!AC33,'Comext mensuel - EUROSTAT'!AE33,'Comext mensuel - EUROSTAT'!AG33,'Comext mensuel - EUROSTAT'!AI33,'Comext mensuel - EUROSTAT'!AK33,'Comext mensuel - EUROSTAT'!AM33,'Comext mensuel - EUROSTAT'!AO33,'Comext mensuel - EUROSTAT'!AQ33,'Comext mensuel - EUROSTAT'!AS33,'Comext mensuel - EUROSTAT'!AU33,'Comext mensuel - EUROSTAT'!AW33)/10^4</f>
        <v>9.024189999999999</v>
      </c>
      <c r="H24" s="908">
        <f>SUM('Comext mensuel - EUROSTAT'!AX33,'Comext mensuel - EUROSTAT'!AZ33,'Comext mensuel - EUROSTAT'!BB33,'Comext mensuel - EUROSTAT'!BD33,'Comext mensuel - EUROSTAT'!BF33,'Comext mensuel - EUROSTAT'!BH33,'Comext mensuel - EUROSTAT'!BJ33,'Comext mensuel - EUROSTAT'!BL33,'Comext mensuel - EUROSTAT'!BN33,'Comext mensuel - EUROSTAT'!BP33,'Comext mensuel - EUROSTAT'!BR33,'Comext mensuel - EUROSTAT'!BT33)/10^4</f>
        <v>2.5523309999999997</v>
      </c>
      <c r="I24" s="908">
        <f>SUM('Comext mensuel - EUROSTAT'!AY33,'Comext mensuel - EUROSTAT'!BA33,'Comext mensuel - EUROSTAT'!BC33,'Comext mensuel - EUROSTAT'!BE33,'Comext mensuel - EUROSTAT'!BG33,'Comext mensuel - EUROSTAT'!BI33,'Comext mensuel - EUROSTAT'!BK33,'Comext mensuel - EUROSTAT'!BM33,'Comext mensuel - EUROSTAT'!BO33,'Comext mensuel - EUROSTAT'!BQ33,'Comext mensuel - EUROSTAT'!BS33,'Comext mensuel - EUROSTAT'!BU33)/10^4</f>
        <v>8.6560179999999995</v>
      </c>
      <c r="J24" s="911">
        <f>'Comext annuel - EUROSTAT'!C49/10^4</f>
        <v>0.44814499999999996</v>
      </c>
      <c r="K24" s="911">
        <f>'Comext annuel - EUROSTAT'!D49/10^4</f>
        <v>17.999767000000002</v>
      </c>
      <c r="L24" s="911">
        <f>'Comext annuel - EUROSTAT'!E49/10^4</f>
        <v>3.272097</v>
      </c>
      <c r="M24" s="911">
        <f>'Comext annuel - EUROSTAT'!F49/10^4</f>
        <v>9.4783810000000006</v>
      </c>
      <c r="N24" s="911">
        <f>'Comext annuel - EUROSTAT'!G49/10^4</f>
        <v>2.3889999999999998</v>
      </c>
      <c r="O24" s="911">
        <f>'Comext annuel - EUROSTAT'!H49/10^4</f>
        <v>7.0013240000000003</v>
      </c>
    </row>
    <row r="25" spans="1:15">
      <c r="A25" t="s">
        <v>82</v>
      </c>
      <c r="B25" s="1027" t="s">
        <v>1001</v>
      </c>
      <c r="C25" t="str">
        <f>'Comext mensuel - EUROSTAT'!A34</f>
        <v>Fèves de soja, destinées à l’ensemencement</v>
      </c>
      <c r="D25" s="909">
        <f>SUM('Comext mensuel - EUROSTAT'!B34,'Comext mensuel - EUROSTAT'!D34,'Comext mensuel - EUROSTAT'!F34,'Comext mensuel - EUROSTAT'!H34,'Comext mensuel - EUROSTAT'!J34,'Comext mensuel - EUROSTAT'!L34,'Comext mensuel - EUROSTAT'!N34,'Comext mensuel - EUROSTAT'!P34,'Comext mensuel - EUROSTAT'!R34,'Comext mensuel - EUROSTAT'!T34,'Comext mensuel - EUROSTAT'!V34,'Comext mensuel - EUROSTAT'!X34)/10^4</f>
        <v>1.0227480000000002</v>
      </c>
      <c r="E25" s="909">
        <f>SUM('Comext mensuel - EUROSTAT'!C34,'Comext mensuel - EUROSTAT'!E34,'Comext mensuel - EUROSTAT'!G34,'Comext mensuel - EUROSTAT'!I34,'Comext mensuel - EUROSTAT'!K34,'Comext mensuel - EUROSTAT'!M34,'Comext mensuel - EUROSTAT'!O34,'Comext mensuel - EUROSTAT'!Q34,'Comext mensuel - EUROSTAT'!S34,'Comext mensuel - EUROSTAT'!U34,'Comext mensuel - EUROSTAT'!W34,'Comext mensuel - EUROSTAT'!Y34)/10^4</f>
        <v>3.8028190000000004</v>
      </c>
      <c r="F25" s="909">
        <f>SUM('Comext mensuel - EUROSTAT'!Z34,'Comext mensuel - EUROSTAT'!AB34,'Comext mensuel - EUROSTAT'!AD34,'Comext mensuel - EUROSTAT'!AF34,'Comext mensuel - EUROSTAT'!AH34,'Comext mensuel - EUROSTAT'!AJ34,'Comext mensuel - EUROSTAT'!AL34,'Comext mensuel - EUROSTAT'!AN34,'Comext mensuel - EUROSTAT'!AP34,'Comext mensuel - EUROSTAT'!AR34,'Comext mensuel - EUROSTAT'!AT34,'Comext mensuel - EUROSTAT'!AV34)/10^4</f>
        <v>3.4552909999999994</v>
      </c>
      <c r="G25" s="909">
        <f>SUM('Comext mensuel - EUROSTAT'!AA34,'Comext mensuel - EUROSTAT'!AC34,'Comext mensuel - EUROSTAT'!AE34,'Comext mensuel - EUROSTAT'!AG34,'Comext mensuel - EUROSTAT'!AI34,'Comext mensuel - EUROSTAT'!AK34,'Comext mensuel - EUROSTAT'!AM34,'Comext mensuel - EUROSTAT'!AO34,'Comext mensuel - EUROSTAT'!AQ34,'Comext mensuel - EUROSTAT'!AS34,'Comext mensuel - EUROSTAT'!AU34,'Comext mensuel - EUROSTAT'!AW34)/10^4</f>
        <v>2.4932900000000005</v>
      </c>
      <c r="H25" s="909">
        <f>SUM('Comext mensuel - EUROSTAT'!AX34,'Comext mensuel - EUROSTAT'!AZ34,'Comext mensuel - EUROSTAT'!BB34,'Comext mensuel - EUROSTAT'!BD34,'Comext mensuel - EUROSTAT'!BF34,'Comext mensuel - EUROSTAT'!BH34,'Comext mensuel - EUROSTAT'!BJ34,'Comext mensuel - EUROSTAT'!BL34,'Comext mensuel - EUROSTAT'!BN34,'Comext mensuel - EUROSTAT'!BP34,'Comext mensuel - EUROSTAT'!BR34,'Comext mensuel - EUROSTAT'!BT34)/10^4</f>
        <v>4.4113309999999997</v>
      </c>
      <c r="I25" s="909">
        <f>SUM('Comext mensuel - EUROSTAT'!AY34,'Comext mensuel - EUROSTAT'!BA34,'Comext mensuel - EUROSTAT'!BC34,'Comext mensuel - EUROSTAT'!BE34,'Comext mensuel - EUROSTAT'!BG34,'Comext mensuel - EUROSTAT'!BI34,'Comext mensuel - EUROSTAT'!BK34,'Comext mensuel - EUROSTAT'!BM34,'Comext mensuel - EUROSTAT'!BO34,'Comext mensuel - EUROSTAT'!BQ34,'Comext mensuel - EUROSTAT'!BS34,'Comext mensuel - EUROSTAT'!BU34)/10^4</f>
        <v>2.5940489999999996</v>
      </c>
      <c r="J25" s="911">
        <f>'Comext annuel - EUROSTAT'!C50/10^4</f>
        <v>1.27694</v>
      </c>
      <c r="K25" s="911">
        <f>'Comext annuel - EUROSTAT'!D50/10^4</f>
        <v>2.3925719999999999</v>
      </c>
      <c r="L25" s="911">
        <f>'Comext annuel - EUROSTAT'!E50/10^4</f>
        <v>2.1352279999999997</v>
      </c>
      <c r="M25" s="911">
        <f>'Comext annuel - EUROSTAT'!F50/10^4</f>
        <v>2.0959970000000001</v>
      </c>
      <c r="N25" s="911">
        <f>'Comext annuel - EUROSTAT'!G50/10^4</f>
        <v>3.58325</v>
      </c>
      <c r="O25" s="911">
        <f>'Comext annuel - EUROSTAT'!H50/10^4</f>
        <v>3.2925949999999995</v>
      </c>
    </row>
    <row r="26" spans="1:15">
      <c r="A26" t="s">
        <v>82</v>
      </c>
      <c r="B26" s="1027"/>
      <c r="C26" t="str">
        <f>'Comext mensuel - EUROSTAT'!A35</f>
        <v>Fèves de soja, même concassées (à l'excl. des fèves de soja destinées à l'ensemencement)</v>
      </c>
      <c r="D26" s="909">
        <f>SUM('Comext mensuel - EUROSTAT'!B35,'Comext mensuel - EUROSTAT'!D35,'Comext mensuel - EUROSTAT'!F35,'Comext mensuel - EUROSTAT'!H35,'Comext mensuel - EUROSTAT'!J35,'Comext mensuel - EUROSTAT'!L35,'Comext mensuel - EUROSTAT'!N35,'Comext mensuel - EUROSTAT'!P35,'Comext mensuel - EUROSTAT'!R35,'Comext mensuel - EUROSTAT'!T35,'Comext mensuel - EUROSTAT'!V35,'Comext mensuel - EUROSTAT'!X35)/10^4</f>
        <v>847.19354799999985</v>
      </c>
      <c r="E26" s="909">
        <f>SUM('Comext mensuel - EUROSTAT'!C35,'Comext mensuel - EUROSTAT'!E35,'Comext mensuel - EUROSTAT'!G35,'Comext mensuel - EUROSTAT'!I35,'Comext mensuel - EUROSTAT'!K35,'Comext mensuel - EUROSTAT'!M35,'Comext mensuel - EUROSTAT'!O35,'Comext mensuel - EUROSTAT'!Q35,'Comext mensuel - EUROSTAT'!S35,'Comext mensuel - EUROSTAT'!U35,'Comext mensuel - EUROSTAT'!W35,'Comext mensuel - EUROSTAT'!Y35)/10^4</f>
        <v>92.202234000000004</v>
      </c>
      <c r="F26" s="909">
        <f>SUM('Comext mensuel - EUROSTAT'!Z35,'Comext mensuel - EUROSTAT'!AB35,'Comext mensuel - EUROSTAT'!AD35,'Comext mensuel - EUROSTAT'!AF35,'Comext mensuel - EUROSTAT'!AH35,'Comext mensuel - EUROSTAT'!AJ35,'Comext mensuel - EUROSTAT'!AL35,'Comext mensuel - EUROSTAT'!AN35,'Comext mensuel - EUROSTAT'!AP35,'Comext mensuel - EUROSTAT'!AR35,'Comext mensuel - EUROSTAT'!AT35,'Comext mensuel - EUROSTAT'!AV35)/10^4</f>
        <v>654.66234199999997</v>
      </c>
      <c r="G26" s="909">
        <f>SUM('Comext mensuel - EUROSTAT'!AA35,'Comext mensuel - EUROSTAT'!AC35,'Comext mensuel - EUROSTAT'!AE35,'Comext mensuel - EUROSTAT'!AG35,'Comext mensuel - EUROSTAT'!AI35,'Comext mensuel - EUROSTAT'!AK35,'Comext mensuel - EUROSTAT'!AM35,'Comext mensuel - EUROSTAT'!AO35,'Comext mensuel - EUROSTAT'!AQ35,'Comext mensuel - EUROSTAT'!AS35,'Comext mensuel - EUROSTAT'!AU35,'Comext mensuel - EUROSTAT'!AW35)/10^4</f>
        <v>161.18133900000001</v>
      </c>
      <c r="H26" s="909">
        <f>SUM('Comext mensuel - EUROSTAT'!AX35,'Comext mensuel - EUROSTAT'!AZ35,'Comext mensuel - EUROSTAT'!BB35,'Comext mensuel - EUROSTAT'!BD35,'Comext mensuel - EUROSTAT'!BF35,'Comext mensuel - EUROSTAT'!BH35,'Comext mensuel - EUROSTAT'!BJ35,'Comext mensuel - EUROSTAT'!BL35,'Comext mensuel - EUROSTAT'!BN35,'Comext mensuel - EUROSTAT'!BP35,'Comext mensuel - EUROSTAT'!BR35,'Comext mensuel - EUROSTAT'!BT35)/10^4</f>
        <v>398.21128400000003</v>
      </c>
      <c r="I26" s="909">
        <f>SUM('Comext mensuel - EUROSTAT'!AY35,'Comext mensuel - EUROSTAT'!BA35,'Comext mensuel - EUROSTAT'!BC35,'Comext mensuel - EUROSTAT'!BE35,'Comext mensuel - EUROSTAT'!BG35,'Comext mensuel - EUROSTAT'!BI35,'Comext mensuel - EUROSTAT'!BK35,'Comext mensuel - EUROSTAT'!BM35,'Comext mensuel - EUROSTAT'!BO35,'Comext mensuel - EUROSTAT'!BQ35,'Comext mensuel - EUROSTAT'!BS35,'Comext mensuel - EUROSTAT'!BU35)/10^4</f>
        <v>137.729659</v>
      </c>
      <c r="J26" s="911">
        <f>'Comext annuel - EUROSTAT'!C51/10^4</f>
        <v>718.82573500000001</v>
      </c>
      <c r="K26" s="911">
        <f>'Comext annuel - EUROSTAT'!D51/10^4</f>
        <v>63.632481000000006</v>
      </c>
      <c r="L26" s="911">
        <f>'Comext annuel - EUROSTAT'!E51/10^4</f>
        <v>598.68189000000007</v>
      </c>
      <c r="M26" s="911">
        <f>'Comext annuel - EUROSTAT'!F51/10^4</f>
        <v>133.284549</v>
      </c>
      <c r="N26" s="911">
        <f>'Comext annuel - EUROSTAT'!G51/10^4</f>
        <v>456.15932400000003</v>
      </c>
      <c r="O26" s="911">
        <f>'Comext annuel - EUROSTAT'!H51/10^4</f>
        <v>118.44228500000001</v>
      </c>
    </row>
    <row r="27" spans="1:15">
      <c r="A27" t="s">
        <v>83</v>
      </c>
      <c r="B27" s="1027"/>
      <c r="C27" t="str">
        <f>'Comext mensuel - EUROSTAT'!A36</f>
        <v>Graines de lin, destinées à l'ensemencement</v>
      </c>
      <c r="D27" s="909">
        <f>SUM('Comext mensuel - EUROSTAT'!B36,'Comext mensuel - EUROSTAT'!D36,'Comext mensuel - EUROSTAT'!F36,'Comext mensuel - EUROSTAT'!H36,'Comext mensuel - EUROSTAT'!J36,'Comext mensuel - EUROSTAT'!L36,'Comext mensuel - EUROSTAT'!N36,'Comext mensuel - EUROSTAT'!P36,'Comext mensuel - EUROSTAT'!R36,'Comext mensuel - EUROSTAT'!T36,'Comext mensuel - EUROSTAT'!V36,'Comext mensuel - EUROSTAT'!X36)/10^4</f>
        <v>1.391394</v>
      </c>
      <c r="E27" s="909">
        <f>SUM('Comext mensuel - EUROSTAT'!C36,'Comext mensuel - EUROSTAT'!E36,'Comext mensuel - EUROSTAT'!G36,'Comext mensuel - EUROSTAT'!I36,'Comext mensuel - EUROSTAT'!K36,'Comext mensuel - EUROSTAT'!M36,'Comext mensuel - EUROSTAT'!O36,'Comext mensuel - EUROSTAT'!Q36,'Comext mensuel - EUROSTAT'!S36,'Comext mensuel - EUROSTAT'!U36,'Comext mensuel - EUROSTAT'!W36,'Comext mensuel - EUROSTAT'!Y36)/10^4</f>
        <v>1.4576070000000001</v>
      </c>
      <c r="F27" s="909">
        <f>SUM('Comext mensuel - EUROSTAT'!Z36,'Comext mensuel - EUROSTAT'!AB36,'Comext mensuel - EUROSTAT'!AD36,'Comext mensuel - EUROSTAT'!AF36,'Comext mensuel - EUROSTAT'!AH36,'Comext mensuel - EUROSTAT'!AJ36,'Comext mensuel - EUROSTAT'!AL36,'Comext mensuel - EUROSTAT'!AN36,'Comext mensuel - EUROSTAT'!AP36,'Comext mensuel - EUROSTAT'!AR36,'Comext mensuel - EUROSTAT'!AT36,'Comext mensuel - EUROSTAT'!AV36)/10^4</f>
        <v>3.9844019999999998</v>
      </c>
      <c r="G27" s="909">
        <f>SUM('Comext mensuel - EUROSTAT'!AA36,'Comext mensuel - EUROSTAT'!AC36,'Comext mensuel - EUROSTAT'!AE36,'Comext mensuel - EUROSTAT'!AG36,'Comext mensuel - EUROSTAT'!AI36,'Comext mensuel - EUROSTAT'!AK36,'Comext mensuel - EUROSTAT'!AM36,'Comext mensuel - EUROSTAT'!AO36,'Comext mensuel - EUROSTAT'!AQ36,'Comext mensuel - EUROSTAT'!AS36,'Comext mensuel - EUROSTAT'!AU36,'Comext mensuel - EUROSTAT'!AW36)/10^4</f>
        <v>1.0773420000000002</v>
      </c>
      <c r="H27" s="909">
        <f>SUM('Comext mensuel - EUROSTAT'!AX36,'Comext mensuel - EUROSTAT'!AZ36,'Comext mensuel - EUROSTAT'!BB36,'Comext mensuel - EUROSTAT'!BD36,'Comext mensuel - EUROSTAT'!BF36,'Comext mensuel - EUROSTAT'!BH36,'Comext mensuel - EUROSTAT'!BJ36,'Comext mensuel - EUROSTAT'!BL36,'Comext mensuel - EUROSTAT'!BN36,'Comext mensuel - EUROSTAT'!BP36,'Comext mensuel - EUROSTAT'!BR36,'Comext mensuel - EUROSTAT'!BT36)/10^4</f>
        <v>3.1279809999999997</v>
      </c>
      <c r="I27" s="909">
        <f>SUM('Comext mensuel - EUROSTAT'!AY36,'Comext mensuel - EUROSTAT'!BA36,'Comext mensuel - EUROSTAT'!BC36,'Comext mensuel - EUROSTAT'!BE36,'Comext mensuel - EUROSTAT'!BG36,'Comext mensuel - EUROSTAT'!BI36,'Comext mensuel - EUROSTAT'!BK36,'Comext mensuel - EUROSTAT'!BM36,'Comext mensuel - EUROSTAT'!BO36,'Comext mensuel - EUROSTAT'!BQ36,'Comext mensuel - EUROSTAT'!BS36,'Comext mensuel - EUROSTAT'!BU36)/10^4</f>
        <v>1.5444899999999999</v>
      </c>
      <c r="J27" s="911">
        <f>'Comext annuel - EUROSTAT'!C52/10^4</f>
        <v>1.363264</v>
      </c>
      <c r="K27" s="911">
        <f>'Comext annuel - EUROSTAT'!D52/10^4</f>
        <v>1.253576</v>
      </c>
      <c r="L27" s="911">
        <f>'Comext annuel - EUROSTAT'!E52/10^4</f>
        <v>2.835655</v>
      </c>
      <c r="M27" s="911">
        <f>'Comext annuel - EUROSTAT'!F52/10^4</f>
        <v>1.2469920000000001</v>
      </c>
      <c r="N27" s="911">
        <f>'Comext annuel - EUROSTAT'!G52/10^4</f>
        <v>3.8508879999999999</v>
      </c>
      <c r="O27" s="911">
        <f>'Comext annuel - EUROSTAT'!H52/10^4</f>
        <v>2.102773</v>
      </c>
    </row>
    <row r="28" spans="1:15" ht="14.4" customHeight="1">
      <c r="A28" t="s">
        <v>83</v>
      </c>
      <c r="B28" s="1027"/>
      <c r="C28" t="str">
        <f>'Comext mensuel - EUROSTAT'!A37</f>
        <v>Graines de lin, même concassées (à l'excl. des graines destinées à l'ensemencement)</v>
      </c>
      <c r="D28" s="909">
        <f>SUM('Comext mensuel - EUROSTAT'!B37,'Comext mensuel - EUROSTAT'!D37,'Comext mensuel - EUROSTAT'!F37,'Comext mensuel - EUROSTAT'!H37,'Comext mensuel - EUROSTAT'!J37,'Comext mensuel - EUROSTAT'!L37,'Comext mensuel - EUROSTAT'!N37,'Comext mensuel - EUROSTAT'!P37,'Comext mensuel - EUROSTAT'!R37,'Comext mensuel - EUROSTAT'!T37,'Comext mensuel - EUROSTAT'!V37,'Comext mensuel - EUROSTAT'!X37)/10^4</f>
        <v>23.627089000000002</v>
      </c>
      <c r="E28" s="909">
        <f>SUM('Comext mensuel - EUROSTAT'!C37,'Comext mensuel - EUROSTAT'!E37,'Comext mensuel - EUROSTAT'!G37,'Comext mensuel - EUROSTAT'!I37,'Comext mensuel - EUROSTAT'!K37,'Comext mensuel - EUROSTAT'!M37,'Comext mensuel - EUROSTAT'!O37,'Comext mensuel - EUROSTAT'!Q37,'Comext mensuel - EUROSTAT'!S37,'Comext mensuel - EUROSTAT'!U37,'Comext mensuel - EUROSTAT'!W37,'Comext mensuel - EUROSTAT'!Y37)/10^4</f>
        <v>8.2929260000000014</v>
      </c>
      <c r="F28" s="909">
        <f>SUM('Comext mensuel - EUROSTAT'!Z37,'Comext mensuel - EUROSTAT'!AB37,'Comext mensuel - EUROSTAT'!AD37,'Comext mensuel - EUROSTAT'!AF37,'Comext mensuel - EUROSTAT'!AH37,'Comext mensuel - EUROSTAT'!AJ37,'Comext mensuel - EUROSTAT'!AL37,'Comext mensuel - EUROSTAT'!AN37,'Comext mensuel - EUROSTAT'!AP37,'Comext mensuel - EUROSTAT'!AR37,'Comext mensuel - EUROSTAT'!AT37,'Comext mensuel - EUROSTAT'!AV37)/10^4</f>
        <v>30.957901999999997</v>
      </c>
      <c r="G28" s="909">
        <f>SUM('Comext mensuel - EUROSTAT'!AA37,'Comext mensuel - EUROSTAT'!AC37,'Comext mensuel - EUROSTAT'!AE37,'Comext mensuel - EUROSTAT'!AG37,'Comext mensuel - EUROSTAT'!AI37,'Comext mensuel - EUROSTAT'!AK37,'Comext mensuel - EUROSTAT'!AM37,'Comext mensuel - EUROSTAT'!AO37,'Comext mensuel - EUROSTAT'!AQ37,'Comext mensuel - EUROSTAT'!AS37,'Comext mensuel - EUROSTAT'!AU37,'Comext mensuel - EUROSTAT'!AW37)/10^4</f>
        <v>11.899403</v>
      </c>
      <c r="H28" s="909">
        <f>SUM('Comext mensuel - EUROSTAT'!AX37,'Comext mensuel - EUROSTAT'!AZ37,'Comext mensuel - EUROSTAT'!BB37,'Comext mensuel - EUROSTAT'!BD37,'Comext mensuel - EUROSTAT'!BF37,'Comext mensuel - EUROSTAT'!BH37,'Comext mensuel - EUROSTAT'!BJ37,'Comext mensuel - EUROSTAT'!BL37,'Comext mensuel - EUROSTAT'!BN37,'Comext mensuel - EUROSTAT'!BP37,'Comext mensuel - EUROSTAT'!BR37,'Comext mensuel - EUROSTAT'!BT37)/10^4</f>
        <v>31.738601999999997</v>
      </c>
      <c r="I28" s="909">
        <f>SUM('Comext mensuel - EUROSTAT'!AY37,'Comext mensuel - EUROSTAT'!BA37,'Comext mensuel - EUROSTAT'!BC37,'Comext mensuel - EUROSTAT'!BE37,'Comext mensuel - EUROSTAT'!BG37,'Comext mensuel - EUROSTAT'!BI37,'Comext mensuel - EUROSTAT'!BK37,'Comext mensuel - EUROSTAT'!BM37,'Comext mensuel - EUROSTAT'!BO37,'Comext mensuel - EUROSTAT'!BQ37,'Comext mensuel - EUROSTAT'!BS37,'Comext mensuel - EUROSTAT'!BU37)/10^4</f>
        <v>14.145378999999998</v>
      </c>
      <c r="J28" s="911">
        <f>'Comext annuel - EUROSTAT'!C53/10^4</f>
        <v>26.658079999999998</v>
      </c>
      <c r="K28" s="911">
        <f>'Comext annuel - EUROSTAT'!D53/10^4</f>
        <v>6.1469529999999999</v>
      </c>
      <c r="L28" s="911">
        <f>'Comext annuel - EUROSTAT'!E53/10^4</f>
        <v>29.273608000000003</v>
      </c>
      <c r="M28" s="911">
        <f>'Comext annuel - EUROSTAT'!F53/10^4</f>
        <v>12.961926</v>
      </c>
      <c r="N28" s="911">
        <f>'Comext annuel - EUROSTAT'!G53/10^4</f>
        <v>36.697959999999995</v>
      </c>
      <c r="O28" s="911">
        <f>'Comext annuel - EUROSTAT'!H53/10^4</f>
        <v>18.240454999999997</v>
      </c>
    </row>
    <row r="29" spans="1:15">
      <c r="A29" t="s">
        <v>80</v>
      </c>
      <c r="B29" s="1027"/>
      <c r="C29" t="str">
        <f>'Comext mensuel - EUROSTAT'!A40</f>
        <v>Graines de navette ou de colza à faible teneur en acide érucique "fournissant une huile fixe dont la teneur en acide érucique est &lt; 2% et un composant solide qui contient &lt; 30 micromoles/g de glucosinolates", destinées à l'ensemencement</v>
      </c>
      <c r="D29" s="909">
        <f>SUM('Comext mensuel - EUROSTAT'!B40,'Comext mensuel - EUROSTAT'!D40,'Comext mensuel - EUROSTAT'!F40,'Comext mensuel - EUROSTAT'!H40,'Comext mensuel - EUROSTAT'!J40,'Comext mensuel - EUROSTAT'!L40,'Comext mensuel - EUROSTAT'!N40,'Comext mensuel - EUROSTAT'!P40,'Comext mensuel - EUROSTAT'!R40,'Comext mensuel - EUROSTAT'!T40,'Comext mensuel - EUROSTAT'!V40,'Comext mensuel - EUROSTAT'!X40)/10^4</f>
        <v>5.6017270000000003</v>
      </c>
      <c r="E29" s="909">
        <f>SUM('Comext mensuel - EUROSTAT'!C40,'Comext mensuel - EUROSTAT'!E40,'Comext mensuel - EUROSTAT'!G40,'Comext mensuel - EUROSTAT'!I40,'Comext mensuel - EUROSTAT'!K40,'Comext mensuel - EUROSTAT'!M40,'Comext mensuel - EUROSTAT'!O40,'Comext mensuel - EUROSTAT'!Q40,'Comext mensuel - EUROSTAT'!S40,'Comext mensuel - EUROSTAT'!U40,'Comext mensuel - EUROSTAT'!W40,'Comext mensuel - EUROSTAT'!Y40)/10^4</f>
        <v>16.651907000000001</v>
      </c>
      <c r="F29" s="909">
        <f>SUM('Comext mensuel - EUROSTAT'!Z40,'Comext mensuel - EUROSTAT'!AB40,'Comext mensuel - EUROSTAT'!AD40,'Comext mensuel - EUROSTAT'!AF40,'Comext mensuel - EUROSTAT'!AH40,'Comext mensuel - EUROSTAT'!AJ40,'Comext mensuel - EUROSTAT'!AL40,'Comext mensuel - EUROSTAT'!AN40,'Comext mensuel - EUROSTAT'!AP40,'Comext mensuel - EUROSTAT'!AR40,'Comext mensuel - EUROSTAT'!AT40,'Comext mensuel - EUROSTAT'!AV40)/10^4</f>
        <v>14.702152000000002</v>
      </c>
      <c r="G29" s="909">
        <f>SUM('Comext mensuel - EUROSTAT'!AA40,'Comext mensuel - EUROSTAT'!AC40,'Comext mensuel - EUROSTAT'!AE40,'Comext mensuel - EUROSTAT'!AG40,'Comext mensuel - EUROSTAT'!AI40,'Comext mensuel - EUROSTAT'!AK40,'Comext mensuel - EUROSTAT'!AM40,'Comext mensuel - EUROSTAT'!AO40,'Comext mensuel - EUROSTAT'!AQ40,'Comext mensuel - EUROSTAT'!AS40,'Comext mensuel - EUROSTAT'!AU40,'Comext mensuel - EUROSTAT'!AW40)/10^4</f>
        <v>34.128390000000003</v>
      </c>
      <c r="H29" s="909">
        <f>SUM('Comext mensuel - EUROSTAT'!AX40,'Comext mensuel - EUROSTAT'!AZ40,'Comext mensuel - EUROSTAT'!BB40,'Comext mensuel - EUROSTAT'!BD40,'Comext mensuel - EUROSTAT'!BF40,'Comext mensuel - EUROSTAT'!BH40,'Comext mensuel - EUROSTAT'!BJ40,'Comext mensuel - EUROSTAT'!BL40,'Comext mensuel - EUROSTAT'!BN40,'Comext mensuel - EUROSTAT'!BP40,'Comext mensuel - EUROSTAT'!BR40,'Comext mensuel - EUROSTAT'!BT40)/10^4</f>
        <v>10.724124999999997</v>
      </c>
      <c r="I29" s="909">
        <f>SUM('Comext mensuel - EUROSTAT'!AY40,'Comext mensuel - EUROSTAT'!BA40,'Comext mensuel - EUROSTAT'!BC40,'Comext mensuel - EUROSTAT'!BE40,'Comext mensuel - EUROSTAT'!BG40,'Comext mensuel - EUROSTAT'!BI40,'Comext mensuel - EUROSTAT'!BK40,'Comext mensuel - EUROSTAT'!BM40,'Comext mensuel - EUROSTAT'!BO40,'Comext mensuel - EUROSTAT'!BQ40,'Comext mensuel - EUROSTAT'!BS40,'Comext mensuel - EUROSTAT'!BU40)/10^4</f>
        <v>41.632103000000001</v>
      </c>
      <c r="J29" s="911">
        <f>'Comext annuel - EUROSTAT'!C57/10^4</f>
        <v>5.0754449999999993</v>
      </c>
      <c r="K29" s="911">
        <f>'Comext annuel - EUROSTAT'!D57/10^4</f>
        <v>19.667012</v>
      </c>
      <c r="L29" s="911">
        <f>'Comext annuel - EUROSTAT'!E57/10^4</f>
        <v>12.787753</v>
      </c>
      <c r="M29" s="911">
        <f>'Comext annuel - EUROSTAT'!F57/10^4</f>
        <v>33.734976000000003</v>
      </c>
      <c r="N29" s="911">
        <f>'Comext annuel - EUROSTAT'!G57/10^4</f>
        <v>9.9760039999999996</v>
      </c>
      <c r="O29" s="911">
        <f>'Comext annuel - EUROSTAT'!H57/10^4</f>
        <v>69.816693999999998</v>
      </c>
    </row>
    <row r="30" spans="1:15">
      <c r="A30" t="s">
        <v>80</v>
      </c>
      <c r="B30" s="1027"/>
      <c r="C30" t="str">
        <f>'Comext mensuel - EUROSTAT'!A41</f>
        <v>Graines de navette ou de colza à faible teneur en acide érucique "fournissant une huile fixe dont la teneur en acide érucique est &lt; 2% et un composant solide qui contient &lt; 30 micromoles/g de glucosinolates", même concassées (à l'excl. des graines destinées à l'ensemencement)</v>
      </c>
      <c r="D30" s="909">
        <f>SUM('Comext mensuel - EUROSTAT'!B41,'Comext mensuel - EUROSTAT'!D41,'Comext mensuel - EUROSTAT'!F41,'Comext mensuel - EUROSTAT'!H41,'Comext mensuel - EUROSTAT'!J41,'Comext mensuel - EUROSTAT'!L41,'Comext mensuel - EUROSTAT'!N41,'Comext mensuel - EUROSTAT'!P41,'Comext mensuel - EUROSTAT'!R41,'Comext mensuel - EUROSTAT'!T41,'Comext mensuel - EUROSTAT'!V41,'Comext mensuel - EUROSTAT'!X41)/10^4</f>
        <v>1201.7198249999999</v>
      </c>
      <c r="E30" s="909">
        <f>SUM('Comext mensuel - EUROSTAT'!C41,'Comext mensuel - EUROSTAT'!E41,'Comext mensuel - EUROSTAT'!G41,'Comext mensuel - EUROSTAT'!I41,'Comext mensuel - EUROSTAT'!K41,'Comext mensuel - EUROSTAT'!M41,'Comext mensuel - EUROSTAT'!O41,'Comext mensuel - EUROSTAT'!Q41,'Comext mensuel - EUROSTAT'!S41,'Comext mensuel - EUROSTAT'!U41,'Comext mensuel - EUROSTAT'!W41,'Comext mensuel - EUROSTAT'!Y41)/10^4</f>
        <v>1062.5669890000001</v>
      </c>
      <c r="F30" s="909">
        <f>SUM('Comext mensuel - EUROSTAT'!Z41,'Comext mensuel - EUROSTAT'!AB41,'Comext mensuel - EUROSTAT'!AD41,'Comext mensuel - EUROSTAT'!AF41,'Comext mensuel - EUROSTAT'!AH41,'Comext mensuel - EUROSTAT'!AJ41,'Comext mensuel - EUROSTAT'!AL41,'Comext mensuel - EUROSTAT'!AN41,'Comext mensuel - EUROSTAT'!AP41,'Comext mensuel - EUROSTAT'!AR41,'Comext mensuel - EUROSTAT'!AT41,'Comext mensuel - EUROSTAT'!AV41)/10^4</f>
        <v>1580.6111230000001</v>
      </c>
      <c r="G30" s="909">
        <f>SUM('Comext mensuel - EUROSTAT'!AA41,'Comext mensuel - EUROSTAT'!AC41,'Comext mensuel - EUROSTAT'!AE41,'Comext mensuel - EUROSTAT'!AG41,'Comext mensuel - EUROSTAT'!AI41,'Comext mensuel - EUROSTAT'!AK41,'Comext mensuel - EUROSTAT'!AM41,'Comext mensuel - EUROSTAT'!AO41,'Comext mensuel - EUROSTAT'!AQ41,'Comext mensuel - EUROSTAT'!AS41,'Comext mensuel - EUROSTAT'!AU41,'Comext mensuel - EUROSTAT'!AW41)/10^4</f>
        <v>760.56694800000002</v>
      </c>
      <c r="H30" s="909">
        <f>SUM('Comext mensuel - EUROSTAT'!AX41,'Comext mensuel - EUROSTAT'!AZ41,'Comext mensuel - EUROSTAT'!BB41,'Comext mensuel - EUROSTAT'!BD41,'Comext mensuel - EUROSTAT'!BF41,'Comext mensuel - EUROSTAT'!BH41,'Comext mensuel - EUROSTAT'!BJ41,'Comext mensuel - EUROSTAT'!BL41,'Comext mensuel - EUROSTAT'!BN41,'Comext mensuel - EUROSTAT'!BP41,'Comext mensuel - EUROSTAT'!BR41,'Comext mensuel - EUROSTAT'!BT41)/10^4</f>
        <v>1144.9802520000001</v>
      </c>
      <c r="I30" s="909">
        <f>SUM('Comext mensuel - EUROSTAT'!AY41,'Comext mensuel - EUROSTAT'!BA41,'Comext mensuel - EUROSTAT'!BC41,'Comext mensuel - EUROSTAT'!BE41,'Comext mensuel - EUROSTAT'!BG41,'Comext mensuel - EUROSTAT'!BI41,'Comext mensuel - EUROSTAT'!BK41,'Comext mensuel - EUROSTAT'!BM41,'Comext mensuel - EUROSTAT'!BO41,'Comext mensuel - EUROSTAT'!BQ41,'Comext mensuel - EUROSTAT'!BS41,'Comext mensuel - EUROSTAT'!BU41)/10^4</f>
        <v>666.46156400000007</v>
      </c>
      <c r="J30" s="911">
        <f>'Comext annuel - EUROSTAT'!C58/10^4</f>
        <v>1098.114206</v>
      </c>
      <c r="K30" s="911">
        <f>'Comext annuel - EUROSTAT'!D58/10^4</f>
        <v>992.88740099999995</v>
      </c>
      <c r="L30" s="911">
        <f>'Comext annuel - EUROSTAT'!E58/10^4</f>
        <v>1222.050068</v>
      </c>
      <c r="M30" s="911">
        <f>'Comext annuel - EUROSTAT'!F58/10^4</f>
        <v>1079.7537480000001</v>
      </c>
      <c r="N30" s="911">
        <f>'Comext annuel - EUROSTAT'!G58/10^4</f>
        <v>1403.0063689999999</v>
      </c>
      <c r="O30" s="911">
        <f>'Comext annuel - EUROSTAT'!H58/10^4</f>
        <v>522.43720999999994</v>
      </c>
    </row>
    <row r="31" spans="1:15">
      <c r="A31" t="s">
        <v>80</v>
      </c>
      <c r="B31" s="1027"/>
      <c r="C31" t="str">
        <f>'Comext mensuel - EUROSTAT'!A42</f>
        <v>Graines de navette ou de colza d'une teneur élevée en acide érucique "fournissant une huile fixe dont la teneur en acide érucique est &gt;= 2% et un composant solide qui contient &gt;= 30 micromoles/g de glucosinolates", même concassées</v>
      </c>
      <c r="D31" s="909">
        <f>SUM('Comext mensuel - EUROSTAT'!B42,'Comext mensuel - EUROSTAT'!D42,'Comext mensuel - EUROSTAT'!F42,'Comext mensuel - EUROSTAT'!H42,'Comext mensuel - EUROSTAT'!J42,'Comext mensuel - EUROSTAT'!L42,'Comext mensuel - EUROSTAT'!N42,'Comext mensuel - EUROSTAT'!P42,'Comext mensuel - EUROSTAT'!R42,'Comext mensuel - EUROSTAT'!T42,'Comext mensuel - EUROSTAT'!V42,'Comext mensuel - EUROSTAT'!X42)/10^4</f>
        <v>7.7880500000000001</v>
      </c>
      <c r="E31" s="909">
        <f>SUM('Comext mensuel - EUROSTAT'!C42,'Comext mensuel - EUROSTAT'!E42,'Comext mensuel - EUROSTAT'!G42,'Comext mensuel - EUROSTAT'!I42,'Comext mensuel - EUROSTAT'!K42,'Comext mensuel - EUROSTAT'!M42,'Comext mensuel - EUROSTAT'!O42,'Comext mensuel - EUROSTAT'!Q42,'Comext mensuel - EUROSTAT'!S42,'Comext mensuel - EUROSTAT'!U42,'Comext mensuel - EUROSTAT'!W42,'Comext mensuel - EUROSTAT'!Y42)/10^4</f>
        <v>431.84377499999999</v>
      </c>
      <c r="F31" s="909">
        <f>SUM('Comext mensuel - EUROSTAT'!Z42,'Comext mensuel - EUROSTAT'!AB42,'Comext mensuel - EUROSTAT'!AD42,'Comext mensuel - EUROSTAT'!AF42,'Comext mensuel - EUROSTAT'!AH42,'Comext mensuel - EUROSTAT'!AJ42,'Comext mensuel - EUROSTAT'!AL42,'Comext mensuel - EUROSTAT'!AN42,'Comext mensuel - EUROSTAT'!AP42,'Comext mensuel - EUROSTAT'!AR42,'Comext mensuel - EUROSTAT'!AT42,'Comext mensuel - EUROSTAT'!AV42)/10^4</f>
        <v>12.069853999999999</v>
      </c>
      <c r="G31" s="909">
        <f>SUM('Comext mensuel - EUROSTAT'!AA42,'Comext mensuel - EUROSTAT'!AC42,'Comext mensuel - EUROSTAT'!AE42,'Comext mensuel - EUROSTAT'!AG42,'Comext mensuel - EUROSTAT'!AI42,'Comext mensuel - EUROSTAT'!AK42,'Comext mensuel - EUROSTAT'!AM42,'Comext mensuel - EUROSTAT'!AO42,'Comext mensuel - EUROSTAT'!AQ42,'Comext mensuel - EUROSTAT'!AS42,'Comext mensuel - EUROSTAT'!AU42,'Comext mensuel - EUROSTAT'!AW42)/10^4</f>
        <v>361.94946400000003</v>
      </c>
      <c r="H31" s="909">
        <f>SUM('Comext mensuel - EUROSTAT'!AX42,'Comext mensuel - EUROSTAT'!AZ42,'Comext mensuel - EUROSTAT'!BB42,'Comext mensuel - EUROSTAT'!BD42,'Comext mensuel - EUROSTAT'!BF42,'Comext mensuel - EUROSTAT'!BH42,'Comext mensuel - EUROSTAT'!BJ42,'Comext mensuel - EUROSTAT'!BL42,'Comext mensuel - EUROSTAT'!BN42,'Comext mensuel - EUROSTAT'!BP42,'Comext mensuel - EUROSTAT'!BR42,'Comext mensuel - EUROSTAT'!BT42)/10^4</f>
        <v>130.08184300000005</v>
      </c>
      <c r="I31" s="909">
        <f>SUM('Comext mensuel - EUROSTAT'!AY42,'Comext mensuel - EUROSTAT'!BA42,'Comext mensuel - EUROSTAT'!BC42,'Comext mensuel - EUROSTAT'!BE42,'Comext mensuel - EUROSTAT'!BG42,'Comext mensuel - EUROSTAT'!BI42,'Comext mensuel - EUROSTAT'!BK42,'Comext mensuel - EUROSTAT'!BM42,'Comext mensuel - EUROSTAT'!BO42,'Comext mensuel - EUROSTAT'!BQ42,'Comext mensuel - EUROSTAT'!BS42,'Comext mensuel - EUROSTAT'!BU42)/10^4</f>
        <v>446.31362700000005</v>
      </c>
      <c r="J31" s="911">
        <f>'Comext annuel - EUROSTAT'!C59/10^4</f>
        <v>8.4147219999999994</v>
      </c>
      <c r="K31" s="911">
        <f>'Comext annuel - EUROSTAT'!D59/10^4</f>
        <v>444.35500599999995</v>
      </c>
      <c r="L31" s="911">
        <f>'Comext annuel - EUROSTAT'!E59/10^4</f>
        <v>16.221478000000001</v>
      </c>
      <c r="M31" s="911">
        <f>'Comext annuel - EUROSTAT'!F59/10^4</f>
        <v>477.34381399999995</v>
      </c>
      <c r="N31" s="911">
        <f>'Comext annuel - EUROSTAT'!G59/10^4</f>
        <v>130.62761399999999</v>
      </c>
      <c r="O31" s="911">
        <f>'Comext annuel - EUROSTAT'!H59/10^4</f>
        <v>494.66838899999999</v>
      </c>
    </row>
    <row r="32" spans="1:15">
      <c r="A32" t="s">
        <v>81</v>
      </c>
      <c r="B32" s="1027"/>
      <c r="C32" t="str">
        <f>'Comext mensuel - EUROSTAT'!A43</f>
        <v>Graines de tournesol, destinées à l'ensemencement</v>
      </c>
      <c r="D32" s="909">
        <f>SUM('Comext mensuel - EUROSTAT'!B43,'Comext mensuel - EUROSTAT'!D43,'Comext mensuel - EUROSTAT'!F43,'Comext mensuel - EUROSTAT'!H43,'Comext mensuel - EUROSTAT'!J43,'Comext mensuel - EUROSTAT'!L43,'Comext mensuel - EUROSTAT'!N43,'Comext mensuel - EUROSTAT'!P43,'Comext mensuel - EUROSTAT'!R43,'Comext mensuel - EUROSTAT'!T43,'Comext mensuel - EUROSTAT'!V43,'Comext mensuel - EUROSTAT'!X43)/10^4</f>
        <v>17.565783000000003</v>
      </c>
      <c r="E32" s="909">
        <f>SUM('Comext mensuel - EUROSTAT'!C43,'Comext mensuel - EUROSTAT'!E43,'Comext mensuel - EUROSTAT'!G43,'Comext mensuel - EUROSTAT'!I43,'Comext mensuel - EUROSTAT'!K43,'Comext mensuel - EUROSTAT'!M43,'Comext mensuel - EUROSTAT'!O43,'Comext mensuel - EUROSTAT'!Q43,'Comext mensuel - EUROSTAT'!S43,'Comext mensuel - EUROSTAT'!U43,'Comext mensuel - EUROSTAT'!W43,'Comext mensuel - EUROSTAT'!Y43)/10^4</f>
        <v>26.006292999999999</v>
      </c>
      <c r="F32" s="909">
        <f>SUM('Comext mensuel - EUROSTAT'!Z43,'Comext mensuel - EUROSTAT'!AB43,'Comext mensuel - EUROSTAT'!AD43,'Comext mensuel - EUROSTAT'!AF43,'Comext mensuel - EUROSTAT'!AH43,'Comext mensuel - EUROSTAT'!AJ43,'Comext mensuel - EUROSTAT'!AL43,'Comext mensuel - EUROSTAT'!AN43,'Comext mensuel - EUROSTAT'!AP43,'Comext mensuel - EUROSTAT'!AR43,'Comext mensuel - EUROSTAT'!AT43,'Comext mensuel - EUROSTAT'!AV43)/10^4</f>
        <v>16.856527000000003</v>
      </c>
      <c r="G32" s="909">
        <f>SUM('Comext mensuel - EUROSTAT'!AA43,'Comext mensuel - EUROSTAT'!AC43,'Comext mensuel - EUROSTAT'!AE43,'Comext mensuel - EUROSTAT'!AG43,'Comext mensuel - EUROSTAT'!AI43,'Comext mensuel - EUROSTAT'!AK43,'Comext mensuel - EUROSTAT'!AM43,'Comext mensuel - EUROSTAT'!AO43,'Comext mensuel - EUROSTAT'!AQ43,'Comext mensuel - EUROSTAT'!AS43,'Comext mensuel - EUROSTAT'!AU43,'Comext mensuel - EUROSTAT'!AW43)/10^4</f>
        <v>37.758347000000001</v>
      </c>
      <c r="H32" s="909">
        <f>SUM('Comext mensuel - EUROSTAT'!AX43,'Comext mensuel - EUROSTAT'!AZ43,'Comext mensuel - EUROSTAT'!BB43,'Comext mensuel - EUROSTAT'!BD43,'Comext mensuel - EUROSTAT'!BF43,'Comext mensuel - EUROSTAT'!BH43,'Comext mensuel - EUROSTAT'!BJ43,'Comext mensuel - EUROSTAT'!BL43,'Comext mensuel - EUROSTAT'!BN43,'Comext mensuel - EUROSTAT'!BP43,'Comext mensuel - EUROSTAT'!BR43,'Comext mensuel - EUROSTAT'!BT43)/10^4</f>
        <v>13.195271</v>
      </c>
      <c r="I32" s="909">
        <f>SUM('Comext mensuel - EUROSTAT'!AY43,'Comext mensuel - EUROSTAT'!BA43,'Comext mensuel - EUROSTAT'!BC43,'Comext mensuel - EUROSTAT'!BE43,'Comext mensuel - EUROSTAT'!BG43,'Comext mensuel - EUROSTAT'!BI43,'Comext mensuel - EUROSTAT'!BK43,'Comext mensuel - EUROSTAT'!BM43,'Comext mensuel - EUROSTAT'!BO43,'Comext mensuel - EUROSTAT'!BQ43,'Comext mensuel - EUROSTAT'!BS43,'Comext mensuel - EUROSTAT'!BU43)/10^4</f>
        <v>22.800854999999999</v>
      </c>
      <c r="J32" s="911">
        <f>'Comext annuel - EUROSTAT'!C60/10^4</f>
        <v>18.832003</v>
      </c>
      <c r="K32" s="911">
        <f>'Comext annuel - EUROSTAT'!D60/10^4</f>
        <v>18.155394000000001</v>
      </c>
      <c r="L32" s="911">
        <f>'Comext annuel - EUROSTAT'!E60/10^4</f>
        <v>20.126286999999998</v>
      </c>
      <c r="M32" s="911">
        <f>'Comext annuel - EUROSTAT'!F60/10^4</f>
        <v>37.021163999999999</v>
      </c>
      <c r="N32" s="911">
        <f>'Comext annuel - EUROSTAT'!G60/10^4</f>
        <v>14.979447</v>
      </c>
      <c r="O32" s="911">
        <f>'Comext annuel - EUROSTAT'!H60/10^4</f>
        <v>22.774721</v>
      </c>
    </row>
    <row r="33" spans="1:15">
      <c r="A33" t="s">
        <v>81</v>
      </c>
      <c r="B33" s="1027"/>
      <c r="C33" t="str">
        <f>'Comext mensuel - EUROSTAT'!A44</f>
        <v>Graines de tournesol, même concassées, décortiquées et graines de tournesol en coques striées gris et blanc (à l'excl. des graines destinées à l'ensemencement)</v>
      </c>
      <c r="D33" s="909">
        <f>SUM('Comext mensuel - EUROSTAT'!B44,'Comext mensuel - EUROSTAT'!D44,'Comext mensuel - EUROSTAT'!F44,'Comext mensuel - EUROSTAT'!H44,'Comext mensuel - EUROSTAT'!J44,'Comext mensuel - EUROSTAT'!L44,'Comext mensuel - EUROSTAT'!N44,'Comext mensuel - EUROSTAT'!P44,'Comext mensuel - EUROSTAT'!R44,'Comext mensuel - EUROSTAT'!T44,'Comext mensuel - EUROSTAT'!V44,'Comext mensuel - EUROSTAT'!X44)/10^4</f>
        <v>138.07705100000001</v>
      </c>
      <c r="E33" s="909">
        <f>SUM('Comext mensuel - EUROSTAT'!C44,'Comext mensuel - EUROSTAT'!E44,'Comext mensuel - EUROSTAT'!G44,'Comext mensuel - EUROSTAT'!I44,'Comext mensuel - EUROSTAT'!K44,'Comext mensuel - EUROSTAT'!M44,'Comext mensuel - EUROSTAT'!O44,'Comext mensuel - EUROSTAT'!Q44,'Comext mensuel - EUROSTAT'!S44,'Comext mensuel - EUROSTAT'!U44,'Comext mensuel - EUROSTAT'!W44,'Comext mensuel - EUROSTAT'!Y44)/10^4</f>
        <v>63.446279000000018</v>
      </c>
      <c r="F33" s="909">
        <f>SUM('Comext mensuel - EUROSTAT'!Z44,'Comext mensuel - EUROSTAT'!AB44,'Comext mensuel - EUROSTAT'!AD44,'Comext mensuel - EUROSTAT'!AF44,'Comext mensuel - EUROSTAT'!AH44,'Comext mensuel - EUROSTAT'!AJ44,'Comext mensuel - EUROSTAT'!AL44,'Comext mensuel - EUROSTAT'!AN44,'Comext mensuel - EUROSTAT'!AP44,'Comext mensuel - EUROSTAT'!AR44,'Comext mensuel - EUROSTAT'!AT44,'Comext mensuel - EUROSTAT'!AV44)/10^4</f>
        <v>38.816879000000007</v>
      </c>
      <c r="G33" s="909">
        <f>SUM('Comext mensuel - EUROSTAT'!AA44,'Comext mensuel - EUROSTAT'!AC44,'Comext mensuel - EUROSTAT'!AE44,'Comext mensuel - EUROSTAT'!AG44,'Comext mensuel - EUROSTAT'!AI44,'Comext mensuel - EUROSTAT'!AK44,'Comext mensuel - EUROSTAT'!AM44,'Comext mensuel - EUROSTAT'!AO44,'Comext mensuel - EUROSTAT'!AQ44,'Comext mensuel - EUROSTAT'!AS44,'Comext mensuel - EUROSTAT'!AU44,'Comext mensuel - EUROSTAT'!AW44)/10^4</f>
        <v>72.284610999999998</v>
      </c>
      <c r="H33" s="909">
        <f>SUM('Comext mensuel - EUROSTAT'!AX44,'Comext mensuel - EUROSTAT'!AZ44,'Comext mensuel - EUROSTAT'!BB44,'Comext mensuel - EUROSTAT'!BD44,'Comext mensuel - EUROSTAT'!BF44,'Comext mensuel - EUROSTAT'!BH44,'Comext mensuel - EUROSTAT'!BJ44,'Comext mensuel - EUROSTAT'!BL44,'Comext mensuel - EUROSTAT'!BN44,'Comext mensuel - EUROSTAT'!BP44,'Comext mensuel - EUROSTAT'!BR44,'Comext mensuel - EUROSTAT'!BT44)/10^4</f>
        <v>77.069520999999995</v>
      </c>
      <c r="I33" s="909">
        <f>SUM('Comext mensuel - EUROSTAT'!AY44,'Comext mensuel - EUROSTAT'!BA44,'Comext mensuel - EUROSTAT'!BC44,'Comext mensuel - EUROSTAT'!BE44,'Comext mensuel - EUROSTAT'!BG44,'Comext mensuel - EUROSTAT'!BI44,'Comext mensuel - EUROSTAT'!BK44,'Comext mensuel - EUROSTAT'!BM44,'Comext mensuel - EUROSTAT'!BO44,'Comext mensuel - EUROSTAT'!BQ44,'Comext mensuel - EUROSTAT'!BS44,'Comext mensuel - EUROSTAT'!BU44)/10^4</f>
        <v>104.39624999999999</v>
      </c>
      <c r="J33" s="911">
        <f>'Comext annuel - EUROSTAT'!C62/10^4</f>
        <v>203.95880600000001</v>
      </c>
      <c r="K33" s="911">
        <f>'Comext annuel - EUROSTAT'!D62/10^4</f>
        <v>85.227423000000002</v>
      </c>
      <c r="L33" s="911">
        <f>'Comext annuel - EUROSTAT'!E62/10^4</f>
        <v>32.158031000000001</v>
      </c>
      <c r="M33" s="911">
        <f>'Comext annuel - EUROSTAT'!F62/10^4</f>
        <v>86.168138999999996</v>
      </c>
      <c r="N33" s="911">
        <f>'Comext annuel - EUROSTAT'!G62/10^4</f>
        <v>112.91903700000002</v>
      </c>
      <c r="O33" s="911">
        <f>'Comext annuel - EUROSTAT'!H62/10^4</f>
        <v>103.76507700000001</v>
      </c>
    </row>
    <row r="34" spans="1:15">
      <c r="A34" t="s">
        <v>81</v>
      </c>
      <c r="B34" s="1027"/>
      <c r="C34" t="str">
        <f>'Comext mensuel - EUROSTAT'!A45</f>
        <v>Graines de tournesol, même concassées (à l'excl. des graines destinées à l'ensemencement, des graines décortiquées et des graines en coques striées gris et blanc)</v>
      </c>
      <c r="D34" s="909">
        <f>SUM('Comext mensuel - EUROSTAT'!B45,'Comext mensuel - EUROSTAT'!D45,'Comext mensuel - EUROSTAT'!F45,'Comext mensuel - EUROSTAT'!H45,'Comext mensuel - EUROSTAT'!J45,'Comext mensuel - EUROSTAT'!L45,'Comext mensuel - EUROSTAT'!N45,'Comext mensuel - EUROSTAT'!P45,'Comext mensuel - EUROSTAT'!R45,'Comext mensuel - EUROSTAT'!T45,'Comext mensuel - EUROSTAT'!V45,'Comext mensuel - EUROSTAT'!X45)/10^4</f>
        <v>80.255884999999992</v>
      </c>
      <c r="E34" s="909">
        <f>SUM('Comext mensuel - EUROSTAT'!C45,'Comext mensuel - EUROSTAT'!E45,'Comext mensuel - EUROSTAT'!G45,'Comext mensuel - EUROSTAT'!I45,'Comext mensuel - EUROSTAT'!K45,'Comext mensuel - EUROSTAT'!M45,'Comext mensuel - EUROSTAT'!O45,'Comext mensuel - EUROSTAT'!Q45,'Comext mensuel - EUROSTAT'!S45,'Comext mensuel - EUROSTAT'!U45,'Comext mensuel - EUROSTAT'!W45,'Comext mensuel - EUROSTAT'!Y45)/10^4</f>
        <v>238.81635800000001</v>
      </c>
      <c r="F34" s="909">
        <f>SUM('Comext mensuel - EUROSTAT'!Z45,'Comext mensuel - EUROSTAT'!AB45,'Comext mensuel - EUROSTAT'!AD45,'Comext mensuel - EUROSTAT'!AF45,'Comext mensuel - EUROSTAT'!AH45,'Comext mensuel - EUROSTAT'!AJ45,'Comext mensuel - EUROSTAT'!AL45,'Comext mensuel - EUROSTAT'!AN45,'Comext mensuel - EUROSTAT'!AP45,'Comext mensuel - EUROSTAT'!AR45,'Comext mensuel - EUROSTAT'!AT45,'Comext mensuel - EUROSTAT'!AV45)/10^4</f>
        <v>249.16766200000001</v>
      </c>
      <c r="G34" s="909">
        <f>SUM('Comext mensuel - EUROSTAT'!AA45,'Comext mensuel - EUROSTAT'!AC45,'Comext mensuel - EUROSTAT'!AE45,'Comext mensuel - EUROSTAT'!AG45,'Comext mensuel - EUROSTAT'!AI45,'Comext mensuel - EUROSTAT'!AK45,'Comext mensuel - EUROSTAT'!AM45,'Comext mensuel - EUROSTAT'!AO45,'Comext mensuel - EUROSTAT'!AQ45,'Comext mensuel - EUROSTAT'!AS45,'Comext mensuel - EUROSTAT'!AU45,'Comext mensuel - EUROSTAT'!AW45)/10^4</f>
        <v>366.06183499999997</v>
      </c>
      <c r="H34" s="909">
        <f>SUM('Comext mensuel - EUROSTAT'!AX45,'Comext mensuel - EUROSTAT'!AZ45,'Comext mensuel - EUROSTAT'!BB45,'Comext mensuel - EUROSTAT'!BD45,'Comext mensuel - EUROSTAT'!BF45,'Comext mensuel - EUROSTAT'!BH45,'Comext mensuel - EUROSTAT'!BJ45,'Comext mensuel - EUROSTAT'!BL45,'Comext mensuel - EUROSTAT'!BN45,'Comext mensuel - EUROSTAT'!BP45,'Comext mensuel - EUROSTAT'!BR45,'Comext mensuel - EUROSTAT'!BT45)/10^4</f>
        <v>113.62361500000002</v>
      </c>
      <c r="I34" s="909">
        <f>SUM('Comext mensuel - EUROSTAT'!AY45,'Comext mensuel - EUROSTAT'!BA45,'Comext mensuel - EUROSTAT'!BC45,'Comext mensuel - EUROSTAT'!BE45,'Comext mensuel - EUROSTAT'!BG45,'Comext mensuel - EUROSTAT'!BI45,'Comext mensuel - EUROSTAT'!BK45,'Comext mensuel - EUROSTAT'!BM45,'Comext mensuel - EUROSTAT'!BO45,'Comext mensuel - EUROSTAT'!BQ45,'Comext mensuel - EUROSTAT'!BS45,'Comext mensuel - EUROSTAT'!BU45)/10^4</f>
        <v>441.95011900000003</v>
      </c>
      <c r="J34" s="911">
        <f>'Comext annuel - EUROSTAT'!C63/10^4</f>
        <v>31.814247999999999</v>
      </c>
      <c r="K34" s="911">
        <f>'Comext annuel - EUROSTAT'!D63/10^4</f>
        <v>300.34513700000002</v>
      </c>
      <c r="L34" s="911">
        <f>'Comext annuel - EUROSTAT'!E63/10^4</f>
        <v>281.86634399999997</v>
      </c>
      <c r="M34" s="911">
        <f>'Comext annuel - EUROSTAT'!F63/10^4</f>
        <v>366.52612400000004</v>
      </c>
      <c r="N34" s="911">
        <f>'Comext annuel - EUROSTAT'!G63/10^4</f>
        <v>213.750283</v>
      </c>
      <c r="O34" s="911">
        <f>'Comext annuel - EUROSTAT'!H63/10^4</f>
        <v>446.45579500000002</v>
      </c>
    </row>
    <row r="35" spans="1:15">
      <c r="B35" s="1067" t="s">
        <v>717</v>
      </c>
      <c r="C35" t="str">
        <f>'Comext mensuel - EUROSTAT'!A46</f>
        <v>Farine de fèves de soja</v>
      </c>
      <c r="D35" s="908">
        <f>SUM('Comext mensuel - EUROSTAT'!B46,'Comext mensuel - EUROSTAT'!D46,'Comext mensuel - EUROSTAT'!F46,'Comext mensuel - EUROSTAT'!H46,'Comext mensuel - EUROSTAT'!J46,'Comext mensuel - EUROSTAT'!L46,'Comext mensuel - EUROSTAT'!N46,'Comext mensuel - EUROSTAT'!P46,'Comext mensuel - EUROSTAT'!R46,'Comext mensuel - EUROSTAT'!T46,'Comext mensuel - EUROSTAT'!V46,'Comext mensuel - EUROSTAT'!X46)/10^4</f>
        <v>12.372319000000001</v>
      </c>
      <c r="E35" s="908">
        <f>SUM('Comext mensuel - EUROSTAT'!C46,'Comext mensuel - EUROSTAT'!E46,'Comext mensuel - EUROSTAT'!G46,'Comext mensuel - EUROSTAT'!I46,'Comext mensuel - EUROSTAT'!K46,'Comext mensuel - EUROSTAT'!M46,'Comext mensuel - EUROSTAT'!O46,'Comext mensuel - EUROSTAT'!Q46,'Comext mensuel - EUROSTAT'!S46,'Comext mensuel - EUROSTAT'!U46,'Comext mensuel - EUROSTAT'!W46,'Comext mensuel - EUROSTAT'!Y46)/10^4</f>
        <v>1.1033130000000002</v>
      </c>
      <c r="F35" s="908">
        <f>SUM('Comext mensuel - EUROSTAT'!Z46,'Comext mensuel - EUROSTAT'!AB46,'Comext mensuel - EUROSTAT'!AD46,'Comext mensuel - EUROSTAT'!AF46,'Comext mensuel - EUROSTAT'!AH46,'Comext mensuel - EUROSTAT'!AJ46,'Comext mensuel - EUROSTAT'!AL46,'Comext mensuel - EUROSTAT'!AN46,'Comext mensuel - EUROSTAT'!AP46,'Comext mensuel - EUROSTAT'!AR46,'Comext mensuel - EUROSTAT'!AT46,'Comext mensuel - EUROSTAT'!AV46)/10^4</f>
        <v>7.2907980000000014</v>
      </c>
      <c r="G35" s="908">
        <f>SUM('Comext mensuel - EUROSTAT'!AA46,'Comext mensuel - EUROSTAT'!AC46,'Comext mensuel - EUROSTAT'!AE46,'Comext mensuel - EUROSTAT'!AG46,'Comext mensuel - EUROSTAT'!AI46,'Comext mensuel - EUROSTAT'!AK46,'Comext mensuel - EUROSTAT'!AM46,'Comext mensuel - EUROSTAT'!AO46,'Comext mensuel - EUROSTAT'!AQ46,'Comext mensuel - EUROSTAT'!AS46,'Comext mensuel - EUROSTAT'!AU46,'Comext mensuel - EUROSTAT'!AW46)/10^4</f>
        <v>0.77782399999999996</v>
      </c>
      <c r="H35" s="908">
        <f>SUM('Comext mensuel - EUROSTAT'!AX46,'Comext mensuel - EUROSTAT'!AZ46,'Comext mensuel - EUROSTAT'!BB46,'Comext mensuel - EUROSTAT'!BD46,'Comext mensuel - EUROSTAT'!BF46,'Comext mensuel - EUROSTAT'!BH46,'Comext mensuel - EUROSTAT'!BJ46,'Comext mensuel - EUROSTAT'!BL46,'Comext mensuel - EUROSTAT'!BN46,'Comext mensuel - EUROSTAT'!BP46,'Comext mensuel - EUROSTAT'!BR46,'Comext mensuel - EUROSTAT'!BT46)/10^4</f>
        <v>6.3557040000000011</v>
      </c>
      <c r="I35" s="908">
        <f>SUM('Comext mensuel - EUROSTAT'!AY46,'Comext mensuel - EUROSTAT'!BA46,'Comext mensuel - EUROSTAT'!BC46,'Comext mensuel - EUROSTAT'!BE46,'Comext mensuel - EUROSTAT'!BG46,'Comext mensuel - EUROSTAT'!BI46,'Comext mensuel - EUROSTAT'!BK46,'Comext mensuel - EUROSTAT'!BM46,'Comext mensuel - EUROSTAT'!BO46,'Comext mensuel - EUROSTAT'!BQ46,'Comext mensuel - EUROSTAT'!BS46,'Comext mensuel - EUROSTAT'!BU46)/10^4</f>
        <v>2.6054089999999999</v>
      </c>
      <c r="J35" s="911">
        <f>'Comext annuel - EUROSTAT'!C64/10^4</f>
        <v>11.959725000000001</v>
      </c>
      <c r="K35" s="911">
        <f>'Comext annuel - EUROSTAT'!D64/10^4</f>
        <v>0.96520799999999995</v>
      </c>
      <c r="L35" s="911">
        <f>'Comext annuel - EUROSTAT'!E64/10^4</f>
        <v>7.88253</v>
      </c>
      <c r="M35" s="911">
        <f>'Comext annuel - EUROSTAT'!F64/10^4</f>
        <v>0.72404799999999991</v>
      </c>
      <c r="N35" s="911">
        <f>'Comext annuel - EUROSTAT'!G64/10^4</f>
        <v>6.23393</v>
      </c>
      <c r="O35" s="911">
        <f>'Comext annuel - EUROSTAT'!H64/10^4</f>
        <v>1.683818</v>
      </c>
    </row>
    <row r="36" spans="1:15">
      <c r="B36" s="1067"/>
      <c r="C36" t="str">
        <f>'Comext mensuel - EUROSTAT'!A47</f>
        <v>Farines de graines ou de fruits oléagineux (à l'excl. des farines de moutarde et de fèves de soja)</v>
      </c>
      <c r="D36" s="908">
        <f>SUM('Comext mensuel - EUROSTAT'!B47,'Comext mensuel - EUROSTAT'!D47,'Comext mensuel - EUROSTAT'!F47,'Comext mensuel - EUROSTAT'!H47,'Comext mensuel - EUROSTAT'!J47,'Comext mensuel - EUROSTAT'!L47,'Comext mensuel - EUROSTAT'!N47,'Comext mensuel - EUROSTAT'!P47,'Comext mensuel - EUROSTAT'!R47,'Comext mensuel - EUROSTAT'!T47,'Comext mensuel - EUROSTAT'!V47,'Comext mensuel - EUROSTAT'!X47)/10^4</f>
        <v>23.492487000000001</v>
      </c>
      <c r="E36" s="908">
        <f>SUM('Comext mensuel - EUROSTAT'!C47,'Comext mensuel - EUROSTAT'!E47,'Comext mensuel - EUROSTAT'!G47,'Comext mensuel - EUROSTAT'!I47,'Comext mensuel - EUROSTAT'!K47,'Comext mensuel - EUROSTAT'!M47,'Comext mensuel - EUROSTAT'!O47,'Comext mensuel - EUROSTAT'!Q47,'Comext mensuel - EUROSTAT'!S47,'Comext mensuel - EUROSTAT'!U47,'Comext mensuel - EUROSTAT'!W47,'Comext mensuel - EUROSTAT'!Y47)/10^4</f>
        <v>0.72668199999999994</v>
      </c>
      <c r="F36" s="908">
        <f>SUM('Comext mensuel - EUROSTAT'!Z47,'Comext mensuel - EUROSTAT'!AB47,'Comext mensuel - EUROSTAT'!AD47,'Comext mensuel - EUROSTAT'!AF47,'Comext mensuel - EUROSTAT'!AH47,'Comext mensuel - EUROSTAT'!AJ47,'Comext mensuel - EUROSTAT'!AL47,'Comext mensuel - EUROSTAT'!AN47,'Comext mensuel - EUROSTAT'!AP47,'Comext mensuel - EUROSTAT'!AR47,'Comext mensuel - EUROSTAT'!AT47,'Comext mensuel - EUROSTAT'!AV47)/10^4</f>
        <v>11.824116000000002</v>
      </c>
      <c r="G36" s="908">
        <f>SUM('Comext mensuel - EUROSTAT'!AA47,'Comext mensuel - EUROSTAT'!AC47,'Comext mensuel - EUROSTAT'!AE47,'Comext mensuel - EUROSTAT'!AG47,'Comext mensuel - EUROSTAT'!AI47,'Comext mensuel - EUROSTAT'!AK47,'Comext mensuel - EUROSTAT'!AM47,'Comext mensuel - EUROSTAT'!AO47,'Comext mensuel - EUROSTAT'!AQ47,'Comext mensuel - EUROSTAT'!AS47,'Comext mensuel - EUROSTAT'!AU47,'Comext mensuel - EUROSTAT'!AW47)/10^4</f>
        <v>0.46895799999999999</v>
      </c>
      <c r="H36" s="908">
        <f>SUM('Comext mensuel - EUROSTAT'!AX47,'Comext mensuel - EUROSTAT'!AZ47,'Comext mensuel - EUROSTAT'!BB47,'Comext mensuel - EUROSTAT'!BD47,'Comext mensuel - EUROSTAT'!BF47,'Comext mensuel - EUROSTAT'!BH47,'Comext mensuel - EUROSTAT'!BJ47,'Comext mensuel - EUROSTAT'!BL47,'Comext mensuel - EUROSTAT'!BN47,'Comext mensuel - EUROSTAT'!BP47,'Comext mensuel - EUROSTAT'!BR47,'Comext mensuel - EUROSTAT'!BT47)/10^4</f>
        <v>4.3829290000000007</v>
      </c>
      <c r="I36" s="908">
        <f>SUM('Comext mensuel - EUROSTAT'!AY47,'Comext mensuel - EUROSTAT'!BA47,'Comext mensuel - EUROSTAT'!BC47,'Comext mensuel - EUROSTAT'!BE47,'Comext mensuel - EUROSTAT'!BG47,'Comext mensuel - EUROSTAT'!BI47,'Comext mensuel - EUROSTAT'!BK47,'Comext mensuel - EUROSTAT'!BM47,'Comext mensuel - EUROSTAT'!BO47,'Comext mensuel - EUROSTAT'!BQ47,'Comext mensuel - EUROSTAT'!BS47,'Comext mensuel - EUROSTAT'!BU47)/10^4</f>
        <v>0.53814700000000004</v>
      </c>
      <c r="J36" s="911">
        <f>'Comext annuel - EUROSTAT'!C65/10^4</f>
        <v>22.825157000000001</v>
      </c>
      <c r="K36" s="911">
        <f>'Comext annuel - EUROSTAT'!D65/10^4</f>
        <v>1.075531</v>
      </c>
      <c r="L36" s="911">
        <f>'Comext annuel - EUROSTAT'!E65/10^4</f>
        <v>10.888907000000001</v>
      </c>
      <c r="M36" s="911">
        <f>'Comext annuel - EUROSTAT'!F65/10^4</f>
        <v>0.39687899999999998</v>
      </c>
      <c r="N36" s="911">
        <f>'Comext annuel - EUROSTAT'!G65/10^4</f>
        <v>5.5882290000000001</v>
      </c>
      <c r="O36" s="911">
        <f>'Comext annuel - EUROSTAT'!H65/10^4</f>
        <v>0.91248399999999996</v>
      </c>
    </row>
    <row r="37" spans="1:15">
      <c r="A37" t="s">
        <v>1022</v>
      </c>
      <c r="B37" s="1027" t="s">
        <v>720</v>
      </c>
      <c r="C37" t="str">
        <f>'Comext mensuel - EUROSTAT'!A48</f>
        <v>Huile de soja, brute, même dégommée, destinée à des usages techniques ou industriels (autres que la fabrication de produits pour l'alimentation humaine)</v>
      </c>
      <c r="D37" s="909">
        <f>SUM('Comext mensuel - EUROSTAT'!B48,'Comext mensuel - EUROSTAT'!D48,'Comext mensuel - EUROSTAT'!F48,'Comext mensuel - EUROSTAT'!H48,'Comext mensuel - EUROSTAT'!J48,'Comext mensuel - EUROSTAT'!L48,'Comext mensuel - EUROSTAT'!N48,'Comext mensuel - EUROSTAT'!P48,'Comext mensuel - EUROSTAT'!R48,'Comext mensuel - EUROSTAT'!T48,'Comext mensuel - EUROSTAT'!V48,'Comext mensuel - EUROSTAT'!X48)/10^4</f>
        <v>56.865555000000008</v>
      </c>
      <c r="E37" s="909">
        <f>SUM('Comext mensuel - EUROSTAT'!C48,'Comext mensuel - EUROSTAT'!E48,'Comext mensuel - EUROSTAT'!G48,'Comext mensuel - EUROSTAT'!I48,'Comext mensuel - EUROSTAT'!K48,'Comext mensuel - EUROSTAT'!M48,'Comext mensuel - EUROSTAT'!O48,'Comext mensuel - EUROSTAT'!Q48,'Comext mensuel - EUROSTAT'!S48,'Comext mensuel - EUROSTAT'!U48,'Comext mensuel - EUROSTAT'!W48,'Comext mensuel - EUROSTAT'!Y48)/10^4</f>
        <v>3.382486000000001</v>
      </c>
      <c r="F37" s="909">
        <f>SUM('Comext mensuel - EUROSTAT'!Z48,'Comext mensuel - EUROSTAT'!AB48,'Comext mensuel - EUROSTAT'!AD48,'Comext mensuel - EUROSTAT'!AF48,'Comext mensuel - EUROSTAT'!AH48,'Comext mensuel - EUROSTAT'!AJ48,'Comext mensuel - EUROSTAT'!AL48,'Comext mensuel - EUROSTAT'!AN48,'Comext mensuel - EUROSTAT'!AP48,'Comext mensuel - EUROSTAT'!AR48,'Comext mensuel - EUROSTAT'!AT48,'Comext mensuel - EUROSTAT'!AV48)/10^4</f>
        <v>39.966504</v>
      </c>
      <c r="G37" s="909">
        <f>SUM('Comext mensuel - EUROSTAT'!AA48,'Comext mensuel - EUROSTAT'!AC48,'Comext mensuel - EUROSTAT'!AE48,'Comext mensuel - EUROSTAT'!AG48,'Comext mensuel - EUROSTAT'!AI48,'Comext mensuel - EUROSTAT'!AK48,'Comext mensuel - EUROSTAT'!AM48,'Comext mensuel - EUROSTAT'!AO48,'Comext mensuel - EUROSTAT'!AQ48,'Comext mensuel - EUROSTAT'!AS48,'Comext mensuel - EUROSTAT'!AU48,'Comext mensuel - EUROSTAT'!AW48)/10^4</f>
        <v>0.17135900000000001</v>
      </c>
      <c r="H37" s="909">
        <f>SUM('Comext mensuel - EUROSTAT'!AX48,'Comext mensuel - EUROSTAT'!AZ48,'Comext mensuel - EUROSTAT'!BB48,'Comext mensuel - EUROSTAT'!BD48,'Comext mensuel - EUROSTAT'!BF48,'Comext mensuel - EUROSTAT'!BH48,'Comext mensuel - EUROSTAT'!BJ48,'Comext mensuel - EUROSTAT'!BL48,'Comext mensuel - EUROSTAT'!BN48,'Comext mensuel - EUROSTAT'!BP48,'Comext mensuel - EUROSTAT'!BR48,'Comext mensuel - EUROSTAT'!BT48)/10^4</f>
        <v>3.0976849999999998</v>
      </c>
      <c r="I37" s="909">
        <f>SUM('Comext mensuel - EUROSTAT'!AY48,'Comext mensuel - EUROSTAT'!BA48,'Comext mensuel - EUROSTAT'!BC48,'Comext mensuel - EUROSTAT'!BE48,'Comext mensuel - EUROSTAT'!BG48,'Comext mensuel - EUROSTAT'!BI48,'Comext mensuel - EUROSTAT'!BK48,'Comext mensuel - EUROSTAT'!BM48,'Comext mensuel - EUROSTAT'!BO48,'Comext mensuel - EUROSTAT'!BQ48,'Comext mensuel - EUROSTAT'!BS48,'Comext mensuel - EUROSTAT'!BU48)/10^4</f>
        <v>5.3571999999999995E-2</v>
      </c>
      <c r="J37" s="921">
        <f>'Comext annuel - EUROSTAT'!C66/10^4</f>
        <v>41.303674999999998</v>
      </c>
      <c r="K37" s="921">
        <f>'Comext annuel - EUROSTAT'!D66/10^4</f>
        <v>3.2901410000000002</v>
      </c>
      <c r="L37" s="921">
        <f>'Comext annuel - EUROSTAT'!E66/10^4</f>
        <v>45.822597999999999</v>
      </c>
      <c r="M37" s="921">
        <f>'Comext annuel - EUROSTAT'!F66/10^4</f>
        <v>1.0024790000000001</v>
      </c>
      <c r="N37" s="921">
        <f>'Comext annuel - EUROSTAT'!G66/10^4</f>
        <v>2.8749669999999998</v>
      </c>
      <c r="O37" s="921">
        <f>'Comext annuel - EUROSTAT'!H66/10^4</f>
        <v>5.3290999999999998E-2</v>
      </c>
    </row>
    <row r="38" spans="1:15">
      <c r="A38" t="s">
        <v>1022</v>
      </c>
      <c r="B38" s="1027"/>
      <c r="C38" t="str">
        <f>'Comext mensuel - EUROSTAT'!A49</f>
        <v>Huile de soja, brute, même dégommée (à l'excl. de l'huile de soja destinée à des usages techniques ou industriels)</v>
      </c>
      <c r="D38" s="909">
        <f>SUM('Comext mensuel - EUROSTAT'!B49,'Comext mensuel - EUROSTAT'!D49,'Comext mensuel - EUROSTAT'!F49,'Comext mensuel - EUROSTAT'!H49,'Comext mensuel - EUROSTAT'!J49,'Comext mensuel - EUROSTAT'!L49,'Comext mensuel - EUROSTAT'!N49,'Comext mensuel - EUROSTAT'!P49,'Comext mensuel - EUROSTAT'!R49,'Comext mensuel - EUROSTAT'!T49,'Comext mensuel - EUROSTAT'!V49,'Comext mensuel - EUROSTAT'!X49)/10^4</f>
        <v>18.356530000000003</v>
      </c>
      <c r="E38" s="909">
        <f>SUM('Comext mensuel - EUROSTAT'!C49,'Comext mensuel - EUROSTAT'!E49,'Comext mensuel - EUROSTAT'!G49,'Comext mensuel - EUROSTAT'!I49,'Comext mensuel - EUROSTAT'!K49,'Comext mensuel - EUROSTAT'!M49,'Comext mensuel - EUROSTAT'!O49,'Comext mensuel - EUROSTAT'!Q49,'Comext mensuel - EUROSTAT'!S49,'Comext mensuel - EUROSTAT'!U49,'Comext mensuel - EUROSTAT'!W49,'Comext mensuel - EUROSTAT'!Y49)/10^4</f>
        <v>126.08776899999999</v>
      </c>
      <c r="F38" s="909">
        <f>SUM('Comext mensuel - EUROSTAT'!Z49,'Comext mensuel - EUROSTAT'!AB49,'Comext mensuel - EUROSTAT'!AD49,'Comext mensuel - EUROSTAT'!AF49,'Comext mensuel - EUROSTAT'!AH49,'Comext mensuel - EUROSTAT'!AJ49,'Comext mensuel - EUROSTAT'!AL49,'Comext mensuel - EUROSTAT'!AN49,'Comext mensuel - EUROSTAT'!AP49,'Comext mensuel - EUROSTAT'!AR49,'Comext mensuel - EUROSTAT'!AT49,'Comext mensuel - EUROSTAT'!AV49)/10^4</f>
        <v>16.763151999999998</v>
      </c>
      <c r="G38" s="909">
        <f>SUM('Comext mensuel - EUROSTAT'!AA49,'Comext mensuel - EUROSTAT'!AC49,'Comext mensuel - EUROSTAT'!AE49,'Comext mensuel - EUROSTAT'!AG49,'Comext mensuel - EUROSTAT'!AI49,'Comext mensuel - EUROSTAT'!AK49,'Comext mensuel - EUROSTAT'!AM49,'Comext mensuel - EUROSTAT'!AO49,'Comext mensuel - EUROSTAT'!AQ49,'Comext mensuel - EUROSTAT'!AS49,'Comext mensuel - EUROSTAT'!AU49,'Comext mensuel - EUROSTAT'!AW49)/10^4</f>
        <v>27.677343999999994</v>
      </c>
      <c r="H38" s="909">
        <f>SUM('Comext mensuel - EUROSTAT'!AX49,'Comext mensuel - EUROSTAT'!AZ49,'Comext mensuel - EUROSTAT'!BB49,'Comext mensuel - EUROSTAT'!BD49,'Comext mensuel - EUROSTAT'!BF49,'Comext mensuel - EUROSTAT'!BH49,'Comext mensuel - EUROSTAT'!BJ49,'Comext mensuel - EUROSTAT'!BL49,'Comext mensuel - EUROSTAT'!BN49,'Comext mensuel - EUROSTAT'!BP49,'Comext mensuel - EUROSTAT'!BR49,'Comext mensuel - EUROSTAT'!BT49)/10^4</f>
        <v>50.744385000000001</v>
      </c>
      <c r="I38" s="909">
        <f>SUM('Comext mensuel - EUROSTAT'!AY49,'Comext mensuel - EUROSTAT'!BA49,'Comext mensuel - EUROSTAT'!BC49,'Comext mensuel - EUROSTAT'!BE49,'Comext mensuel - EUROSTAT'!BG49,'Comext mensuel - EUROSTAT'!BI49,'Comext mensuel - EUROSTAT'!BK49,'Comext mensuel - EUROSTAT'!BM49,'Comext mensuel - EUROSTAT'!BO49,'Comext mensuel - EUROSTAT'!BQ49,'Comext mensuel - EUROSTAT'!BS49,'Comext mensuel - EUROSTAT'!BU49)/10^4</f>
        <v>57.222448999999997</v>
      </c>
      <c r="J38" s="921">
        <f>'Comext annuel - EUROSTAT'!C67/10^4</f>
        <v>23.903904999999998</v>
      </c>
      <c r="K38" s="921">
        <f>'Comext annuel - EUROSTAT'!D67/10^4</f>
        <v>74.013443999999993</v>
      </c>
      <c r="L38" s="921">
        <f>'Comext annuel - EUROSTAT'!E67/10^4</f>
        <v>15.023280999999999</v>
      </c>
      <c r="M38" s="921">
        <f>'Comext annuel - EUROSTAT'!F67/10^4</f>
        <v>35.199368999999997</v>
      </c>
      <c r="N38" s="921">
        <f>'Comext annuel - EUROSTAT'!G67/10^4</f>
        <v>110.60315600000001</v>
      </c>
      <c r="O38" s="921">
        <f>'Comext annuel - EUROSTAT'!H67/10^4</f>
        <v>54.510131000000008</v>
      </c>
    </row>
    <row r="39" spans="1:15">
      <c r="A39" t="s">
        <v>1023</v>
      </c>
      <c r="B39" s="1027"/>
      <c r="C39" t="str">
        <f>'Comext mensuel - EUROSTAT'!A50</f>
        <v>Huile de soja et ses fractions, même raffinées, mais non chimiquement modifiées, destinées à des usages techniques ou industriels (à l'excl. de l'huile de soja brute et de l'huile de soja destinée à la fabrication de produits pour l'alimentation humaine)</v>
      </c>
      <c r="D39" s="909">
        <f>SUM('Comext mensuel - EUROSTAT'!B50,'Comext mensuel - EUROSTAT'!D50,'Comext mensuel - EUROSTAT'!F50,'Comext mensuel - EUROSTAT'!H50,'Comext mensuel - EUROSTAT'!J50,'Comext mensuel - EUROSTAT'!L50,'Comext mensuel - EUROSTAT'!N50,'Comext mensuel - EUROSTAT'!P50,'Comext mensuel - EUROSTAT'!R50,'Comext mensuel - EUROSTAT'!T50,'Comext mensuel - EUROSTAT'!V50,'Comext mensuel - EUROSTAT'!X50)/10^4</f>
        <v>3.6338889999999999</v>
      </c>
      <c r="E39" s="909">
        <f>SUM('Comext mensuel - EUROSTAT'!C50,'Comext mensuel - EUROSTAT'!E50,'Comext mensuel - EUROSTAT'!G50,'Comext mensuel - EUROSTAT'!I50,'Comext mensuel - EUROSTAT'!K50,'Comext mensuel - EUROSTAT'!M50,'Comext mensuel - EUROSTAT'!O50,'Comext mensuel - EUROSTAT'!Q50,'Comext mensuel - EUROSTAT'!S50,'Comext mensuel - EUROSTAT'!U50,'Comext mensuel - EUROSTAT'!W50,'Comext mensuel - EUROSTAT'!Y50)/10^4</f>
        <v>0.8459310000000001</v>
      </c>
      <c r="F39" s="909">
        <f>SUM('Comext mensuel - EUROSTAT'!Z50,'Comext mensuel - EUROSTAT'!AB50,'Comext mensuel - EUROSTAT'!AD50,'Comext mensuel - EUROSTAT'!AF50,'Comext mensuel - EUROSTAT'!AH50,'Comext mensuel - EUROSTAT'!AJ50,'Comext mensuel - EUROSTAT'!AL50,'Comext mensuel - EUROSTAT'!AN50,'Comext mensuel - EUROSTAT'!AP50,'Comext mensuel - EUROSTAT'!AR50,'Comext mensuel - EUROSTAT'!AT50,'Comext mensuel - EUROSTAT'!AV50)/10^4</f>
        <v>3.5109100000000004</v>
      </c>
      <c r="G39" s="909">
        <f>SUM('Comext mensuel - EUROSTAT'!AA50,'Comext mensuel - EUROSTAT'!AC50,'Comext mensuel - EUROSTAT'!AE50,'Comext mensuel - EUROSTAT'!AG50,'Comext mensuel - EUROSTAT'!AI50,'Comext mensuel - EUROSTAT'!AK50,'Comext mensuel - EUROSTAT'!AM50,'Comext mensuel - EUROSTAT'!AO50,'Comext mensuel - EUROSTAT'!AQ50,'Comext mensuel - EUROSTAT'!AS50,'Comext mensuel - EUROSTAT'!AU50,'Comext mensuel - EUROSTAT'!AW50)/10^4</f>
        <v>0.6961710000000001</v>
      </c>
      <c r="H39" s="909">
        <f>SUM('Comext mensuel - EUROSTAT'!AX50,'Comext mensuel - EUROSTAT'!AZ50,'Comext mensuel - EUROSTAT'!BB50,'Comext mensuel - EUROSTAT'!BD50,'Comext mensuel - EUROSTAT'!BF50,'Comext mensuel - EUROSTAT'!BH50,'Comext mensuel - EUROSTAT'!BJ50,'Comext mensuel - EUROSTAT'!BL50,'Comext mensuel - EUROSTAT'!BN50,'Comext mensuel - EUROSTAT'!BP50,'Comext mensuel - EUROSTAT'!BR50,'Comext mensuel - EUROSTAT'!BT50)/10^4</f>
        <v>2.7389349999999997</v>
      </c>
      <c r="I39" s="909">
        <f>SUM('Comext mensuel - EUROSTAT'!AY50,'Comext mensuel - EUROSTAT'!BA50,'Comext mensuel - EUROSTAT'!BC50,'Comext mensuel - EUROSTAT'!BE50,'Comext mensuel - EUROSTAT'!BG50,'Comext mensuel - EUROSTAT'!BI50,'Comext mensuel - EUROSTAT'!BK50,'Comext mensuel - EUROSTAT'!BM50,'Comext mensuel - EUROSTAT'!BO50,'Comext mensuel - EUROSTAT'!BQ50,'Comext mensuel - EUROSTAT'!BS50,'Comext mensuel - EUROSTAT'!BU50)/10^4</f>
        <v>1.281625</v>
      </c>
      <c r="J39" s="921">
        <f>'Comext annuel - EUROSTAT'!C68/10^4</f>
        <v>3.4087640000000001</v>
      </c>
      <c r="K39" s="921">
        <f>'Comext annuel - EUROSTAT'!D68/10^4</f>
        <v>1.0054879999999999</v>
      </c>
      <c r="L39" s="921">
        <f>'Comext annuel - EUROSTAT'!E68/10^4</f>
        <v>3.999994</v>
      </c>
      <c r="M39" s="921">
        <f>'Comext annuel - EUROSTAT'!F68/10^4</f>
        <v>0.503749</v>
      </c>
      <c r="N39" s="921">
        <f>'Comext annuel - EUROSTAT'!G68/10^4</f>
        <v>3.2475369999999999</v>
      </c>
      <c r="O39" s="921">
        <f>'Comext annuel - EUROSTAT'!H68/10^4</f>
        <v>0.76721400000000006</v>
      </c>
    </row>
    <row r="40" spans="1:15">
      <c r="A40" t="s">
        <v>1023</v>
      </c>
      <c r="B40" s="1027"/>
      <c r="C40" t="str">
        <f>'Comext mensuel - EUROSTAT'!A51</f>
        <v>Huile de soja et ses fractions, même raffinées, mais non chimiquement modifiées (à l'excl. de l'huile de soja brute et de l'huile de soja destinée à des usages techniques ou industriels)</v>
      </c>
      <c r="D40" s="909">
        <f>SUM('Comext mensuel - EUROSTAT'!B51,'Comext mensuel - EUROSTAT'!D51,'Comext mensuel - EUROSTAT'!F51,'Comext mensuel - EUROSTAT'!H51,'Comext mensuel - EUROSTAT'!J51,'Comext mensuel - EUROSTAT'!L51,'Comext mensuel - EUROSTAT'!N51,'Comext mensuel - EUROSTAT'!P51,'Comext mensuel - EUROSTAT'!R51,'Comext mensuel - EUROSTAT'!T51,'Comext mensuel - EUROSTAT'!V51,'Comext mensuel - EUROSTAT'!X51)/10^4</f>
        <v>5.0011399999999995</v>
      </c>
      <c r="E40" s="909">
        <f>SUM('Comext mensuel - EUROSTAT'!C51,'Comext mensuel - EUROSTAT'!E51,'Comext mensuel - EUROSTAT'!G51,'Comext mensuel - EUROSTAT'!I51,'Comext mensuel - EUROSTAT'!K51,'Comext mensuel - EUROSTAT'!M51,'Comext mensuel - EUROSTAT'!O51,'Comext mensuel - EUROSTAT'!Q51,'Comext mensuel - EUROSTAT'!S51,'Comext mensuel - EUROSTAT'!U51,'Comext mensuel - EUROSTAT'!W51,'Comext mensuel - EUROSTAT'!Y51)/10^4</f>
        <v>2.4755340000000001</v>
      </c>
      <c r="F40" s="909">
        <f>SUM('Comext mensuel - EUROSTAT'!Z51,'Comext mensuel - EUROSTAT'!AB51,'Comext mensuel - EUROSTAT'!AD51,'Comext mensuel - EUROSTAT'!AF51,'Comext mensuel - EUROSTAT'!AH51,'Comext mensuel - EUROSTAT'!AJ51,'Comext mensuel - EUROSTAT'!AL51,'Comext mensuel - EUROSTAT'!AN51,'Comext mensuel - EUROSTAT'!AP51,'Comext mensuel - EUROSTAT'!AR51,'Comext mensuel - EUROSTAT'!AT51,'Comext mensuel - EUROSTAT'!AV51)/10^4</f>
        <v>6.1400699999999988</v>
      </c>
      <c r="G40" s="909">
        <f>SUM('Comext mensuel - EUROSTAT'!AA51,'Comext mensuel - EUROSTAT'!AC51,'Comext mensuel - EUROSTAT'!AE51,'Comext mensuel - EUROSTAT'!AG51,'Comext mensuel - EUROSTAT'!AI51,'Comext mensuel - EUROSTAT'!AK51,'Comext mensuel - EUROSTAT'!AM51,'Comext mensuel - EUROSTAT'!AO51,'Comext mensuel - EUROSTAT'!AQ51,'Comext mensuel - EUROSTAT'!AS51,'Comext mensuel - EUROSTAT'!AU51,'Comext mensuel - EUROSTAT'!AW51)/10^4</f>
        <v>24.808039999999998</v>
      </c>
      <c r="H40" s="909">
        <f>SUM('Comext mensuel - EUROSTAT'!AX51,'Comext mensuel - EUROSTAT'!AZ51,'Comext mensuel - EUROSTAT'!BB51,'Comext mensuel - EUROSTAT'!BD51,'Comext mensuel - EUROSTAT'!BF51,'Comext mensuel - EUROSTAT'!BH51,'Comext mensuel - EUROSTAT'!BJ51,'Comext mensuel - EUROSTAT'!BL51,'Comext mensuel - EUROSTAT'!BN51,'Comext mensuel - EUROSTAT'!BP51,'Comext mensuel - EUROSTAT'!BR51,'Comext mensuel - EUROSTAT'!BT51)/10^4</f>
        <v>7.5000529999999985</v>
      </c>
      <c r="I40" s="909">
        <f>SUM('Comext mensuel - EUROSTAT'!AY51,'Comext mensuel - EUROSTAT'!BA51,'Comext mensuel - EUROSTAT'!BC51,'Comext mensuel - EUROSTAT'!BE51,'Comext mensuel - EUROSTAT'!BG51,'Comext mensuel - EUROSTAT'!BI51,'Comext mensuel - EUROSTAT'!BK51,'Comext mensuel - EUROSTAT'!BM51,'Comext mensuel - EUROSTAT'!BO51,'Comext mensuel - EUROSTAT'!BQ51,'Comext mensuel - EUROSTAT'!BS51,'Comext mensuel - EUROSTAT'!BU51)/10^4</f>
        <v>10.275846999999999</v>
      </c>
      <c r="J40" s="921">
        <f>'Comext annuel - EUROSTAT'!C69/10^4</f>
        <v>4.5146169999999994</v>
      </c>
      <c r="K40" s="921">
        <f>'Comext annuel - EUROSTAT'!D69/10^4</f>
        <v>2.9235259999999998</v>
      </c>
      <c r="L40" s="921">
        <f>'Comext annuel - EUROSTAT'!E69/10^4</f>
        <v>7.3159539999999996</v>
      </c>
      <c r="M40" s="921">
        <f>'Comext annuel - EUROSTAT'!F69/10^4</f>
        <v>32.859591999999999</v>
      </c>
      <c r="N40" s="921">
        <f>'Comext annuel - EUROSTAT'!G69/10^4</f>
        <v>7.6085589999999996</v>
      </c>
      <c r="O40" s="921">
        <f>'Comext annuel - EUROSTAT'!H69/10^4</f>
        <v>6.2014500000000004</v>
      </c>
    </row>
    <row r="41" spans="1:15">
      <c r="A41" t="s">
        <v>1024</v>
      </c>
      <c r="B41" s="1027"/>
      <c r="C41" t="str">
        <f>'Comext mensuel - EUROSTAT'!A52</f>
        <v>Huile d'olive vierge lampante</v>
      </c>
      <c r="D41" s="909">
        <f>SUM('Comext mensuel - EUROSTAT'!B52,'Comext mensuel - EUROSTAT'!D52,'Comext mensuel - EUROSTAT'!F52,'Comext mensuel - EUROSTAT'!H52,'Comext mensuel - EUROSTAT'!J52,'Comext mensuel - EUROSTAT'!L52,'Comext mensuel - EUROSTAT'!N52,'Comext mensuel - EUROSTAT'!P52,'Comext mensuel - EUROSTAT'!R52,'Comext mensuel - EUROSTAT'!T52,'Comext mensuel - EUROSTAT'!V52,'Comext mensuel - EUROSTAT'!X52)/10^4</f>
        <v>0.75713900000000001</v>
      </c>
      <c r="E41" s="909">
        <f>SUM('Comext mensuel - EUROSTAT'!C52,'Comext mensuel - EUROSTAT'!E52,'Comext mensuel - EUROSTAT'!G52,'Comext mensuel - EUROSTAT'!I52,'Comext mensuel - EUROSTAT'!K52,'Comext mensuel - EUROSTAT'!M52,'Comext mensuel - EUROSTAT'!O52,'Comext mensuel - EUROSTAT'!Q52,'Comext mensuel - EUROSTAT'!S52,'Comext mensuel - EUROSTAT'!U52,'Comext mensuel - EUROSTAT'!W52,'Comext mensuel - EUROSTAT'!Y52)/10^4</f>
        <v>0.127608</v>
      </c>
      <c r="F41" s="909">
        <f>SUM('Comext mensuel - EUROSTAT'!Z52,'Comext mensuel - EUROSTAT'!AB52,'Comext mensuel - EUROSTAT'!AD52,'Comext mensuel - EUROSTAT'!AF52,'Comext mensuel - EUROSTAT'!AH52,'Comext mensuel - EUROSTAT'!AJ52,'Comext mensuel - EUROSTAT'!AL52,'Comext mensuel - EUROSTAT'!AN52,'Comext mensuel - EUROSTAT'!AP52,'Comext mensuel - EUROSTAT'!AR52,'Comext mensuel - EUROSTAT'!AT52,'Comext mensuel - EUROSTAT'!AV52)/10^4</f>
        <v>1.647732</v>
      </c>
      <c r="G41" s="909">
        <f>SUM('Comext mensuel - EUROSTAT'!AA52,'Comext mensuel - EUROSTAT'!AC52,'Comext mensuel - EUROSTAT'!AE52,'Comext mensuel - EUROSTAT'!AG52,'Comext mensuel - EUROSTAT'!AI52,'Comext mensuel - EUROSTAT'!AK52,'Comext mensuel - EUROSTAT'!AM52,'Comext mensuel - EUROSTAT'!AO52,'Comext mensuel - EUROSTAT'!AQ52,'Comext mensuel - EUROSTAT'!AS52,'Comext mensuel - EUROSTAT'!AU52,'Comext mensuel - EUROSTAT'!AW52)/10^4</f>
        <v>0.427288</v>
      </c>
      <c r="H41" s="909">
        <f>SUM('Comext mensuel - EUROSTAT'!AX52,'Comext mensuel - EUROSTAT'!AZ52,'Comext mensuel - EUROSTAT'!BB52,'Comext mensuel - EUROSTAT'!BD52,'Comext mensuel - EUROSTAT'!BF52,'Comext mensuel - EUROSTAT'!BH52,'Comext mensuel - EUROSTAT'!BJ52,'Comext mensuel - EUROSTAT'!BL52,'Comext mensuel - EUROSTAT'!BN52,'Comext mensuel - EUROSTAT'!BP52,'Comext mensuel - EUROSTAT'!BR52,'Comext mensuel - EUROSTAT'!BT52)/10^4</f>
        <v>0</v>
      </c>
      <c r="I41" s="909">
        <f>SUM('Comext mensuel - EUROSTAT'!AY52,'Comext mensuel - EUROSTAT'!BA52,'Comext mensuel - EUROSTAT'!BC52,'Comext mensuel - EUROSTAT'!BE52,'Comext mensuel - EUROSTAT'!BG52,'Comext mensuel - EUROSTAT'!BI52,'Comext mensuel - EUROSTAT'!BK52,'Comext mensuel - EUROSTAT'!BM52,'Comext mensuel - EUROSTAT'!BO52,'Comext mensuel - EUROSTAT'!BQ52,'Comext mensuel - EUROSTAT'!BS52,'Comext mensuel - EUROSTAT'!BU52)/10^4</f>
        <v>0</v>
      </c>
      <c r="J41" s="921">
        <f>'Comext annuel - EUROSTAT'!C70/10^4</f>
        <v>2.0608979999999999</v>
      </c>
      <c r="K41" s="921">
        <f>'Comext annuel - EUROSTAT'!D70/10^4</f>
        <v>0.161496</v>
      </c>
      <c r="L41" s="921">
        <f>'Comext annuel - EUROSTAT'!E70/10^4</f>
        <v>1.450002</v>
      </c>
      <c r="M41" s="921">
        <f>'Comext annuel - EUROSTAT'!F70/10^4</f>
        <v>0.27845599999999998</v>
      </c>
      <c r="N41" s="921" t="e">
        <f>'Comext annuel - EUROSTAT'!G70/10^4</f>
        <v>#VALUE!</v>
      </c>
      <c r="O41" s="921" t="e">
        <f>'Comext annuel - EUROSTAT'!H70/10^4</f>
        <v>#VALUE!</v>
      </c>
    </row>
    <row r="42" spans="1:15">
      <c r="A42" t="s">
        <v>1024</v>
      </c>
      <c r="B42" s="1027"/>
      <c r="C42" t="str">
        <f>'Comext mensuel - EUROSTAT'!A53</f>
        <v>Huile d’olive vierge extra, obtenue, à partir des fruits de l’olivier, uniquement par des procédés mécaniques ou physiques, dans des conditions qui n’entraînent pas l’altération de l’huile, non traitée (à l’exclusion de l’huile lampante)</v>
      </c>
      <c r="D42" s="909">
        <f>SUM('Comext mensuel - EUROSTAT'!B53,'Comext mensuel - EUROSTAT'!D53,'Comext mensuel - EUROSTAT'!F53,'Comext mensuel - EUROSTAT'!H53,'Comext mensuel - EUROSTAT'!J53,'Comext mensuel - EUROSTAT'!L53,'Comext mensuel - EUROSTAT'!N53,'Comext mensuel - EUROSTAT'!P53,'Comext mensuel - EUROSTAT'!R53,'Comext mensuel - EUROSTAT'!T53,'Comext mensuel - EUROSTAT'!V53,'Comext mensuel - EUROSTAT'!X53)/10^4</f>
        <v>0</v>
      </c>
      <c r="E42" s="909">
        <f>SUM('Comext mensuel - EUROSTAT'!C53,'Comext mensuel - EUROSTAT'!E53,'Comext mensuel - EUROSTAT'!G53,'Comext mensuel - EUROSTAT'!I53,'Comext mensuel - EUROSTAT'!K53,'Comext mensuel - EUROSTAT'!M53,'Comext mensuel - EUROSTAT'!O53,'Comext mensuel - EUROSTAT'!Q53,'Comext mensuel - EUROSTAT'!S53,'Comext mensuel - EUROSTAT'!U53,'Comext mensuel - EUROSTAT'!W53,'Comext mensuel - EUROSTAT'!Y53)/10^4</f>
        <v>0</v>
      </c>
      <c r="F42" s="909">
        <f>SUM('Comext mensuel - EUROSTAT'!Z53,'Comext mensuel - EUROSTAT'!AB53,'Comext mensuel - EUROSTAT'!AD53,'Comext mensuel - EUROSTAT'!AF53,'Comext mensuel - EUROSTAT'!AH53,'Comext mensuel - EUROSTAT'!AJ53,'Comext mensuel - EUROSTAT'!AL53,'Comext mensuel - EUROSTAT'!AN53,'Comext mensuel - EUROSTAT'!AP53,'Comext mensuel - EUROSTAT'!AR53,'Comext mensuel - EUROSTAT'!AT53,'Comext mensuel - EUROSTAT'!AV53)/10^4</f>
        <v>83.61935600000001</v>
      </c>
      <c r="G42" s="909">
        <f>SUM('Comext mensuel - EUROSTAT'!AA53,'Comext mensuel - EUROSTAT'!AC53,'Comext mensuel - EUROSTAT'!AE53,'Comext mensuel - EUROSTAT'!AG53,'Comext mensuel - EUROSTAT'!AI53,'Comext mensuel - EUROSTAT'!AK53,'Comext mensuel - EUROSTAT'!AM53,'Comext mensuel - EUROSTAT'!AO53,'Comext mensuel - EUROSTAT'!AQ53,'Comext mensuel - EUROSTAT'!AS53,'Comext mensuel - EUROSTAT'!AU53,'Comext mensuel - EUROSTAT'!AW53)/10^4</f>
        <v>6.3396610000000004</v>
      </c>
      <c r="H42" s="909">
        <f>SUM('Comext mensuel - EUROSTAT'!AX53,'Comext mensuel - EUROSTAT'!AZ53,'Comext mensuel - EUROSTAT'!BB53,'Comext mensuel - EUROSTAT'!BD53,'Comext mensuel - EUROSTAT'!BF53,'Comext mensuel - EUROSTAT'!BH53,'Comext mensuel - EUROSTAT'!BJ53,'Comext mensuel - EUROSTAT'!BL53,'Comext mensuel - EUROSTAT'!BN53,'Comext mensuel - EUROSTAT'!BP53,'Comext mensuel - EUROSTAT'!BR53,'Comext mensuel - EUROSTAT'!BT53)/10^4</f>
        <v>0</v>
      </c>
      <c r="I42" s="909">
        <f>SUM('Comext mensuel - EUROSTAT'!AY53,'Comext mensuel - EUROSTAT'!BA53,'Comext mensuel - EUROSTAT'!BC53,'Comext mensuel - EUROSTAT'!BE53,'Comext mensuel - EUROSTAT'!BG53,'Comext mensuel - EUROSTAT'!BI53,'Comext mensuel - EUROSTAT'!BK53,'Comext mensuel - EUROSTAT'!BM53,'Comext mensuel - EUROSTAT'!BO53,'Comext mensuel - EUROSTAT'!BQ53,'Comext mensuel - EUROSTAT'!BS53,'Comext mensuel - EUROSTAT'!BU53)/10^4</f>
        <v>0</v>
      </c>
      <c r="J42" s="921" t="e">
        <f>'Comext annuel - EUROSTAT'!C71/10^4</f>
        <v>#VALUE!</v>
      </c>
      <c r="K42" s="921" t="e">
        <f>'Comext annuel - EUROSTAT'!D71/10^4</f>
        <v>#VALUE!</v>
      </c>
      <c r="L42" s="921">
        <f>'Comext annuel - EUROSTAT'!E71/10^4</f>
        <v>77.73169200000001</v>
      </c>
      <c r="M42" s="921">
        <f>'Comext annuel - EUROSTAT'!F71/10^4</f>
        <v>6.5711240000000002</v>
      </c>
      <c r="N42" s="921" t="e">
        <f>'Comext annuel - EUROSTAT'!G71/10^4</f>
        <v>#VALUE!</v>
      </c>
      <c r="O42" s="921" t="e">
        <f>'Comext annuel - EUROSTAT'!H71/10^4</f>
        <v>#VALUE!</v>
      </c>
    </row>
    <row r="43" spans="1:15">
      <c r="A43" t="s">
        <v>1024</v>
      </c>
      <c r="B43" s="1027"/>
      <c r="C43" t="str">
        <f>'Comext mensuel - EUROSTAT'!A54</f>
        <v>Huile d’olive vierge, obtenue, à partir des fruits de l’olivier, uniquement par des procédés mécaniques ou physiques, dans des conditions qui n’entraînent pas l’altération de l’huile, non traitée (à l’exclusion de l’huile lampante et de l’huile vierge extra)</v>
      </c>
      <c r="D43" s="909">
        <f>SUM('Comext mensuel - EUROSTAT'!B54,'Comext mensuel - EUROSTAT'!D54,'Comext mensuel - EUROSTAT'!F54,'Comext mensuel - EUROSTAT'!H54,'Comext mensuel - EUROSTAT'!J54,'Comext mensuel - EUROSTAT'!L54,'Comext mensuel - EUROSTAT'!N54,'Comext mensuel - EUROSTAT'!P54,'Comext mensuel - EUROSTAT'!R54,'Comext mensuel - EUROSTAT'!T54,'Comext mensuel - EUROSTAT'!V54,'Comext mensuel - EUROSTAT'!X54)/10^4</f>
        <v>0</v>
      </c>
      <c r="E43" s="909">
        <f>SUM('Comext mensuel - EUROSTAT'!C54,'Comext mensuel - EUROSTAT'!E54,'Comext mensuel - EUROSTAT'!G54,'Comext mensuel - EUROSTAT'!I54,'Comext mensuel - EUROSTAT'!K54,'Comext mensuel - EUROSTAT'!M54,'Comext mensuel - EUROSTAT'!O54,'Comext mensuel - EUROSTAT'!Q54,'Comext mensuel - EUROSTAT'!S54,'Comext mensuel - EUROSTAT'!U54,'Comext mensuel - EUROSTAT'!W54,'Comext mensuel - EUROSTAT'!Y54)/10^4</f>
        <v>0</v>
      </c>
      <c r="F43" s="909">
        <f>SUM('Comext mensuel - EUROSTAT'!Z54,'Comext mensuel - EUROSTAT'!AB54,'Comext mensuel - EUROSTAT'!AD54,'Comext mensuel - EUROSTAT'!AF54,'Comext mensuel - EUROSTAT'!AH54,'Comext mensuel - EUROSTAT'!AJ54,'Comext mensuel - EUROSTAT'!AL54,'Comext mensuel - EUROSTAT'!AN54,'Comext mensuel - EUROSTAT'!AP54,'Comext mensuel - EUROSTAT'!AR54,'Comext mensuel - EUROSTAT'!AT54,'Comext mensuel - EUROSTAT'!AV54)/10^4</f>
        <v>41.411873000000007</v>
      </c>
      <c r="G43" s="909">
        <f>SUM('Comext mensuel - EUROSTAT'!AA54,'Comext mensuel - EUROSTAT'!AC54,'Comext mensuel - EUROSTAT'!AE54,'Comext mensuel - EUROSTAT'!AG54,'Comext mensuel - EUROSTAT'!AI54,'Comext mensuel - EUROSTAT'!AK54,'Comext mensuel - EUROSTAT'!AM54,'Comext mensuel - EUROSTAT'!AO54,'Comext mensuel - EUROSTAT'!AQ54,'Comext mensuel - EUROSTAT'!AS54,'Comext mensuel - EUROSTAT'!AU54,'Comext mensuel - EUROSTAT'!AW54)/10^4</f>
        <v>0.97445100000000007</v>
      </c>
      <c r="H43" s="909">
        <f>SUM('Comext mensuel - EUROSTAT'!AX54,'Comext mensuel - EUROSTAT'!AZ54,'Comext mensuel - EUROSTAT'!BB54,'Comext mensuel - EUROSTAT'!BD54,'Comext mensuel - EUROSTAT'!BF54,'Comext mensuel - EUROSTAT'!BH54,'Comext mensuel - EUROSTAT'!BJ54,'Comext mensuel - EUROSTAT'!BL54,'Comext mensuel - EUROSTAT'!BN54,'Comext mensuel - EUROSTAT'!BP54,'Comext mensuel - EUROSTAT'!BR54,'Comext mensuel - EUROSTAT'!BT54)/10^4</f>
        <v>0</v>
      </c>
      <c r="I43" s="909">
        <f>SUM('Comext mensuel - EUROSTAT'!AY54,'Comext mensuel - EUROSTAT'!BA54,'Comext mensuel - EUROSTAT'!BC54,'Comext mensuel - EUROSTAT'!BE54,'Comext mensuel - EUROSTAT'!BG54,'Comext mensuel - EUROSTAT'!BI54,'Comext mensuel - EUROSTAT'!BK54,'Comext mensuel - EUROSTAT'!BM54,'Comext mensuel - EUROSTAT'!BO54,'Comext mensuel - EUROSTAT'!BQ54,'Comext mensuel - EUROSTAT'!BS54,'Comext mensuel - EUROSTAT'!BU54)/10^4</f>
        <v>0</v>
      </c>
      <c r="J43" s="921" t="e">
        <f>'Comext annuel - EUROSTAT'!C72/10^4</f>
        <v>#VALUE!</v>
      </c>
      <c r="K43" s="921" t="e">
        <f>'Comext annuel - EUROSTAT'!D72/10^4</f>
        <v>#VALUE!</v>
      </c>
      <c r="L43" s="921">
        <f>'Comext annuel - EUROSTAT'!E72/10^4</f>
        <v>37.963858999999999</v>
      </c>
      <c r="M43" s="921">
        <f>'Comext annuel - EUROSTAT'!F72/10^4</f>
        <v>1.196555</v>
      </c>
      <c r="N43" s="921" t="e">
        <f>'Comext annuel - EUROSTAT'!G72/10^4</f>
        <v>#VALUE!</v>
      </c>
      <c r="O43" s="921" t="e">
        <f>'Comext annuel - EUROSTAT'!H72/10^4</f>
        <v>#VALUE!</v>
      </c>
    </row>
    <row r="44" spans="1:15">
      <c r="A44" t="s">
        <v>1024</v>
      </c>
      <c r="B44" s="1027"/>
      <c r="C44" t="str">
        <f>'Comext mensuel - EUROSTAT'!A55</f>
        <v>Huile d'olive, obtenue, à partir des fruits de l'olivier, uniquement par des procédés mécaniques ou physiques, dans des conditions n'altérant pas l'huile (à l'excl. de l'huile vierge lampante)</v>
      </c>
      <c r="D44" s="909">
        <f>SUM('Comext mensuel - EUROSTAT'!B55,'Comext mensuel - EUROSTAT'!D55,'Comext mensuel - EUROSTAT'!F55,'Comext mensuel - EUROSTAT'!H55,'Comext mensuel - EUROSTAT'!J55,'Comext mensuel - EUROSTAT'!L55,'Comext mensuel - EUROSTAT'!N55,'Comext mensuel - EUROSTAT'!P55,'Comext mensuel - EUROSTAT'!R55,'Comext mensuel - EUROSTAT'!T55,'Comext mensuel - EUROSTAT'!V55,'Comext mensuel - EUROSTAT'!X55)/10^4</f>
        <v>112.34574499999999</v>
      </c>
      <c r="E44" s="909">
        <f>SUM('Comext mensuel - EUROSTAT'!C55,'Comext mensuel - EUROSTAT'!E55,'Comext mensuel - EUROSTAT'!G55,'Comext mensuel - EUROSTAT'!I55,'Comext mensuel - EUROSTAT'!K55,'Comext mensuel - EUROSTAT'!M55,'Comext mensuel - EUROSTAT'!O55,'Comext mensuel - EUROSTAT'!Q55,'Comext mensuel - EUROSTAT'!S55,'Comext mensuel - EUROSTAT'!U55,'Comext mensuel - EUROSTAT'!W55,'Comext mensuel - EUROSTAT'!Y55)/10^4</f>
        <v>8.0141280000000013</v>
      </c>
      <c r="F44" s="909">
        <f>SUM('Comext mensuel - EUROSTAT'!Z55,'Comext mensuel - EUROSTAT'!AB55,'Comext mensuel - EUROSTAT'!AD55,'Comext mensuel - EUROSTAT'!AF55,'Comext mensuel - EUROSTAT'!AH55,'Comext mensuel - EUROSTAT'!AJ55,'Comext mensuel - EUROSTAT'!AL55,'Comext mensuel - EUROSTAT'!AN55,'Comext mensuel - EUROSTAT'!AP55,'Comext mensuel - EUROSTAT'!AR55,'Comext mensuel - EUROSTAT'!AT55,'Comext mensuel - EUROSTAT'!AV55)/10^4</f>
        <v>0</v>
      </c>
      <c r="G44" s="909">
        <f>SUM('Comext mensuel - EUROSTAT'!AA55,'Comext mensuel - EUROSTAT'!AC55,'Comext mensuel - EUROSTAT'!AE55,'Comext mensuel - EUROSTAT'!AG55,'Comext mensuel - EUROSTAT'!AI55,'Comext mensuel - EUROSTAT'!AK55,'Comext mensuel - EUROSTAT'!AM55,'Comext mensuel - EUROSTAT'!AO55,'Comext mensuel - EUROSTAT'!AQ55,'Comext mensuel - EUROSTAT'!AS55,'Comext mensuel - EUROSTAT'!AU55,'Comext mensuel - EUROSTAT'!AW55)/10^4</f>
        <v>0</v>
      </c>
      <c r="H44" s="909">
        <f>SUM('Comext mensuel - EUROSTAT'!AX55,'Comext mensuel - EUROSTAT'!AZ55,'Comext mensuel - EUROSTAT'!BB55,'Comext mensuel - EUROSTAT'!BD55,'Comext mensuel - EUROSTAT'!BF55,'Comext mensuel - EUROSTAT'!BH55,'Comext mensuel - EUROSTAT'!BJ55,'Comext mensuel - EUROSTAT'!BL55,'Comext mensuel - EUROSTAT'!BN55,'Comext mensuel - EUROSTAT'!BP55,'Comext mensuel - EUROSTAT'!BR55,'Comext mensuel - EUROSTAT'!BT55)/10^4</f>
        <v>0</v>
      </c>
      <c r="I44" s="909">
        <f>SUM('Comext mensuel - EUROSTAT'!AY55,'Comext mensuel - EUROSTAT'!BA55,'Comext mensuel - EUROSTAT'!BC55,'Comext mensuel - EUROSTAT'!BE55,'Comext mensuel - EUROSTAT'!BG55,'Comext mensuel - EUROSTAT'!BI55,'Comext mensuel - EUROSTAT'!BK55,'Comext mensuel - EUROSTAT'!BM55,'Comext mensuel - EUROSTAT'!BO55,'Comext mensuel - EUROSTAT'!BQ55,'Comext mensuel - EUROSTAT'!BS55,'Comext mensuel - EUROSTAT'!BU55)/10^4</f>
        <v>0</v>
      </c>
      <c r="J44" s="921">
        <f>'Comext annuel - EUROSTAT'!C73/10^4</f>
        <v>106.48387199999999</v>
      </c>
      <c r="K44" s="921">
        <f>'Comext annuel - EUROSTAT'!D73/10^4</f>
        <v>8.9572830000000003</v>
      </c>
      <c r="L44" s="921" t="e">
        <f>'Comext annuel - EUROSTAT'!E73/10^4</f>
        <v>#VALUE!</v>
      </c>
      <c r="M44" s="921" t="e">
        <f>'Comext annuel - EUROSTAT'!F73/10^4</f>
        <v>#VALUE!</v>
      </c>
      <c r="N44" s="921" t="e">
        <f>'Comext annuel - EUROSTAT'!G73/10^4</f>
        <v>#VALUE!</v>
      </c>
      <c r="O44" s="921" t="e">
        <f>'Comext annuel - EUROSTAT'!H73/10^4</f>
        <v>#VALUE!</v>
      </c>
    </row>
    <row r="45" spans="1:15">
      <c r="A45" t="s">
        <v>1024</v>
      </c>
      <c r="B45" s="1027"/>
      <c r="C45" t="str">
        <f>'Comext mensuel - EUROSTAT'!A56</f>
        <v>Huile d’olive vierge extra de la catégorie 1 de l’UE, obtenue à partir du fruit de l’olivier, uniquement par des procédés mécaniques ou d’autres procédés physiques, dans des conditions qui n’entraînent pas d’altération de l’huile, non traitée</v>
      </c>
      <c r="D45" s="909">
        <f>SUM('Comext mensuel - EUROSTAT'!B56,'Comext mensuel - EUROSTAT'!D56,'Comext mensuel - EUROSTAT'!F56,'Comext mensuel - EUROSTAT'!H56,'Comext mensuel - EUROSTAT'!J56,'Comext mensuel - EUROSTAT'!L56,'Comext mensuel - EUROSTAT'!N56,'Comext mensuel - EUROSTAT'!P56,'Comext mensuel - EUROSTAT'!R56,'Comext mensuel - EUROSTAT'!T56,'Comext mensuel - EUROSTAT'!V56,'Comext mensuel - EUROSTAT'!X56)/10^4</f>
        <v>0</v>
      </c>
      <c r="E45" s="909">
        <f>SUM('Comext mensuel - EUROSTAT'!C56,'Comext mensuel - EUROSTAT'!E56,'Comext mensuel - EUROSTAT'!G56,'Comext mensuel - EUROSTAT'!I56,'Comext mensuel - EUROSTAT'!K56,'Comext mensuel - EUROSTAT'!M56,'Comext mensuel - EUROSTAT'!O56,'Comext mensuel - EUROSTAT'!Q56,'Comext mensuel - EUROSTAT'!S56,'Comext mensuel - EUROSTAT'!U56,'Comext mensuel - EUROSTAT'!W56,'Comext mensuel - EUROSTAT'!Y56)/10^4</f>
        <v>0</v>
      </c>
      <c r="F45" s="909">
        <f>SUM('Comext mensuel - EUROSTAT'!Z56,'Comext mensuel - EUROSTAT'!AB56,'Comext mensuel - EUROSTAT'!AD56,'Comext mensuel - EUROSTAT'!AF56,'Comext mensuel - EUROSTAT'!AH56,'Comext mensuel - EUROSTAT'!AJ56,'Comext mensuel - EUROSTAT'!AL56,'Comext mensuel - EUROSTAT'!AN56,'Comext mensuel - EUROSTAT'!AP56,'Comext mensuel - EUROSTAT'!AR56,'Comext mensuel - EUROSTAT'!AT56,'Comext mensuel - EUROSTAT'!AV56)/10^4</f>
        <v>0</v>
      </c>
      <c r="G45" s="909">
        <f>SUM('Comext mensuel - EUROSTAT'!AA56,'Comext mensuel - EUROSTAT'!AC56,'Comext mensuel - EUROSTAT'!AE56,'Comext mensuel - EUROSTAT'!AG56,'Comext mensuel - EUROSTAT'!AI56,'Comext mensuel - EUROSTAT'!AK56,'Comext mensuel - EUROSTAT'!AM56,'Comext mensuel - EUROSTAT'!AO56,'Comext mensuel - EUROSTAT'!AQ56,'Comext mensuel - EUROSTAT'!AS56,'Comext mensuel - EUROSTAT'!AU56,'Comext mensuel - EUROSTAT'!AW56)/10^4</f>
        <v>0</v>
      </c>
      <c r="H45" s="909">
        <f>SUM('Comext mensuel - EUROSTAT'!AX56,'Comext mensuel - EUROSTAT'!AZ56,'Comext mensuel - EUROSTAT'!BB56,'Comext mensuel - EUROSTAT'!BD56,'Comext mensuel - EUROSTAT'!BF56,'Comext mensuel - EUROSTAT'!BH56,'Comext mensuel - EUROSTAT'!BJ56,'Comext mensuel - EUROSTAT'!BL56,'Comext mensuel - EUROSTAT'!BN56,'Comext mensuel - EUROSTAT'!BP56,'Comext mensuel - EUROSTAT'!BR56,'Comext mensuel - EUROSTAT'!BT56)/10^4</f>
        <v>85.989342999999977</v>
      </c>
      <c r="I45" s="909">
        <f>SUM('Comext mensuel - EUROSTAT'!AY56,'Comext mensuel - EUROSTAT'!BA56,'Comext mensuel - EUROSTAT'!BC56,'Comext mensuel - EUROSTAT'!BE56,'Comext mensuel - EUROSTAT'!BG56,'Comext mensuel - EUROSTAT'!BI56,'Comext mensuel - EUROSTAT'!BK56,'Comext mensuel - EUROSTAT'!BM56,'Comext mensuel - EUROSTAT'!BO56,'Comext mensuel - EUROSTAT'!BQ56,'Comext mensuel - EUROSTAT'!BS56,'Comext mensuel - EUROSTAT'!BU56)/10^4</f>
        <v>12.020554999999998</v>
      </c>
      <c r="J45" s="921" t="e">
        <f>'Comext annuel - EUROSTAT'!C74/10^4</f>
        <v>#VALUE!</v>
      </c>
      <c r="K45" s="921" t="e">
        <f>'Comext annuel - EUROSTAT'!D74/10^4</f>
        <v>#VALUE!</v>
      </c>
      <c r="L45" s="921" t="e">
        <f>'Comext annuel - EUROSTAT'!E74/10^4</f>
        <v>#VALUE!</v>
      </c>
      <c r="M45" s="921" t="e">
        <f>'Comext annuel - EUROSTAT'!F74/10^4</f>
        <v>#VALUE!</v>
      </c>
      <c r="N45" s="921">
        <f>'Comext annuel - EUROSTAT'!G74/10^4</f>
        <v>79.989630000000005</v>
      </c>
      <c r="O45" s="921">
        <f>'Comext annuel - EUROSTAT'!H74/10^4</f>
        <v>11.426394999999999</v>
      </c>
    </row>
    <row r="46" spans="1:15">
      <c r="A46" t="s">
        <v>1024</v>
      </c>
      <c r="B46" s="1027"/>
      <c r="C46" t="str">
        <f>'Comext mensuel - EUROSTAT'!A57</f>
        <v>Huile d’olive vierge de la catégorie 2 de l’UE, obtenue à partir du fruit de l’olivier, uniquement par des procédés mécaniques ou d’autres procédés physiques, dans des conditions qui n’entraînent pas d’altération de l’huile, non traitée</v>
      </c>
      <c r="D46" s="909">
        <f>SUM('Comext mensuel - EUROSTAT'!B57,'Comext mensuel - EUROSTAT'!D57,'Comext mensuel - EUROSTAT'!F57,'Comext mensuel - EUROSTAT'!H57,'Comext mensuel - EUROSTAT'!J57,'Comext mensuel - EUROSTAT'!L57,'Comext mensuel - EUROSTAT'!N57,'Comext mensuel - EUROSTAT'!P57,'Comext mensuel - EUROSTAT'!R57,'Comext mensuel - EUROSTAT'!T57,'Comext mensuel - EUROSTAT'!V57,'Comext mensuel - EUROSTAT'!X57)/10^4</f>
        <v>0</v>
      </c>
      <c r="E46" s="909">
        <f>SUM('Comext mensuel - EUROSTAT'!C57,'Comext mensuel - EUROSTAT'!E57,'Comext mensuel - EUROSTAT'!G57,'Comext mensuel - EUROSTAT'!I57,'Comext mensuel - EUROSTAT'!K57,'Comext mensuel - EUROSTAT'!M57,'Comext mensuel - EUROSTAT'!O57,'Comext mensuel - EUROSTAT'!Q57,'Comext mensuel - EUROSTAT'!S57,'Comext mensuel - EUROSTAT'!U57,'Comext mensuel - EUROSTAT'!W57,'Comext mensuel - EUROSTAT'!Y57)/10^4</f>
        <v>0</v>
      </c>
      <c r="F46" s="909">
        <f>SUM('Comext mensuel - EUROSTAT'!Z57,'Comext mensuel - EUROSTAT'!AB57,'Comext mensuel - EUROSTAT'!AD57,'Comext mensuel - EUROSTAT'!AF57,'Comext mensuel - EUROSTAT'!AH57,'Comext mensuel - EUROSTAT'!AJ57,'Comext mensuel - EUROSTAT'!AL57,'Comext mensuel - EUROSTAT'!AN57,'Comext mensuel - EUROSTAT'!AP57,'Comext mensuel - EUROSTAT'!AR57,'Comext mensuel - EUROSTAT'!AT57,'Comext mensuel - EUROSTAT'!AV57)/10^4</f>
        <v>0</v>
      </c>
      <c r="G46" s="909">
        <f>SUM('Comext mensuel - EUROSTAT'!AA57,'Comext mensuel - EUROSTAT'!AC57,'Comext mensuel - EUROSTAT'!AE57,'Comext mensuel - EUROSTAT'!AG57,'Comext mensuel - EUROSTAT'!AI57,'Comext mensuel - EUROSTAT'!AK57,'Comext mensuel - EUROSTAT'!AM57,'Comext mensuel - EUROSTAT'!AO57,'Comext mensuel - EUROSTAT'!AQ57,'Comext mensuel - EUROSTAT'!AS57,'Comext mensuel - EUROSTAT'!AU57,'Comext mensuel - EUROSTAT'!AW57)/10^4</f>
        <v>0</v>
      </c>
      <c r="H46" s="909">
        <f>SUM('Comext mensuel - EUROSTAT'!AX57,'Comext mensuel - EUROSTAT'!AZ57,'Comext mensuel - EUROSTAT'!BB57,'Comext mensuel - EUROSTAT'!BD57,'Comext mensuel - EUROSTAT'!BF57,'Comext mensuel - EUROSTAT'!BH57,'Comext mensuel - EUROSTAT'!BJ57,'Comext mensuel - EUROSTAT'!BL57,'Comext mensuel - EUROSTAT'!BN57,'Comext mensuel - EUROSTAT'!BP57,'Comext mensuel - EUROSTAT'!BR57,'Comext mensuel - EUROSTAT'!BT57)/10^4</f>
        <v>25.977619000000001</v>
      </c>
      <c r="I46" s="909">
        <f>SUM('Comext mensuel - EUROSTAT'!AY57,'Comext mensuel - EUROSTAT'!BA57,'Comext mensuel - EUROSTAT'!BC57,'Comext mensuel - EUROSTAT'!BE57,'Comext mensuel - EUROSTAT'!BG57,'Comext mensuel - EUROSTAT'!BI57,'Comext mensuel - EUROSTAT'!BK57,'Comext mensuel - EUROSTAT'!BM57,'Comext mensuel - EUROSTAT'!BO57,'Comext mensuel - EUROSTAT'!BQ57,'Comext mensuel - EUROSTAT'!BS57,'Comext mensuel - EUROSTAT'!BU57)/10^4</f>
        <v>0.88807899999999995</v>
      </c>
      <c r="J46" s="921" t="e">
        <f>'Comext annuel - EUROSTAT'!C75/10^4</f>
        <v>#VALUE!</v>
      </c>
      <c r="K46" s="921" t="e">
        <f>'Comext annuel - EUROSTAT'!D75/10^4</f>
        <v>#VALUE!</v>
      </c>
      <c r="L46" s="921" t="e">
        <f>'Comext annuel - EUROSTAT'!E75/10^4</f>
        <v>#VALUE!</v>
      </c>
      <c r="M46" s="921" t="e">
        <f>'Comext annuel - EUROSTAT'!F75/10^4</f>
        <v>#VALUE!</v>
      </c>
      <c r="N46" s="921">
        <f>'Comext annuel - EUROSTAT'!G75/10^4</f>
        <v>28.055576000000002</v>
      </c>
      <c r="O46" s="921">
        <f>'Comext annuel - EUROSTAT'!H75/10^4</f>
        <v>0.646698</v>
      </c>
    </row>
    <row r="47" spans="1:15">
      <c r="A47" t="s">
        <v>1024</v>
      </c>
      <c r="B47" s="1027"/>
      <c r="C47" t="str">
        <f>'Comext mensuel - EUROSTAT'!A58</f>
        <v>Huile d’olive vierge de la catégorie 3 de l’UE, obtenue à partir du fruit de l’olivier, uniquement par des procédés mécaniques ou d’autres procédés physiques, dans des conditions qui n’entraînent pas d’altération de l’huile, non traitée</v>
      </c>
      <c r="D47" s="909">
        <f>SUM('Comext mensuel - EUROSTAT'!B58,'Comext mensuel - EUROSTAT'!D58,'Comext mensuel - EUROSTAT'!F58,'Comext mensuel - EUROSTAT'!H58,'Comext mensuel - EUROSTAT'!J58,'Comext mensuel - EUROSTAT'!L58,'Comext mensuel - EUROSTAT'!N58,'Comext mensuel - EUROSTAT'!P58,'Comext mensuel - EUROSTAT'!R58,'Comext mensuel - EUROSTAT'!T58,'Comext mensuel - EUROSTAT'!V58,'Comext mensuel - EUROSTAT'!X58)/10^4</f>
        <v>0</v>
      </c>
      <c r="E47" s="909">
        <f>SUM('Comext mensuel - EUROSTAT'!C58,'Comext mensuel - EUROSTAT'!E58,'Comext mensuel - EUROSTAT'!G58,'Comext mensuel - EUROSTAT'!I58,'Comext mensuel - EUROSTAT'!K58,'Comext mensuel - EUROSTAT'!M58,'Comext mensuel - EUROSTAT'!O58,'Comext mensuel - EUROSTAT'!Q58,'Comext mensuel - EUROSTAT'!S58,'Comext mensuel - EUROSTAT'!U58,'Comext mensuel - EUROSTAT'!W58,'Comext mensuel - EUROSTAT'!Y58)/10^4</f>
        <v>0</v>
      </c>
      <c r="F47" s="909">
        <f>SUM('Comext mensuel - EUROSTAT'!Z58,'Comext mensuel - EUROSTAT'!AB58,'Comext mensuel - EUROSTAT'!AD58,'Comext mensuel - EUROSTAT'!AF58,'Comext mensuel - EUROSTAT'!AH58,'Comext mensuel - EUROSTAT'!AJ58,'Comext mensuel - EUROSTAT'!AL58,'Comext mensuel - EUROSTAT'!AN58,'Comext mensuel - EUROSTAT'!AP58,'Comext mensuel - EUROSTAT'!AR58,'Comext mensuel - EUROSTAT'!AT58,'Comext mensuel - EUROSTAT'!AV58)/10^4</f>
        <v>0</v>
      </c>
      <c r="G47" s="909">
        <f>SUM('Comext mensuel - EUROSTAT'!AA58,'Comext mensuel - EUROSTAT'!AC58,'Comext mensuel - EUROSTAT'!AE58,'Comext mensuel - EUROSTAT'!AG58,'Comext mensuel - EUROSTAT'!AI58,'Comext mensuel - EUROSTAT'!AK58,'Comext mensuel - EUROSTAT'!AM58,'Comext mensuel - EUROSTAT'!AO58,'Comext mensuel - EUROSTAT'!AQ58,'Comext mensuel - EUROSTAT'!AS58,'Comext mensuel - EUROSTAT'!AU58,'Comext mensuel - EUROSTAT'!AW58)/10^4</f>
        <v>0</v>
      </c>
      <c r="H47" s="909">
        <f>SUM('Comext mensuel - EUROSTAT'!AX58,'Comext mensuel - EUROSTAT'!AZ58,'Comext mensuel - EUROSTAT'!BB58,'Comext mensuel - EUROSTAT'!BD58,'Comext mensuel - EUROSTAT'!BF58,'Comext mensuel - EUROSTAT'!BH58,'Comext mensuel - EUROSTAT'!BJ58,'Comext mensuel - EUROSTAT'!BL58,'Comext mensuel - EUROSTAT'!BN58,'Comext mensuel - EUROSTAT'!BP58,'Comext mensuel - EUROSTAT'!BR58,'Comext mensuel - EUROSTAT'!BT58)/10^4</f>
        <v>1.7035780000000003</v>
      </c>
      <c r="I47" s="909">
        <f>SUM('Comext mensuel - EUROSTAT'!AY58,'Comext mensuel - EUROSTAT'!BA58,'Comext mensuel - EUROSTAT'!BC58,'Comext mensuel - EUROSTAT'!BE58,'Comext mensuel - EUROSTAT'!BG58,'Comext mensuel - EUROSTAT'!BI58,'Comext mensuel - EUROSTAT'!BK58,'Comext mensuel - EUROSTAT'!BM58,'Comext mensuel - EUROSTAT'!BO58,'Comext mensuel - EUROSTAT'!BQ58,'Comext mensuel - EUROSTAT'!BS58,'Comext mensuel - EUROSTAT'!BU58)/10^4</f>
        <v>8.4907999999999997E-2</v>
      </c>
      <c r="J47" s="921" t="e">
        <f>'Comext annuel - EUROSTAT'!C76/10^4</f>
        <v>#VALUE!</v>
      </c>
      <c r="K47" s="921" t="e">
        <f>'Comext annuel - EUROSTAT'!D76/10^4</f>
        <v>#VALUE!</v>
      </c>
      <c r="L47" s="921" t="e">
        <f>'Comext annuel - EUROSTAT'!E76/10^4</f>
        <v>#VALUE!</v>
      </c>
      <c r="M47" s="921" t="e">
        <f>'Comext annuel - EUROSTAT'!F76/10^4</f>
        <v>#VALUE!</v>
      </c>
      <c r="N47" s="921">
        <f>'Comext annuel - EUROSTAT'!G76/10^4</f>
        <v>1.635581</v>
      </c>
      <c r="O47" s="921">
        <f>'Comext annuel - EUROSTAT'!H76/10^4</f>
        <v>9.1885999999999995E-2</v>
      </c>
    </row>
    <row r="48" spans="1:15">
      <c r="A48" t="s">
        <v>1024</v>
      </c>
      <c r="B48" s="1027"/>
      <c r="C48" t="str">
        <f>'Comext mensuel - EUROSTAT'!A59</f>
        <v>Huile d'olive et ses fractions, traitées mais non chimiquement modifiées, obtenues, à partir des fruits de l'olivier, uniquement par des procédés mécaniques ou physiques, dans des conditions n'altérant pas l'huile</v>
      </c>
      <c r="D48" s="909">
        <f>SUM('Comext mensuel - EUROSTAT'!B59,'Comext mensuel - EUROSTAT'!D59,'Comext mensuel - EUROSTAT'!F59,'Comext mensuel - EUROSTAT'!H59,'Comext mensuel - EUROSTAT'!J59,'Comext mensuel - EUROSTAT'!L59,'Comext mensuel - EUROSTAT'!N59,'Comext mensuel - EUROSTAT'!P59,'Comext mensuel - EUROSTAT'!R59,'Comext mensuel - EUROSTAT'!T59,'Comext mensuel - EUROSTAT'!V59,'Comext mensuel - EUROSTAT'!X59)/10^4</f>
        <v>4.5758349999999997</v>
      </c>
      <c r="E48" s="909">
        <f>SUM('Comext mensuel - EUROSTAT'!C59,'Comext mensuel - EUROSTAT'!E59,'Comext mensuel - EUROSTAT'!G59,'Comext mensuel - EUROSTAT'!I59,'Comext mensuel - EUROSTAT'!K59,'Comext mensuel - EUROSTAT'!M59,'Comext mensuel - EUROSTAT'!O59,'Comext mensuel - EUROSTAT'!Q59,'Comext mensuel - EUROSTAT'!S59,'Comext mensuel - EUROSTAT'!U59,'Comext mensuel - EUROSTAT'!W59,'Comext mensuel - EUROSTAT'!Y59)/10^4</f>
        <v>1.5867209999999998</v>
      </c>
      <c r="F48" s="909">
        <f>SUM('Comext mensuel - EUROSTAT'!Z59,'Comext mensuel - EUROSTAT'!AB59,'Comext mensuel - EUROSTAT'!AD59,'Comext mensuel - EUROSTAT'!AF59,'Comext mensuel - EUROSTAT'!AH59,'Comext mensuel - EUROSTAT'!AJ59,'Comext mensuel - EUROSTAT'!AL59,'Comext mensuel - EUROSTAT'!AN59,'Comext mensuel - EUROSTAT'!AP59,'Comext mensuel - EUROSTAT'!AR59,'Comext mensuel - EUROSTAT'!AT59,'Comext mensuel - EUROSTAT'!AV59)/10^4</f>
        <v>6.1158619999999999</v>
      </c>
      <c r="G48" s="909">
        <f>SUM('Comext mensuel - EUROSTAT'!AA59,'Comext mensuel - EUROSTAT'!AC59,'Comext mensuel - EUROSTAT'!AE59,'Comext mensuel - EUROSTAT'!AG59,'Comext mensuel - EUROSTAT'!AI59,'Comext mensuel - EUROSTAT'!AK59,'Comext mensuel - EUROSTAT'!AM59,'Comext mensuel - EUROSTAT'!AO59,'Comext mensuel - EUROSTAT'!AQ59,'Comext mensuel - EUROSTAT'!AS59,'Comext mensuel - EUROSTAT'!AU59,'Comext mensuel - EUROSTAT'!AW59)/10^4</f>
        <v>1.7381489999999997</v>
      </c>
      <c r="H48" s="909">
        <f>SUM('Comext mensuel - EUROSTAT'!AX59,'Comext mensuel - EUROSTAT'!AZ59,'Comext mensuel - EUROSTAT'!BB59,'Comext mensuel - EUROSTAT'!BD59,'Comext mensuel - EUROSTAT'!BF59,'Comext mensuel - EUROSTAT'!BH59,'Comext mensuel - EUROSTAT'!BJ59,'Comext mensuel - EUROSTAT'!BL59,'Comext mensuel - EUROSTAT'!BN59,'Comext mensuel - EUROSTAT'!BP59,'Comext mensuel - EUROSTAT'!BR59,'Comext mensuel - EUROSTAT'!BT59)/10^4</f>
        <v>4.7243070000000005</v>
      </c>
      <c r="I48" s="909">
        <f>SUM('Comext mensuel - EUROSTAT'!AY59,'Comext mensuel - EUROSTAT'!BA59,'Comext mensuel - EUROSTAT'!BC59,'Comext mensuel - EUROSTAT'!BE59,'Comext mensuel - EUROSTAT'!BG59,'Comext mensuel - EUROSTAT'!BI59,'Comext mensuel - EUROSTAT'!BK59,'Comext mensuel - EUROSTAT'!BM59,'Comext mensuel - EUROSTAT'!BO59,'Comext mensuel - EUROSTAT'!BQ59,'Comext mensuel - EUROSTAT'!BS59,'Comext mensuel - EUROSTAT'!BU59)/10^4</f>
        <v>2.2315659999999999</v>
      </c>
      <c r="J48" s="921">
        <f>'Comext annuel - EUROSTAT'!C77/10^4</f>
        <v>5.4817689999999999</v>
      </c>
      <c r="K48" s="921">
        <f>'Comext annuel - EUROSTAT'!D77/10^4</f>
        <v>1.66927</v>
      </c>
      <c r="L48" s="921">
        <f>'Comext annuel - EUROSTAT'!E77/10^4</f>
        <v>5.0185559999999994</v>
      </c>
      <c r="M48" s="921">
        <f>'Comext annuel - EUROSTAT'!F77/10^4</f>
        <v>1.5846169999999999</v>
      </c>
      <c r="N48" s="921">
        <f>'Comext annuel - EUROSTAT'!G77/10^4</f>
        <v>5.3855559999999993</v>
      </c>
      <c r="O48" s="921">
        <f>'Comext annuel - EUROSTAT'!H77/10^4</f>
        <v>2.123812</v>
      </c>
    </row>
    <row r="49" spans="1:15">
      <c r="A49" t="s">
        <v>1024</v>
      </c>
      <c r="B49" s="1027"/>
      <c r="C49" t="str">
        <f>'Comext mensuel - EUROSTAT'!A60</f>
        <v>Huiles brutes, obtenues exclusivement à partir d'olives et par des procédés autres que ceux mentionnés au n° 1509, et mélanges de ces huiles avec des huiles du n° 1509</v>
      </c>
      <c r="D49" s="909">
        <f>SUM('Comext mensuel - EUROSTAT'!B60,'Comext mensuel - EUROSTAT'!D60,'Comext mensuel - EUROSTAT'!F60,'Comext mensuel - EUROSTAT'!H60,'Comext mensuel - EUROSTAT'!J60,'Comext mensuel - EUROSTAT'!L60,'Comext mensuel - EUROSTAT'!N60,'Comext mensuel - EUROSTAT'!P60,'Comext mensuel - EUROSTAT'!R60,'Comext mensuel - EUROSTAT'!T60,'Comext mensuel - EUROSTAT'!V60,'Comext mensuel - EUROSTAT'!X60)/10^4</f>
        <v>0.11319899999999998</v>
      </c>
      <c r="E49" s="909">
        <f>SUM('Comext mensuel - EUROSTAT'!C60,'Comext mensuel - EUROSTAT'!E60,'Comext mensuel - EUROSTAT'!G60,'Comext mensuel - EUROSTAT'!I60,'Comext mensuel - EUROSTAT'!K60,'Comext mensuel - EUROSTAT'!M60,'Comext mensuel - EUROSTAT'!O60,'Comext mensuel - EUROSTAT'!Q60,'Comext mensuel - EUROSTAT'!S60,'Comext mensuel - EUROSTAT'!U60,'Comext mensuel - EUROSTAT'!W60,'Comext mensuel - EUROSTAT'!Y60)/10^4</f>
        <v>2.5859999999999998E-3</v>
      </c>
      <c r="F49" s="909">
        <f>SUM('Comext mensuel - EUROSTAT'!Z60,'Comext mensuel - EUROSTAT'!AB60,'Comext mensuel - EUROSTAT'!AD60,'Comext mensuel - EUROSTAT'!AF60,'Comext mensuel - EUROSTAT'!AH60,'Comext mensuel - EUROSTAT'!AJ60,'Comext mensuel - EUROSTAT'!AL60,'Comext mensuel - EUROSTAT'!AN60,'Comext mensuel - EUROSTAT'!AP60,'Comext mensuel - EUROSTAT'!AR60,'Comext mensuel - EUROSTAT'!AT60,'Comext mensuel - EUROSTAT'!AV60)/10^4</f>
        <v>0.145258</v>
      </c>
      <c r="G49" s="909">
        <f>SUM('Comext mensuel - EUROSTAT'!AA60,'Comext mensuel - EUROSTAT'!AC60,'Comext mensuel - EUROSTAT'!AE60,'Comext mensuel - EUROSTAT'!AG60,'Comext mensuel - EUROSTAT'!AI60,'Comext mensuel - EUROSTAT'!AK60,'Comext mensuel - EUROSTAT'!AM60,'Comext mensuel - EUROSTAT'!AO60,'Comext mensuel - EUROSTAT'!AQ60,'Comext mensuel - EUROSTAT'!AS60,'Comext mensuel - EUROSTAT'!AU60,'Comext mensuel - EUROSTAT'!AW60)/10^4</f>
        <v>1.1769999999999999E-3</v>
      </c>
      <c r="H49" s="909">
        <f>SUM('Comext mensuel - EUROSTAT'!AX60,'Comext mensuel - EUROSTAT'!AZ60,'Comext mensuel - EUROSTAT'!BB60,'Comext mensuel - EUROSTAT'!BD60,'Comext mensuel - EUROSTAT'!BF60,'Comext mensuel - EUROSTAT'!BH60,'Comext mensuel - EUROSTAT'!BJ60,'Comext mensuel - EUROSTAT'!BL60,'Comext mensuel - EUROSTAT'!BN60,'Comext mensuel - EUROSTAT'!BP60,'Comext mensuel - EUROSTAT'!BR60,'Comext mensuel - EUROSTAT'!BT60)/10^4</f>
        <v>0</v>
      </c>
      <c r="I49" s="909">
        <f>SUM('Comext mensuel - EUROSTAT'!AY60,'Comext mensuel - EUROSTAT'!BA60,'Comext mensuel - EUROSTAT'!BC60,'Comext mensuel - EUROSTAT'!BE60,'Comext mensuel - EUROSTAT'!BG60,'Comext mensuel - EUROSTAT'!BI60,'Comext mensuel - EUROSTAT'!BK60,'Comext mensuel - EUROSTAT'!BM60,'Comext mensuel - EUROSTAT'!BO60,'Comext mensuel - EUROSTAT'!BQ60,'Comext mensuel - EUROSTAT'!BS60,'Comext mensuel - EUROSTAT'!BU60)/10^4</f>
        <v>0</v>
      </c>
      <c r="J49" s="921">
        <f>'Comext annuel - EUROSTAT'!C78/10^4</f>
        <v>9.0211E-2</v>
      </c>
      <c r="K49" s="921" t="e">
        <f>'Comext annuel - EUROSTAT'!D78/10^4</f>
        <v>#VALUE!</v>
      </c>
      <c r="L49" s="921">
        <f>'Comext annuel - EUROSTAT'!E78/10^4</f>
        <v>0.13812199999999999</v>
      </c>
      <c r="M49" s="921">
        <f>'Comext annuel - EUROSTAT'!F78/10^4</f>
        <v>1.0400000000000001E-4</v>
      </c>
      <c r="N49" s="921" t="e">
        <f>'Comext annuel - EUROSTAT'!G78/10^4</f>
        <v>#VALUE!</v>
      </c>
      <c r="O49" s="921" t="e">
        <f>'Comext annuel - EUROSTAT'!H78/10^4</f>
        <v>#VALUE!</v>
      </c>
    </row>
    <row r="50" spans="1:15">
      <c r="A50" t="s">
        <v>1025</v>
      </c>
      <c r="B50" s="1027"/>
      <c r="C50" t="str">
        <f>'Comext mensuel - EUROSTAT'!A61</f>
        <v>Huiles et leurs fractions, obtenues exclusivement à partir d'olives et par des procédés autres que ceux mentionnés au n° 1509, même raffinées, mais non chimiquement modifiées et mélanges de ces huiles ou fractions avec des huiles ou fractions du n° 1509 (à l'excl. des huiles brutes)</v>
      </c>
      <c r="D50" s="909">
        <f>SUM('Comext mensuel - EUROSTAT'!B61,'Comext mensuel - EUROSTAT'!D61,'Comext mensuel - EUROSTAT'!F61,'Comext mensuel - EUROSTAT'!H61,'Comext mensuel - EUROSTAT'!J61,'Comext mensuel - EUROSTAT'!L61,'Comext mensuel - EUROSTAT'!N61,'Comext mensuel - EUROSTAT'!P61,'Comext mensuel - EUROSTAT'!R61,'Comext mensuel - EUROSTAT'!T61,'Comext mensuel - EUROSTAT'!V61,'Comext mensuel - EUROSTAT'!X61)/10^4</f>
        <v>0.45857900000000001</v>
      </c>
      <c r="E50" s="909">
        <f>SUM('Comext mensuel - EUROSTAT'!C61,'Comext mensuel - EUROSTAT'!E61,'Comext mensuel - EUROSTAT'!G61,'Comext mensuel - EUROSTAT'!I61,'Comext mensuel - EUROSTAT'!K61,'Comext mensuel - EUROSTAT'!M61,'Comext mensuel - EUROSTAT'!O61,'Comext mensuel - EUROSTAT'!Q61,'Comext mensuel - EUROSTAT'!S61,'Comext mensuel - EUROSTAT'!U61,'Comext mensuel - EUROSTAT'!W61,'Comext mensuel - EUROSTAT'!Y61)/10^4</f>
        <v>0.13307800000000003</v>
      </c>
      <c r="F50" s="909">
        <f>SUM('Comext mensuel - EUROSTAT'!Z61,'Comext mensuel - EUROSTAT'!AB61,'Comext mensuel - EUROSTAT'!AD61,'Comext mensuel - EUROSTAT'!AF61,'Comext mensuel - EUROSTAT'!AH61,'Comext mensuel - EUROSTAT'!AJ61,'Comext mensuel - EUROSTAT'!AL61,'Comext mensuel - EUROSTAT'!AN61,'Comext mensuel - EUROSTAT'!AP61,'Comext mensuel - EUROSTAT'!AR61,'Comext mensuel - EUROSTAT'!AT61,'Comext mensuel - EUROSTAT'!AV61)/10^4</f>
        <v>1.0107110000000001</v>
      </c>
      <c r="G50" s="909">
        <f>SUM('Comext mensuel - EUROSTAT'!AA61,'Comext mensuel - EUROSTAT'!AC61,'Comext mensuel - EUROSTAT'!AE61,'Comext mensuel - EUROSTAT'!AG61,'Comext mensuel - EUROSTAT'!AI61,'Comext mensuel - EUROSTAT'!AK61,'Comext mensuel - EUROSTAT'!AM61,'Comext mensuel - EUROSTAT'!AO61,'Comext mensuel - EUROSTAT'!AQ61,'Comext mensuel - EUROSTAT'!AS61,'Comext mensuel - EUROSTAT'!AU61,'Comext mensuel - EUROSTAT'!AW61)/10^4</f>
        <v>3.6234000000000002E-2</v>
      </c>
      <c r="H50" s="909">
        <f>SUM('Comext mensuel - EUROSTAT'!AX61,'Comext mensuel - EUROSTAT'!AZ61,'Comext mensuel - EUROSTAT'!BB61,'Comext mensuel - EUROSTAT'!BD61,'Comext mensuel - EUROSTAT'!BF61,'Comext mensuel - EUROSTAT'!BH61,'Comext mensuel - EUROSTAT'!BJ61,'Comext mensuel - EUROSTAT'!BL61,'Comext mensuel - EUROSTAT'!BN61,'Comext mensuel - EUROSTAT'!BP61,'Comext mensuel - EUROSTAT'!BR61,'Comext mensuel - EUROSTAT'!BT61)/10^4</f>
        <v>0</v>
      </c>
      <c r="I50" s="909">
        <f>SUM('Comext mensuel - EUROSTAT'!AY61,'Comext mensuel - EUROSTAT'!BA61,'Comext mensuel - EUROSTAT'!BC61,'Comext mensuel - EUROSTAT'!BE61,'Comext mensuel - EUROSTAT'!BG61,'Comext mensuel - EUROSTAT'!BI61,'Comext mensuel - EUROSTAT'!BK61,'Comext mensuel - EUROSTAT'!BM61,'Comext mensuel - EUROSTAT'!BO61,'Comext mensuel - EUROSTAT'!BQ61,'Comext mensuel - EUROSTAT'!BS61,'Comext mensuel - EUROSTAT'!BU61)/10^4</f>
        <v>0</v>
      </c>
      <c r="J50" s="921">
        <f>'Comext annuel - EUROSTAT'!C79/10^4</f>
        <v>0.48209399999999997</v>
      </c>
      <c r="K50" s="921">
        <f>'Comext annuel - EUROSTAT'!D79/10^4</f>
        <v>3.4042000000000003E-2</v>
      </c>
      <c r="L50" s="921">
        <f>'Comext annuel - EUROSTAT'!E79/10^4</f>
        <v>0.87436700000000001</v>
      </c>
      <c r="M50" s="921">
        <f>'Comext annuel - EUROSTAT'!F79/10^4</f>
        <v>7.5388999999999998E-2</v>
      </c>
      <c r="N50" s="921" t="e">
        <f>'Comext annuel - EUROSTAT'!G79/10^4</f>
        <v>#VALUE!</v>
      </c>
      <c r="O50" s="921" t="e">
        <f>'Comext annuel - EUROSTAT'!H79/10^4</f>
        <v>#VALUE!</v>
      </c>
    </row>
    <row r="51" spans="1:15">
      <c r="A51" t="s">
        <v>1024</v>
      </c>
      <c r="B51" s="1027"/>
      <c r="C51" t="str">
        <f>'Comext mensuel - EUROSTAT'!A62</f>
        <v>Huile de grignons d’olive brute de la catégorie 6 de l’UE, obtenue exclusivement à partir d’olives, non traitée</v>
      </c>
      <c r="D51" s="909">
        <f>SUM('Comext mensuel - EUROSTAT'!B62,'Comext mensuel - EUROSTAT'!D62,'Comext mensuel - EUROSTAT'!F62,'Comext mensuel - EUROSTAT'!H62,'Comext mensuel - EUROSTAT'!J62,'Comext mensuel - EUROSTAT'!L62,'Comext mensuel - EUROSTAT'!N62,'Comext mensuel - EUROSTAT'!P62,'Comext mensuel - EUROSTAT'!R62,'Comext mensuel - EUROSTAT'!T62,'Comext mensuel - EUROSTAT'!V62,'Comext mensuel - EUROSTAT'!X62)/10^4</f>
        <v>0</v>
      </c>
      <c r="E51" s="909">
        <f>SUM('Comext mensuel - EUROSTAT'!C62,'Comext mensuel - EUROSTAT'!E62,'Comext mensuel - EUROSTAT'!G62,'Comext mensuel - EUROSTAT'!I62,'Comext mensuel - EUROSTAT'!K62,'Comext mensuel - EUROSTAT'!M62,'Comext mensuel - EUROSTAT'!O62,'Comext mensuel - EUROSTAT'!Q62,'Comext mensuel - EUROSTAT'!S62,'Comext mensuel - EUROSTAT'!U62,'Comext mensuel - EUROSTAT'!W62,'Comext mensuel - EUROSTAT'!Y62)/10^4</f>
        <v>0</v>
      </c>
      <c r="F51" s="909">
        <f>SUM('Comext mensuel - EUROSTAT'!Z62,'Comext mensuel - EUROSTAT'!AB62,'Comext mensuel - EUROSTAT'!AD62,'Comext mensuel - EUROSTAT'!AF62,'Comext mensuel - EUROSTAT'!AH62,'Comext mensuel - EUROSTAT'!AJ62,'Comext mensuel - EUROSTAT'!AL62,'Comext mensuel - EUROSTAT'!AN62,'Comext mensuel - EUROSTAT'!AP62,'Comext mensuel - EUROSTAT'!AR62,'Comext mensuel - EUROSTAT'!AT62,'Comext mensuel - EUROSTAT'!AV62)/10^4</f>
        <v>0</v>
      </c>
      <c r="G51" s="909">
        <f>SUM('Comext mensuel - EUROSTAT'!AA62,'Comext mensuel - EUROSTAT'!AC62,'Comext mensuel - EUROSTAT'!AE62,'Comext mensuel - EUROSTAT'!AG62,'Comext mensuel - EUROSTAT'!AI62,'Comext mensuel - EUROSTAT'!AK62,'Comext mensuel - EUROSTAT'!AM62,'Comext mensuel - EUROSTAT'!AO62,'Comext mensuel - EUROSTAT'!AQ62,'Comext mensuel - EUROSTAT'!AS62,'Comext mensuel - EUROSTAT'!AU62,'Comext mensuel - EUROSTAT'!AW62)/10^4</f>
        <v>0</v>
      </c>
      <c r="H51" s="909">
        <f>SUM('Comext mensuel - EUROSTAT'!AX62,'Comext mensuel - EUROSTAT'!AZ62,'Comext mensuel - EUROSTAT'!BB62,'Comext mensuel - EUROSTAT'!BD62,'Comext mensuel - EUROSTAT'!BF62,'Comext mensuel - EUROSTAT'!BH62,'Comext mensuel - EUROSTAT'!BJ62,'Comext mensuel - EUROSTAT'!BL62,'Comext mensuel - EUROSTAT'!BN62,'Comext mensuel - EUROSTAT'!BP62,'Comext mensuel - EUROSTAT'!BR62,'Comext mensuel - EUROSTAT'!BT62)/10^4</f>
        <v>0.34421199999999996</v>
      </c>
      <c r="I51" s="909">
        <f>SUM('Comext mensuel - EUROSTAT'!AY62,'Comext mensuel - EUROSTAT'!BA62,'Comext mensuel - EUROSTAT'!BC62,'Comext mensuel - EUROSTAT'!BE62,'Comext mensuel - EUROSTAT'!BG62,'Comext mensuel - EUROSTAT'!BI62,'Comext mensuel - EUROSTAT'!BK62,'Comext mensuel - EUROSTAT'!BM62,'Comext mensuel - EUROSTAT'!BO62,'Comext mensuel - EUROSTAT'!BQ62,'Comext mensuel - EUROSTAT'!BS62,'Comext mensuel - EUROSTAT'!BU62)/10^4</f>
        <v>4.8142000000000004E-2</v>
      </c>
      <c r="J51" s="921" t="e">
        <f>'Comext annuel - EUROSTAT'!C80/10^4</f>
        <v>#VALUE!</v>
      </c>
      <c r="K51" s="921" t="e">
        <f>'Comext annuel - EUROSTAT'!D80/10^4</f>
        <v>#VALUE!</v>
      </c>
      <c r="L51" s="921" t="e">
        <f>'Comext annuel - EUROSTAT'!E80/10^4</f>
        <v>#VALUE!</v>
      </c>
      <c r="M51" s="921" t="e">
        <f>'Comext annuel - EUROSTAT'!F80/10^4</f>
        <v>#VALUE!</v>
      </c>
      <c r="N51" s="921">
        <f>'Comext annuel - EUROSTAT'!G80/10^4</f>
        <v>0.24715500000000001</v>
      </c>
      <c r="O51" s="921">
        <f>'Comext annuel - EUROSTAT'!H80/10^4</f>
        <v>4.0550000000000003E-2</v>
      </c>
    </row>
    <row r="52" spans="1:15">
      <c r="A52" t="s">
        <v>1025</v>
      </c>
      <c r="B52" s="1027"/>
      <c r="C52" t="str">
        <f>'Comext mensuel - EUROSTAT'!A63</f>
        <v>Autres huiles et leurs fractions, des catégories 7 et 8 de l’UE, obtenues exclusivement à partir d’olives, même raffinées, mais non chimiquement modifiées, y compris mélanges de ces huiles ou fractions avec des huiles ou fractions du nº 1509</v>
      </c>
      <c r="D52" s="909">
        <f>SUM('Comext mensuel - EUROSTAT'!B63,'Comext mensuel - EUROSTAT'!D63,'Comext mensuel - EUROSTAT'!F63,'Comext mensuel - EUROSTAT'!H63,'Comext mensuel - EUROSTAT'!J63,'Comext mensuel - EUROSTAT'!L63,'Comext mensuel - EUROSTAT'!N63,'Comext mensuel - EUROSTAT'!P63,'Comext mensuel - EUROSTAT'!R63,'Comext mensuel - EUROSTAT'!T63,'Comext mensuel - EUROSTAT'!V63,'Comext mensuel - EUROSTAT'!X63)/10^4</f>
        <v>0</v>
      </c>
      <c r="E52" s="909">
        <f>SUM('Comext mensuel - EUROSTAT'!C63,'Comext mensuel - EUROSTAT'!E63,'Comext mensuel - EUROSTAT'!G63,'Comext mensuel - EUROSTAT'!I63,'Comext mensuel - EUROSTAT'!K63,'Comext mensuel - EUROSTAT'!M63,'Comext mensuel - EUROSTAT'!O63,'Comext mensuel - EUROSTAT'!Q63,'Comext mensuel - EUROSTAT'!S63,'Comext mensuel - EUROSTAT'!U63,'Comext mensuel - EUROSTAT'!W63,'Comext mensuel - EUROSTAT'!Y63)/10^4</f>
        <v>0</v>
      </c>
      <c r="F52" s="909">
        <f>SUM('Comext mensuel - EUROSTAT'!Z63,'Comext mensuel - EUROSTAT'!AB63,'Comext mensuel - EUROSTAT'!AD63,'Comext mensuel - EUROSTAT'!AF63,'Comext mensuel - EUROSTAT'!AH63,'Comext mensuel - EUROSTAT'!AJ63,'Comext mensuel - EUROSTAT'!AL63,'Comext mensuel - EUROSTAT'!AN63,'Comext mensuel - EUROSTAT'!AP63,'Comext mensuel - EUROSTAT'!AR63,'Comext mensuel - EUROSTAT'!AT63,'Comext mensuel - EUROSTAT'!AV63)/10^4</f>
        <v>0</v>
      </c>
      <c r="G52" s="909">
        <f>SUM('Comext mensuel - EUROSTAT'!AA63,'Comext mensuel - EUROSTAT'!AC63,'Comext mensuel - EUROSTAT'!AE63,'Comext mensuel - EUROSTAT'!AG63,'Comext mensuel - EUROSTAT'!AI63,'Comext mensuel - EUROSTAT'!AK63,'Comext mensuel - EUROSTAT'!AM63,'Comext mensuel - EUROSTAT'!AO63,'Comext mensuel - EUROSTAT'!AQ63,'Comext mensuel - EUROSTAT'!AS63,'Comext mensuel - EUROSTAT'!AU63,'Comext mensuel - EUROSTAT'!AW63)/10^4</f>
        <v>0</v>
      </c>
      <c r="H52" s="909">
        <f>SUM('Comext mensuel - EUROSTAT'!AX63,'Comext mensuel - EUROSTAT'!AZ63,'Comext mensuel - EUROSTAT'!BB63,'Comext mensuel - EUROSTAT'!BD63,'Comext mensuel - EUROSTAT'!BF63,'Comext mensuel - EUROSTAT'!BH63,'Comext mensuel - EUROSTAT'!BJ63,'Comext mensuel - EUROSTAT'!BL63,'Comext mensuel - EUROSTAT'!BN63,'Comext mensuel - EUROSTAT'!BP63,'Comext mensuel - EUROSTAT'!BR63,'Comext mensuel - EUROSTAT'!BT63)/10^4</f>
        <v>0.39331199999999999</v>
      </c>
      <c r="I52" s="909">
        <f>SUM('Comext mensuel - EUROSTAT'!AY63,'Comext mensuel - EUROSTAT'!BA63,'Comext mensuel - EUROSTAT'!BC63,'Comext mensuel - EUROSTAT'!BE63,'Comext mensuel - EUROSTAT'!BG63,'Comext mensuel - EUROSTAT'!BI63,'Comext mensuel - EUROSTAT'!BK63,'Comext mensuel - EUROSTAT'!BM63,'Comext mensuel - EUROSTAT'!BO63,'Comext mensuel - EUROSTAT'!BQ63,'Comext mensuel - EUROSTAT'!BS63,'Comext mensuel - EUROSTAT'!BU63)/10^4</f>
        <v>4.1964000000000001E-2</v>
      </c>
      <c r="J52" s="921" t="e">
        <f>'Comext annuel - EUROSTAT'!C81/10^4</f>
        <v>#VALUE!</v>
      </c>
      <c r="K52" s="921" t="e">
        <f>'Comext annuel - EUROSTAT'!D81/10^4</f>
        <v>#VALUE!</v>
      </c>
      <c r="L52" s="921" t="e">
        <f>'Comext annuel - EUROSTAT'!E81/10^4</f>
        <v>#VALUE!</v>
      </c>
      <c r="M52" s="921" t="e">
        <f>'Comext annuel - EUROSTAT'!F81/10^4</f>
        <v>#VALUE!</v>
      </c>
      <c r="N52" s="921">
        <f>'Comext annuel - EUROSTAT'!G81/10^4</f>
        <v>0.42783999999999994</v>
      </c>
      <c r="O52" s="921">
        <f>'Comext annuel - EUROSTAT'!H81/10^4</f>
        <v>5.4040999999999999E-2</v>
      </c>
    </row>
    <row r="53" spans="1:15">
      <c r="A53" t="s">
        <v>1026</v>
      </c>
      <c r="B53" s="1027"/>
      <c r="C53" t="str">
        <f>'Comext mensuel - EUROSTAT'!A64</f>
        <v>Huile de palme, brute, destinée à des usages techniques ou industriels (autres que la fabrication de produits pour l'alimentation humaine)</v>
      </c>
      <c r="D53" s="908">
        <f>SUM('Comext mensuel - EUROSTAT'!B64,'Comext mensuel - EUROSTAT'!D64,'Comext mensuel - EUROSTAT'!F64,'Comext mensuel - EUROSTAT'!H64,'Comext mensuel - EUROSTAT'!J64,'Comext mensuel - EUROSTAT'!L64,'Comext mensuel - EUROSTAT'!N64,'Comext mensuel - EUROSTAT'!P64,'Comext mensuel - EUROSTAT'!R64,'Comext mensuel - EUROSTAT'!T64,'Comext mensuel - EUROSTAT'!V64,'Comext mensuel - EUROSTAT'!X64)/10^4</f>
        <v>96.582791999999998</v>
      </c>
      <c r="E53" s="908">
        <f>SUM('Comext mensuel - EUROSTAT'!C64,'Comext mensuel - EUROSTAT'!E64,'Comext mensuel - EUROSTAT'!G64,'Comext mensuel - EUROSTAT'!I64,'Comext mensuel - EUROSTAT'!K64,'Comext mensuel - EUROSTAT'!M64,'Comext mensuel - EUROSTAT'!O64,'Comext mensuel - EUROSTAT'!Q64,'Comext mensuel - EUROSTAT'!S64,'Comext mensuel - EUROSTAT'!U64,'Comext mensuel - EUROSTAT'!W64,'Comext mensuel - EUROSTAT'!Y64)/10^4</f>
        <v>7.6959000000000014E-2</v>
      </c>
      <c r="F53" s="908">
        <f>SUM('Comext mensuel - EUROSTAT'!Z64,'Comext mensuel - EUROSTAT'!AB64,'Comext mensuel - EUROSTAT'!AD64,'Comext mensuel - EUROSTAT'!AF64,'Comext mensuel - EUROSTAT'!AH64,'Comext mensuel - EUROSTAT'!AJ64,'Comext mensuel - EUROSTAT'!AL64,'Comext mensuel - EUROSTAT'!AN64,'Comext mensuel - EUROSTAT'!AP64,'Comext mensuel - EUROSTAT'!AR64,'Comext mensuel - EUROSTAT'!AT64,'Comext mensuel - EUROSTAT'!AV64)/10^4</f>
        <v>268.13884299999995</v>
      </c>
      <c r="G53" s="908">
        <f>SUM('Comext mensuel - EUROSTAT'!AA64,'Comext mensuel - EUROSTAT'!AC64,'Comext mensuel - EUROSTAT'!AE64,'Comext mensuel - EUROSTAT'!AG64,'Comext mensuel - EUROSTAT'!AI64,'Comext mensuel - EUROSTAT'!AK64,'Comext mensuel - EUROSTAT'!AM64,'Comext mensuel - EUROSTAT'!AO64,'Comext mensuel - EUROSTAT'!AQ64,'Comext mensuel - EUROSTAT'!AS64,'Comext mensuel - EUROSTAT'!AU64,'Comext mensuel - EUROSTAT'!AW64)/10^4</f>
        <v>7.3169999999999999E-2</v>
      </c>
      <c r="H53" s="908">
        <f>SUM('Comext mensuel - EUROSTAT'!AX64,'Comext mensuel - EUROSTAT'!AZ64,'Comext mensuel - EUROSTAT'!BB64,'Comext mensuel - EUROSTAT'!BD64,'Comext mensuel - EUROSTAT'!BF64,'Comext mensuel - EUROSTAT'!BH64,'Comext mensuel - EUROSTAT'!BJ64,'Comext mensuel - EUROSTAT'!BL64,'Comext mensuel - EUROSTAT'!BN64,'Comext mensuel - EUROSTAT'!BP64,'Comext mensuel - EUROSTAT'!BR64,'Comext mensuel - EUROSTAT'!BT64)/10^4</f>
        <v>29.326193</v>
      </c>
      <c r="I53" s="908">
        <f>SUM('Comext mensuel - EUROSTAT'!AY64,'Comext mensuel - EUROSTAT'!BA64,'Comext mensuel - EUROSTAT'!BC64,'Comext mensuel - EUROSTAT'!BE64,'Comext mensuel - EUROSTAT'!BG64,'Comext mensuel - EUROSTAT'!BI64,'Comext mensuel - EUROSTAT'!BK64,'Comext mensuel - EUROSTAT'!BM64,'Comext mensuel - EUROSTAT'!BO64,'Comext mensuel - EUROSTAT'!BQ64,'Comext mensuel - EUROSTAT'!BS64,'Comext mensuel - EUROSTAT'!BU64)/10^4</f>
        <v>0.8432639999999999</v>
      </c>
      <c r="J53" s="911">
        <f>'Comext annuel - EUROSTAT'!C82/10^4</f>
        <v>87.198320999999993</v>
      </c>
      <c r="K53" s="911">
        <f>'Comext annuel - EUROSTAT'!D82/10^4</f>
        <v>6.6749000000000003E-2</v>
      </c>
      <c r="L53" s="911">
        <f>'Comext annuel - EUROSTAT'!E82/10^4</f>
        <v>191.179597</v>
      </c>
      <c r="M53" s="911">
        <f>'Comext annuel - EUROSTAT'!F82/10^4</f>
        <v>8.2830000000000001E-2</v>
      </c>
      <c r="N53" s="911">
        <f>'Comext annuel - EUROSTAT'!G82/10^4</f>
        <v>32.620956</v>
      </c>
      <c r="O53" s="911">
        <f>'Comext annuel - EUROSTAT'!H82/10^4</f>
        <v>0.81608000000000003</v>
      </c>
    </row>
    <row r="54" spans="1:15">
      <c r="A54" t="s">
        <v>1026</v>
      </c>
      <c r="B54" s="1027"/>
      <c r="C54" t="str">
        <f>'Comext mensuel - EUROSTAT'!A65</f>
        <v>Huile de palme, brute (à l'excl. de l'huile destinée à des usages techniques ou industriels)</v>
      </c>
      <c r="D54" s="908">
        <f>SUM('Comext mensuel - EUROSTAT'!B65,'Comext mensuel - EUROSTAT'!D65,'Comext mensuel - EUROSTAT'!F65,'Comext mensuel - EUROSTAT'!H65,'Comext mensuel - EUROSTAT'!J65,'Comext mensuel - EUROSTAT'!L65,'Comext mensuel - EUROSTAT'!N65,'Comext mensuel - EUROSTAT'!P65,'Comext mensuel - EUROSTAT'!R65,'Comext mensuel - EUROSTAT'!T65,'Comext mensuel - EUROSTAT'!V65,'Comext mensuel - EUROSTAT'!X65)/10^4</f>
        <v>9.1562420000000007</v>
      </c>
      <c r="E54" s="908">
        <f>SUM('Comext mensuel - EUROSTAT'!C65,'Comext mensuel - EUROSTAT'!E65,'Comext mensuel - EUROSTAT'!G65,'Comext mensuel - EUROSTAT'!I65,'Comext mensuel - EUROSTAT'!K65,'Comext mensuel - EUROSTAT'!M65,'Comext mensuel - EUROSTAT'!O65,'Comext mensuel - EUROSTAT'!Q65,'Comext mensuel - EUROSTAT'!S65,'Comext mensuel - EUROSTAT'!U65,'Comext mensuel - EUROSTAT'!W65,'Comext mensuel - EUROSTAT'!Y65)/10^4</f>
        <v>1.0385000000000002E-2</v>
      </c>
      <c r="F54" s="908">
        <f>SUM('Comext mensuel - EUROSTAT'!Z65,'Comext mensuel - EUROSTAT'!AB65,'Comext mensuel - EUROSTAT'!AD65,'Comext mensuel - EUROSTAT'!AF65,'Comext mensuel - EUROSTAT'!AH65,'Comext mensuel - EUROSTAT'!AJ65,'Comext mensuel - EUROSTAT'!AL65,'Comext mensuel - EUROSTAT'!AN65,'Comext mensuel - EUROSTAT'!AP65,'Comext mensuel - EUROSTAT'!AR65,'Comext mensuel - EUROSTAT'!AT65,'Comext mensuel - EUROSTAT'!AV65)/10^4</f>
        <v>10.763303999999998</v>
      </c>
      <c r="G54" s="908">
        <f>SUM('Comext mensuel - EUROSTAT'!AA65,'Comext mensuel - EUROSTAT'!AC65,'Comext mensuel - EUROSTAT'!AE65,'Comext mensuel - EUROSTAT'!AG65,'Comext mensuel - EUROSTAT'!AI65,'Comext mensuel - EUROSTAT'!AK65,'Comext mensuel - EUROSTAT'!AM65,'Comext mensuel - EUROSTAT'!AO65,'Comext mensuel - EUROSTAT'!AQ65,'Comext mensuel - EUROSTAT'!AS65,'Comext mensuel - EUROSTAT'!AU65,'Comext mensuel - EUROSTAT'!AW65)/10^4</f>
        <v>1.2324E-2</v>
      </c>
      <c r="H54" s="908">
        <f>SUM('Comext mensuel - EUROSTAT'!AX65,'Comext mensuel - EUROSTAT'!AZ65,'Comext mensuel - EUROSTAT'!BB65,'Comext mensuel - EUROSTAT'!BD65,'Comext mensuel - EUROSTAT'!BF65,'Comext mensuel - EUROSTAT'!BH65,'Comext mensuel - EUROSTAT'!BJ65,'Comext mensuel - EUROSTAT'!BL65,'Comext mensuel - EUROSTAT'!BN65,'Comext mensuel - EUROSTAT'!BP65,'Comext mensuel - EUROSTAT'!BR65,'Comext mensuel - EUROSTAT'!BT65)/10^4</f>
        <v>14.002373</v>
      </c>
      <c r="I54" s="908">
        <f>SUM('Comext mensuel - EUROSTAT'!AY65,'Comext mensuel - EUROSTAT'!BA65,'Comext mensuel - EUROSTAT'!BC65,'Comext mensuel - EUROSTAT'!BE65,'Comext mensuel - EUROSTAT'!BG65,'Comext mensuel - EUROSTAT'!BI65,'Comext mensuel - EUROSTAT'!BK65,'Comext mensuel - EUROSTAT'!BM65,'Comext mensuel - EUROSTAT'!BO65,'Comext mensuel - EUROSTAT'!BQ65,'Comext mensuel - EUROSTAT'!BS65,'Comext mensuel - EUROSTAT'!BU65)/10^4</f>
        <v>0.12445600000000001</v>
      </c>
      <c r="J54" s="911">
        <f>'Comext annuel - EUROSTAT'!C83/10^4</f>
        <v>8.1350479999999994</v>
      </c>
      <c r="K54" s="911">
        <f>'Comext annuel - EUROSTAT'!D83/10^4</f>
        <v>3.1570000000000001E-2</v>
      </c>
      <c r="L54" s="911">
        <f>'Comext annuel - EUROSTAT'!E83/10^4</f>
        <v>16.079369</v>
      </c>
      <c r="M54" s="911">
        <f>'Comext annuel - EUROSTAT'!F83/10^4</f>
        <v>1.2329000000000001E-2</v>
      </c>
      <c r="N54" s="911">
        <f>'Comext annuel - EUROSTAT'!G83/10^4</f>
        <v>15.340920000000001</v>
      </c>
      <c r="O54" s="911">
        <f>'Comext annuel - EUROSTAT'!H83/10^4</f>
        <v>0.14615999999999998</v>
      </c>
    </row>
    <row r="55" spans="1:15">
      <c r="A55" t="s">
        <v>1027</v>
      </c>
      <c r="B55" s="1027"/>
      <c r="C55" t="str">
        <f>'Comext mensuel - EUROSTAT'!A66</f>
        <v>Fractions solides de l'huile de palme, même raffinées, mais non chimiquement modifiées, présentées en emballages immédiats d'un contenu net &lt;= 1 kg</v>
      </c>
      <c r="D55" s="908">
        <f>SUM('Comext mensuel - EUROSTAT'!B66,'Comext mensuel - EUROSTAT'!D66,'Comext mensuel - EUROSTAT'!F66,'Comext mensuel - EUROSTAT'!H66,'Comext mensuel - EUROSTAT'!J66,'Comext mensuel - EUROSTAT'!L66,'Comext mensuel - EUROSTAT'!N66,'Comext mensuel - EUROSTAT'!P66,'Comext mensuel - EUROSTAT'!R66,'Comext mensuel - EUROSTAT'!T66,'Comext mensuel - EUROSTAT'!V66,'Comext mensuel - EUROSTAT'!X66)/10^4</f>
        <v>5.0174999999999997E-2</v>
      </c>
      <c r="E55" s="908">
        <f>SUM('Comext mensuel - EUROSTAT'!C66,'Comext mensuel - EUROSTAT'!E66,'Comext mensuel - EUROSTAT'!G66,'Comext mensuel - EUROSTAT'!I66,'Comext mensuel - EUROSTAT'!K66,'Comext mensuel - EUROSTAT'!M66,'Comext mensuel - EUROSTAT'!O66,'Comext mensuel - EUROSTAT'!Q66,'Comext mensuel - EUROSTAT'!S66,'Comext mensuel - EUROSTAT'!U66,'Comext mensuel - EUROSTAT'!W66,'Comext mensuel - EUROSTAT'!Y66)/10^4</f>
        <v>6.9499999999999998E-4</v>
      </c>
      <c r="F55" s="908">
        <f>SUM('Comext mensuel - EUROSTAT'!Z66,'Comext mensuel - EUROSTAT'!AB66,'Comext mensuel - EUROSTAT'!AD66,'Comext mensuel - EUROSTAT'!AF66,'Comext mensuel - EUROSTAT'!AH66,'Comext mensuel - EUROSTAT'!AJ66,'Comext mensuel - EUROSTAT'!AL66,'Comext mensuel - EUROSTAT'!AN66,'Comext mensuel - EUROSTAT'!AP66,'Comext mensuel - EUROSTAT'!AR66,'Comext mensuel - EUROSTAT'!AT66,'Comext mensuel - EUROSTAT'!AV66)/10^4</f>
        <v>6.1797000000000005E-2</v>
      </c>
      <c r="G55" s="908">
        <f>SUM('Comext mensuel - EUROSTAT'!AA66,'Comext mensuel - EUROSTAT'!AC66,'Comext mensuel - EUROSTAT'!AE66,'Comext mensuel - EUROSTAT'!AG66,'Comext mensuel - EUROSTAT'!AI66,'Comext mensuel - EUROSTAT'!AK66,'Comext mensuel - EUROSTAT'!AM66,'Comext mensuel - EUROSTAT'!AO66,'Comext mensuel - EUROSTAT'!AQ66,'Comext mensuel - EUROSTAT'!AS66,'Comext mensuel - EUROSTAT'!AU66,'Comext mensuel - EUROSTAT'!AW66)/10^4</f>
        <v>1.122E-3</v>
      </c>
      <c r="H55" s="908">
        <f>SUM('Comext mensuel - EUROSTAT'!AX66,'Comext mensuel - EUROSTAT'!AZ66,'Comext mensuel - EUROSTAT'!BB66,'Comext mensuel - EUROSTAT'!BD66,'Comext mensuel - EUROSTAT'!BF66,'Comext mensuel - EUROSTAT'!BH66,'Comext mensuel - EUROSTAT'!BJ66,'Comext mensuel - EUROSTAT'!BL66,'Comext mensuel - EUROSTAT'!BN66,'Comext mensuel - EUROSTAT'!BP66,'Comext mensuel - EUROSTAT'!BR66,'Comext mensuel - EUROSTAT'!BT66)/10^4</f>
        <v>0.18715599999999996</v>
      </c>
      <c r="I55" s="908">
        <f>SUM('Comext mensuel - EUROSTAT'!AY66,'Comext mensuel - EUROSTAT'!BA66,'Comext mensuel - EUROSTAT'!BC66,'Comext mensuel - EUROSTAT'!BE66,'Comext mensuel - EUROSTAT'!BG66,'Comext mensuel - EUROSTAT'!BI66,'Comext mensuel - EUROSTAT'!BK66,'Comext mensuel - EUROSTAT'!BM66,'Comext mensuel - EUROSTAT'!BO66,'Comext mensuel - EUROSTAT'!BQ66,'Comext mensuel - EUROSTAT'!BS66,'Comext mensuel - EUROSTAT'!BU66)/10^4</f>
        <v>1.343E-3</v>
      </c>
      <c r="J55" s="911">
        <f>'Comext annuel - EUROSTAT'!C84/10^4</f>
        <v>8.5192999999999991E-2</v>
      </c>
      <c r="K55" s="911">
        <f>'Comext annuel - EUROSTAT'!D84/10^4</f>
        <v>7.5700000000000008E-4</v>
      </c>
      <c r="L55" s="911">
        <f>'Comext annuel - EUROSTAT'!E84/10^4</f>
        <v>8.8610999999999995E-2</v>
      </c>
      <c r="M55" s="911">
        <f>'Comext annuel - EUROSTAT'!F84/10^4</f>
        <v>1.4550000000000001E-3</v>
      </c>
      <c r="N55" s="911">
        <f>'Comext annuel - EUROSTAT'!G84/10^4</f>
        <v>0.186774</v>
      </c>
      <c r="O55" s="911">
        <f>'Comext annuel - EUROSTAT'!H84/10^4</f>
        <v>2.0010000000000002E-3</v>
      </c>
    </row>
    <row r="56" spans="1:15">
      <c r="A56" t="s">
        <v>1027</v>
      </c>
      <c r="B56" s="1027"/>
      <c r="C56" t="str">
        <f>'Comext mensuel - EUROSTAT'!A67</f>
        <v>Fractions solides de l'huile de palme, même raffinées, mais non chimiquement modifiées, présentées en emballages immédiats d'un contenu net &gt; 1 kg</v>
      </c>
      <c r="D56" s="908">
        <f>SUM('Comext mensuel - EUROSTAT'!B67,'Comext mensuel - EUROSTAT'!D67,'Comext mensuel - EUROSTAT'!F67,'Comext mensuel - EUROSTAT'!H67,'Comext mensuel - EUROSTAT'!J67,'Comext mensuel - EUROSTAT'!L67,'Comext mensuel - EUROSTAT'!N67,'Comext mensuel - EUROSTAT'!P67,'Comext mensuel - EUROSTAT'!R67,'Comext mensuel - EUROSTAT'!T67,'Comext mensuel - EUROSTAT'!V67,'Comext mensuel - EUROSTAT'!X67)/10^4</f>
        <v>18.736502000000002</v>
      </c>
      <c r="E56" s="908">
        <f>SUM('Comext mensuel - EUROSTAT'!C67,'Comext mensuel - EUROSTAT'!E67,'Comext mensuel - EUROSTAT'!G67,'Comext mensuel - EUROSTAT'!I67,'Comext mensuel - EUROSTAT'!K67,'Comext mensuel - EUROSTAT'!M67,'Comext mensuel - EUROSTAT'!O67,'Comext mensuel - EUROSTAT'!Q67,'Comext mensuel - EUROSTAT'!S67,'Comext mensuel - EUROSTAT'!U67,'Comext mensuel - EUROSTAT'!W67,'Comext mensuel - EUROSTAT'!Y67)/10^4</f>
        <v>0.19210700000000003</v>
      </c>
      <c r="F56" s="908">
        <f>SUM('Comext mensuel - EUROSTAT'!Z67,'Comext mensuel - EUROSTAT'!AB67,'Comext mensuel - EUROSTAT'!AD67,'Comext mensuel - EUROSTAT'!AF67,'Comext mensuel - EUROSTAT'!AH67,'Comext mensuel - EUROSTAT'!AJ67,'Comext mensuel - EUROSTAT'!AL67,'Comext mensuel - EUROSTAT'!AN67,'Comext mensuel - EUROSTAT'!AP67,'Comext mensuel - EUROSTAT'!AR67,'Comext mensuel - EUROSTAT'!AT67,'Comext mensuel - EUROSTAT'!AV67)/10^4</f>
        <v>12.803091</v>
      </c>
      <c r="G56" s="908">
        <f>SUM('Comext mensuel - EUROSTAT'!AA67,'Comext mensuel - EUROSTAT'!AC67,'Comext mensuel - EUROSTAT'!AE67,'Comext mensuel - EUROSTAT'!AG67,'Comext mensuel - EUROSTAT'!AI67,'Comext mensuel - EUROSTAT'!AK67,'Comext mensuel - EUROSTAT'!AM67,'Comext mensuel - EUROSTAT'!AO67,'Comext mensuel - EUROSTAT'!AQ67,'Comext mensuel - EUROSTAT'!AS67,'Comext mensuel - EUROSTAT'!AU67,'Comext mensuel - EUROSTAT'!AW67)/10^4</f>
        <v>0.63985300000000012</v>
      </c>
      <c r="H56" s="908">
        <f>SUM('Comext mensuel - EUROSTAT'!AX67,'Comext mensuel - EUROSTAT'!AZ67,'Comext mensuel - EUROSTAT'!BB67,'Comext mensuel - EUROSTAT'!BD67,'Comext mensuel - EUROSTAT'!BF67,'Comext mensuel - EUROSTAT'!BH67,'Comext mensuel - EUROSTAT'!BJ67,'Comext mensuel - EUROSTAT'!BL67,'Comext mensuel - EUROSTAT'!BN67,'Comext mensuel - EUROSTAT'!BP67,'Comext mensuel - EUROSTAT'!BR67,'Comext mensuel - EUROSTAT'!BT67)/10^4</f>
        <v>24.074241000000004</v>
      </c>
      <c r="I56" s="908">
        <f>SUM('Comext mensuel - EUROSTAT'!AY67,'Comext mensuel - EUROSTAT'!BA67,'Comext mensuel - EUROSTAT'!BC67,'Comext mensuel - EUROSTAT'!BE67,'Comext mensuel - EUROSTAT'!BG67,'Comext mensuel - EUROSTAT'!BI67,'Comext mensuel - EUROSTAT'!BK67,'Comext mensuel - EUROSTAT'!BM67,'Comext mensuel - EUROSTAT'!BO67,'Comext mensuel - EUROSTAT'!BQ67,'Comext mensuel - EUROSTAT'!BS67,'Comext mensuel - EUROSTAT'!BU67)/10^4</f>
        <v>5.2887000000000003E-2</v>
      </c>
      <c r="J56" s="911">
        <f>'Comext annuel - EUROSTAT'!C85/10^4</f>
        <v>5.3829949999999993</v>
      </c>
      <c r="K56" s="911">
        <f>'Comext annuel - EUROSTAT'!D85/10^4</f>
        <v>0.19395100000000001</v>
      </c>
      <c r="L56" s="911">
        <f>'Comext annuel - EUROSTAT'!E85/10^4</f>
        <v>14.006629</v>
      </c>
      <c r="M56" s="911">
        <f>'Comext annuel - EUROSTAT'!F85/10^4</f>
        <v>1.1511120000000001</v>
      </c>
      <c r="N56" s="911">
        <f>'Comext annuel - EUROSTAT'!G85/10^4</f>
        <v>19.993967999999999</v>
      </c>
      <c r="O56" s="911">
        <f>'Comext annuel - EUROSTAT'!H85/10^4</f>
        <v>0.19713900000000001</v>
      </c>
    </row>
    <row r="57" spans="1:15">
      <c r="A57" t="s">
        <v>1027</v>
      </c>
      <c r="B57" s="1027"/>
      <c r="C57" t="str">
        <f>'Comext mensuel - EUROSTAT'!A68</f>
        <v>Huile de palme et ses fractions fluides, même raffinées, mais non chimiquement modifiées, destinées à des usages techniques ou industriels (à l'excl. de l'huile de palme brute et de l'huile destinée à la fabrication de produits pour l'alimentation humaine)</v>
      </c>
      <c r="D57" s="908">
        <f>SUM('Comext mensuel - EUROSTAT'!B68,'Comext mensuel - EUROSTAT'!D68,'Comext mensuel - EUROSTAT'!F68,'Comext mensuel - EUROSTAT'!H68,'Comext mensuel - EUROSTAT'!J68,'Comext mensuel - EUROSTAT'!L68,'Comext mensuel - EUROSTAT'!N68,'Comext mensuel - EUROSTAT'!P68,'Comext mensuel - EUROSTAT'!R68,'Comext mensuel - EUROSTAT'!T68,'Comext mensuel - EUROSTAT'!V68,'Comext mensuel - EUROSTAT'!X68)/10^4</f>
        <v>230.01537399999998</v>
      </c>
      <c r="E57" s="908">
        <f>SUM('Comext mensuel - EUROSTAT'!C68,'Comext mensuel - EUROSTAT'!E68,'Comext mensuel - EUROSTAT'!G68,'Comext mensuel - EUROSTAT'!I68,'Comext mensuel - EUROSTAT'!K68,'Comext mensuel - EUROSTAT'!M68,'Comext mensuel - EUROSTAT'!O68,'Comext mensuel - EUROSTAT'!Q68,'Comext mensuel - EUROSTAT'!S68,'Comext mensuel - EUROSTAT'!U68,'Comext mensuel - EUROSTAT'!W68,'Comext mensuel - EUROSTAT'!Y68)/10^4</f>
        <v>0.55560600000000004</v>
      </c>
      <c r="F57" s="908">
        <f>SUM('Comext mensuel - EUROSTAT'!Z68,'Comext mensuel - EUROSTAT'!AB68,'Comext mensuel - EUROSTAT'!AD68,'Comext mensuel - EUROSTAT'!AF68,'Comext mensuel - EUROSTAT'!AH68,'Comext mensuel - EUROSTAT'!AJ68,'Comext mensuel - EUROSTAT'!AL68,'Comext mensuel - EUROSTAT'!AN68,'Comext mensuel - EUROSTAT'!AP68,'Comext mensuel - EUROSTAT'!AR68,'Comext mensuel - EUROSTAT'!AT68,'Comext mensuel - EUROSTAT'!AV68)/10^4</f>
        <v>82.121909000000002</v>
      </c>
      <c r="G57" s="908">
        <f>SUM('Comext mensuel - EUROSTAT'!AA68,'Comext mensuel - EUROSTAT'!AC68,'Comext mensuel - EUROSTAT'!AE68,'Comext mensuel - EUROSTAT'!AG68,'Comext mensuel - EUROSTAT'!AI68,'Comext mensuel - EUROSTAT'!AK68,'Comext mensuel - EUROSTAT'!AM68,'Comext mensuel - EUROSTAT'!AO68,'Comext mensuel - EUROSTAT'!AQ68,'Comext mensuel - EUROSTAT'!AS68,'Comext mensuel - EUROSTAT'!AU68,'Comext mensuel - EUROSTAT'!AW68)/10^4</f>
        <v>0.67079800000000001</v>
      </c>
      <c r="H57" s="908">
        <f>SUM('Comext mensuel - EUROSTAT'!AX68,'Comext mensuel - EUROSTAT'!AZ68,'Comext mensuel - EUROSTAT'!BB68,'Comext mensuel - EUROSTAT'!BD68,'Comext mensuel - EUROSTAT'!BF68,'Comext mensuel - EUROSTAT'!BH68,'Comext mensuel - EUROSTAT'!BJ68,'Comext mensuel - EUROSTAT'!BL68,'Comext mensuel - EUROSTAT'!BN68,'Comext mensuel - EUROSTAT'!BP68,'Comext mensuel - EUROSTAT'!BR68,'Comext mensuel - EUROSTAT'!BT68)/10^4</f>
        <v>17.786399000000003</v>
      </c>
      <c r="I57" s="908">
        <f>SUM('Comext mensuel - EUROSTAT'!AY68,'Comext mensuel - EUROSTAT'!BA68,'Comext mensuel - EUROSTAT'!BC68,'Comext mensuel - EUROSTAT'!BE68,'Comext mensuel - EUROSTAT'!BG68,'Comext mensuel - EUROSTAT'!BI68,'Comext mensuel - EUROSTAT'!BK68,'Comext mensuel - EUROSTAT'!BM68,'Comext mensuel - EUROSTAT'!BO68,'Comext mensuel - EUROSTAT'!BQ68,'Comext mensuel - EUROSTAT'!BS68,'Comext mensuel - EUROSTAT'!BU68)/10^4</f>
        <v>0.65339200000000008</v>
      </c>
      <c r="J57" s="911">
        <f>'Comext annuel - EUROSTAT'!C86/10^4</f>
        <v>249.350483</v>
      </c>
      <c r="K57" s="911">
        <f>'Comext annuel - EUROSTAT'!D86/10^4</f>
        <v>0.47409799999999996</v>
      </c>
      <c r="L57" s="911">
        <f>'Comext annuel - EUROSTAT'!E86/10^4</f>
        <v>115.584395</v>
      </c>
      <c r="M57" s="911">
        <f>'Comext annuel - EUROSTAT'!F86/10^4</f>
        <v>0.63470499999999996</v>
      </c>
      <c r="N57" s="911">
        <f>'Comext annuel - EUROSTAT'!G86/10^4</f>
        <v>16.809497</v>
      </c>
      <c r="O57" s="911">
        <f>'Comext annuel - EUROSTAT'!H86/10^4</f>
        <v>0.66466400000000003</v>
      </c>
    </row>
    <row r="58" spans="1:15">
      <c r="A58" t="s">
        <v>1027</v>
      </c>
      <c r="B58" s="1027"/>
      <c r="C58" t="str">
        <f>'Comext mensuel - EUROSTAT'!A69</f>
        <v>Huile de palme et ses fractions fluides, même raffinées, mais non chimiquement modifiées (à l'excl. de l'huile de palme brute et de l'huile destinée à des usages techniques ou industriels)</v>
      </c>
      <c r="D58" s="908">
        <f>SUM('Comext mensuel - EUROSTAT'!B69,'Comext mensuel - EUROSTAT'!D69,'Comext mensuel - EUROSTAT'!F69,'Comext mensuel - EUROSTAT'!H69,'Comext mensuel - EUROSTAT'!J69,'Comext mensuel - EUROSTAT'!L69,'Comext mensuel - EUROSTAT'!N69,'Comext mensuel - EUROSTAT'!P69,'Comext mensuel - EUROSTAT'!R69,'Comext mensuel - EUROSTAT'!T69,'Comext mensuel - EUROSTAT'!V69,'Comext mensuel - EUROSTAT'!X69)/10^4</f>
        <v>75.050807000000006</v>
      </c>
      <c r="E58" s="908">
        <f>SUM('Comext mensuel - EUROSTAT'!C69,'Comext mensuel - EUROSTAT'!E69,'Comext mensuel - EUROSTAT'!G69,'Comext mensuel - EUROSTAT'!I69,'Comext mensuel - EUROSTAT'!K69,'Comext mensuel - EUROSTAT'!M69,'Comext mensuel - EUROSTAT'!O69,'Comext mensuel - EUROSTAT'!Q69,'Comext mensuel - EUROSTAT'!S69,'Comext mensuel - EUROSTAT'!U69,'Comext mensuel - EUROSTAT'!W69,'Comext mensuel - EUROSTAT'!Y69)/10^4</f>
        <v>0.26334399999999997</v>
      </c>
      <c r="F58" s="908">
        <f>SUM('Comext mensuel - EUROSTAT'!Z69,'Comext mensuel - EUROSTAT'!AB69,'Comext mensuel - EUROSTAT'!AD69,'Comext mensuel - EUROSTAT'!AF69,'Comext mensuel - EUROSTAT'!AH69,'Comext mensuel - EUROSTAT'!AJ69,'Comext mensuel - EUROSTAT'!AL69,'Comext mensuel - EUROSTAT'!AN69,'Comext mensuel - EUROSTAT'!AP69,'Comext mensuel - EUROSTAT'!AR69,'Comext mensuel - EUROSTAT'!AT69,'Comext mensuel - EUROSTAT'!AV69)/10^4</f>
        <v>89.025881000000012</v>
      </c>
      <c r="G58" s="908">
        <f>SUM('Comext mensuel - EUROSTAT'!AA69,'Comext mensuel - EUROSTAT'!AC69,'Comext mensuel - EUROSTAT'!AE69,'Comext mensuel - EUROSTAT'!AG69,'Comext mensuel - EUROSTAT'!AI69,'Comext mensuel - EUROSTAT'!AK69,'Comext mensuel - EUROSTAT'!AM69,'Comext mensuel - EUROSTAT'!AO69,'Comext mensuel - EUROSTAT'!AQ69,'Comext mensuel - EUROSTAT'!AS69,'Comext mensuel - EUROSTAT'!AU69,'Comext mensuel - EUROSTAT'!AW69)/10^4</f>
        <v>0.68313100000000004</v>
      </c>
      <c r="H58" s="908">
        <f>SUM('Comext mensuel - EUROSTAT'!AX69,'Comext mensuel - EUROSTAT'!AZ69,'Comext mensuel - EUROSTAT'!BB69,'Comext mensuel - EUROSTAT'!BD69,'Comext mensuel - EUROSTAT'!BF69,'Comext mensuel - EUROSTAT'!BH69,'Comext mensuel - EUROSTAT'!BJ69,'Comext mensuel - EUROSTAT'!BL69,'Comext mensuel - EUROSTAT'!BN69,'Comext mensuel - EUROSTAT'!BP69,'Comext mensuel - EUROSTAT'!BR69,'Comext mensuel - EUROSTAT'!BT69)/10^4</f>
        <v>58.12598400000001</v>
      </c>
      <c r="I58" s="908">
        <f>SUM('Comext mensuel - EUROSTAT'!AY69,'Comext mensuel - EUROSTAT'!BA69,'Comext mensuel - EUROSTAT'!BC69,'Comext mensuel - EUROSTAT'!BE69,'Comext mensuel - EUROSTAT'!BG69,'Comext mensuel - EUROSTAT'!BI69,'Comext mensuel - EUROSTAT'!BK69,'Comext mensuel - EUROSTAT'!BM69,'Comext mensuel - EUROSTAT'!BO69,'Comext mensuel - EUROSTAT'!BQ69,'Comext mensuel - EUROSTAT'!BS69,'Comext mensuel - EUROSTAT'!BU69)/10^4</f>
        <v>0.61195699999999997</v>
      </c>
      <c r="J58" s="911">
        <f>'Comext annuel - EUROSTAT'!C87/10^4</f>
        <v>72.176659999999998</v>
      </c>
      <c r="K58" s="911">
        <f>'Comext annuel - EUROSTAT'!D87/10^4</f>
        <v>0.30173699999999998</v>
      </c>
      <c r="L58" s="911">
        <f>'Comext annuel - EUROSTAT'!E87/10^4</f>
        <v>73.300229000000002</v>
      </c>
      <c r="M58" s="911">
        <f>'Comext annuel - EUROSTAT'!F87/10^4</f>
        <v>0.96490200000000004</v>
      </c>
      <c r="N58" s="911">
        <f>'Comext annuel - EUROSTAT'!G87/10^4</f>
        <v>68.183581000000004</v>
      </c>
      <c r="O58" s="911">
        <f>'Comext annuel - EUROSTAT'!H87/10^4</f>
        <v>2.0323290000000003</v>
      </c>
    </row>
    <row r="59" spans="1:15">
      <c r="A59" t="s">
        <v>1028</v>
      </c>
      <c r="B59" s="1027"/>
      <c r="C59" t="str">
        <f>'Comext mensuel - EUROSTAT'!A70</f>
        <v>Huiles de tournesol ou de carthame, brutes, destinées à des usages techniques ou industriels (autres que la fabrication de produits pour l'alimentation humaine)</v>
      </c>
      <c r="D59" s="909">
        <f>SUM('Comext mensuel - EUROSTAT'!B70,'Comext mensuel - EUROSTAT'!D70,'Comext mensuel - EUROSTAT'!F70,'Comext mensuel - EUROSTAT'!H70,'Comext mensuel - EUROSTAT'!J70,'Comext mensuel - EUROSTAT'!L70,'Comext mensuel - EUROSTAT'!N70,'Comext mensuel - EUROSTAT'!P70,'Comext mensuel - EUROSTAT'!R70,'Comext mensuel - EUROSTAT'!T70,'Comext mensuel - EUROSTAT'!V70,'Comext mensuel - EUROSTAT'!X70)/10^4</f>
        <v>5.1142199999999995</v>
      </c>
      <c r="E59" s="909">
        <f>SUM('Comext mensuel - EUROSTAT'!C70,'Comext mensuel - EUROSTAT'!E70,'Comext mensuel - EUROSTAT'!G70,'Comext mensuel - EUROSTAT'!I70,'Comext mensuel - EUROSTAT'!K70,'Comext mensuel - EUROSTAT'!M70,'Comext mensuel - EUROSTAT'!O70,'Comext mensuel - EUROSTAT'!Q70,'Comext mensuel - EUROSTAT'!S70,'Comext mensuel - EUROSTAT'!U70,'Comext mensuel - EUROSTAT'!W70,'Comext mensuel - EUROSTAT'!Y70)/10^4</f>
        <v>5.8247939999999989</v>
      </c>
      <c r="F59" s="909">
        <f>SUM('Comext mensuel - EUROSTAT'!Z70,'Comext mensuel - EUROSTAT'!AB70,'Comext mensuel - EUROSTAT'!AD70,'Comext mensuel - EUROSTAT'!AF70,'Comext mensuel - EUROSTAT'!AH70,'Comext mensuel - EUROSTAT'!AJ70,'Comext mensuel - EUROSTAT'!AL70,'Comext mensuel - EUROSTAT'!AN70,'Comext mensuel - EUROSTAT'!AP70,'Comext mensuel - EUROSTAT'!AR70,'Comext mensuel - EUROSTAT'!AT70,'Comext mensuel - EUROSTAT'!AV70)/10^4</f>
        <v>6.496378</v>
      </c>
      <c r="G59" s="909">
        <f>SUM('Comext mensuel - EUROSTAT'!AA70,'Comext mensuel - EUROSTAT'!AC70,'Comext mensuel - EUROSTAT'!AE70,'Comext mensuel - EUROSTAT'!AG70,'Comext mensuel - EUROSTAT'!AI70,'Comext mensuel - EUROSTAT'!AK70,'Comext mensuel - EUROSTAT'!AM70,'Comext mensuel - EUROSTAT'!AO70,'Comext mensuel - EUROSTAT'!AQ70,'Comext mensuel - EUROSTAT'!AS70,'Comext mensuel - EUROSTAT'!AU70,'Comext mensuel - EUROSTAT'!AW70)/10^4</f>
        <v>0.11204000000000001</v>
      </c>
      <c r="H59" s="909">
        <f>SUM('Comext mensuel - EUROSTAT'!AX70,'Comext mensuel - EUROSTAT'!AZ70,'Comext mensuel - EUROSTAT'!BB70,'Comext mensuel - EUROSTAT'!BD70,'Comext mensuel - EUROSTAT'!BF70,'Comext mensuel - EUROSTAT'!BH70,'Comext mensuel - EUROSTAT'!BJ70,'Comext mensuel - EUROSTAT'!BL70,'Comext mensuel - EUROSTAT'!BN70,'Comext mensuel - EUROSTAT'!BP70,'Comext mensuel - EUROSTAT'!BR70,'Comext mensuel - EUROSTAT'!BT70)/10^4</f>
        <v>27.128176999999997</v>
      </c>
      <c r="I59" s="909">
        <f>SUM('Comext mensuel - EUROSTAT'!AY70,'Comext mensuel - EUROSTAT'!BA70,'Comext mensuel - EUROSTAT'!BC70,'Comext mensuel - EUROSTAT'!BE70,'Comext mensuel - EUROSTAT'!BG70,'Comext mensuel - EUROSTAT'!BI70,'Comext mensuel - EUROSTAT'!BK70,'Comext mensuel - EUROSTAT'!BM70,'Comext mensuel - EUROSTAT'!BO70,'Comext mensuel - EUROSTAT'!BQ70,'Comext mensuel - EUROSTAT'!BS70,'Comext mensuel - EUROSTAT'!BU70)/10^4</f>
        <v>5.2185379999999997</v>
      </c>
      <c r="J59" s="921">
        <f>'Comext annuel - EUROSTAT'!C88/10^4</f>
        <v>4.7444940000000004</v>
      </c>
      <c r="K59" s="921">
        <f>'Comext annuel - EUROSTAT'!D88/10^4</f>
        <v>5.4134089999999997</v>
      </c>
      <c r="L59" s="921">
        <f>'Comext annuel - EUROSTAT'!E88/10^4</f>
        <v>0.130606</v>
      </c>
      <c r="M59" s="921">
        <f>'Comext annuel - EUROSTAT'!F88/10^4</f>
        <v>0.132803</v>
      </c>
      <c r="N59" s="921">
        <f>'Comext annuel - EUROSTAT'!G88/10^4</f>
        <v>18.267379999999999</v>
      </c>
      <c r="O59" s="921">
        <f>'Comext annuel - EUROSTAT'!H88/10^4</f>
        <v>1.9899740000000001</v>
      </c>
    </row>
    <row r="60" spans="1:15">
      <c r="A60" t="s">
        <v>1028</v>
      </c>
      <c r="B60" s="1027"/>
      <c r="C60" t="str">
        <f>'Comext mensuel - EUROSTAT'!A71</f>
        <v>Huile de tournesol, brute (à l'excl. de l'huile destinée à des usages techniques ou industriels)</v>
      </c>
      <c r="D60" s="909">
        <f>SUM('Comext mensuel - EUROSTAT'!B71,'Comext mensuel - EUROSTAT'!D71,'Comext mensuel - EUROSTAT'!F71,'Comext mensuel - EUROSTAT'!H71,'Comext mensuel - EUROSTAT'!J71,'Comext mensuel - EUROSTAT'!L71,'Comext mensuel - EUROSTAT'!N71,'Comext mensuel - EUROSTAT'!P71,'Comext mensuel - EUROSTAT'!R71,'Comext mensuel - EUROSTAT'!T71,'Comext mensuel - EUROSTAT'!V71,'Comext mensuel - EUROSTAT'!X71)/10^4</f>
        <v>182.642898</v>
      </c>
      <c r="E60" s="909">
        <f>SUM('Comext mensuel - EUROSTAT'!C71,'Comext mensuel - EUROSTAT'!E71,'Comext mensuel - EUROSTAT'!G71,'Comext mensuel - EUROSTAT'!I71,'Comext mensuel - EUROSTAT'!K71,'Comext mensuel - EUROSTAT'!M71,'Comext mensuel - EUROSTAT'!O71,'Comext mensuel - EUROSTAT'!Q71,'Comext mensuel - EUROSTAT'!S71,'Comext mensuel - EUROSTAT'!U71,'Comext mensuel - EUROSTAT'!W71,'Comext mensuel - EUROSTAT'!Y71)/10^4</f>
        <v>117.83513700000002</v>
      </c>
      <c r="F60" s="909">
        <f>SUM('Comext mensuel - EUROSTAT'!Z71,'Comext mensuel - EUROSTAT'!AB71,'Comext mensuel - EUROSTAT'!AD71,'Comext mensuel - EUROSTAT'!AF71,'Comext mensuel - EUROSTAT'!AH71,'Comext mensuel - EUROSTAT'!AJ71,'Comext mensuel - EUROSTAT'!AL71,'Comext mensuel - EUROSTAT'!AN71,'Comext mensuel - EUROSTAT'!AP71,'Comext mensuel - EUROSTAT'!AR71,'Comext mensuel - EUROSTAT'!AT71,'Comext mensuel - EUROSTAT'!AV71)/10^4</f>
        <v>203.522527</v>
      </c>
      <c r="G60" s="909">
        <f>SUM('Comext mensuel - EUROSTAT'!AA71,'Comext mensuel - EUROSTAT'!AC71,'Comext mensuel - EUROSTAT'!AE71,'Comext mensuel - EUROSTAT'!AG71,'Comext mensuel - EUROSTAT'!AI71,'Comext mensuel - EUROSTAT'!AK71,'Comext mensuel - EUROSTAT'!AM71,'Comext mensuel - EUROSTAT'!AO71,'Comext mensuel - EUROSTAT'!AQ71,'Comext mensuel - EUROSTAT'!AS71,'Comext mensuel - EUROSTAT'!AU71,'Comext mensuel - EUROSTAT'!AW71)/10^4</f>
        <v>112.87921499999999</v>
      </c>
      <c r="H60" s="909">
        <f>SUM('Comext mensuel - EUROSTAT'!AX71,'Comext mensuel - EUROSTAT'!AZ71,'Comext mensuel - EUROSTAT'!BB71,'Comext mensuel - EUROSTAT'!BD71,'Comext mensuel - EUROSTAT'!BF71,'Comext mensuel - EUROSTAT'!BH71,'Comext mensuel - EUROSTAT'!BJ71,'Comext mensuel - EUROSTAT'!BL71,'Comext mensuel - EUROSTAT'!BN71,'Comext mensuel - EUROSTAT'!BP71,'Comext mensuel - EUROSTAT'!BR71,'Comext mensuel - EUROSTAT'!BT71)/10^4</f>
        <v>216.67021099999999</v>
      </c>
      <c r="I60" s="909">
        <f>SUM('Comext mensuel - EUROSTAT'!AY71,'Comext mensuel - EUROSTAT'!BA71,'Comext mensuel - EUROSTAT'!BC71,'Comext mensuel - EUROSTAT'!BE71,'Comext mensuel - EUROSTAT'!BG71,'Comext mensuel - EUROSTAT'!BI71,'Comext mensuel - EUROSTAT'!BK71,'Comext mensuel - EUROSTAT'!BM71,'Comext mensuel - EUROSTAT'!BO71,'Comext mensuel - EUROSTAT'!BQ71,'Comext mensuel - EUROSTAT'!BS71,'Comext mensuel - EUROSTAT'!BU71)/10^4</f>
        <v>231.13091600000001</v>
      </c>
      <c r="J60" s="921">
        <f>'Comext annuel - EUROSTAT'!C89/10^4</f>
        <v>78.276021</v>
      </c>
      <c r="K60" s="921">
        <f>'Comext annuel - EUROSTAT'!D89/10^4</f>
        <v>155.61016899999998</v>
      </c>
      <c r="L60" s="921">
        <f>'Comext annuel - EUROSTAT'!E89/10^4</f>
        <v>207.75204299999999</v>
      </c>
      <c r="M60" s="921">
        <f>'Comext annuel - EUROSTAT'!F89/10^4</f>
        <v>103.939364</v>
      </c>
      <c r="N60" s="921">
        <f>'Comext annuel - EUROSTAT'!G89/10^4</f>
        <v>100.140575</v>
      </c>
      <c r="O60" s="921">
        <f>'Comext annuel - EUROSTAT'!H89/10^4</f>
        <v>194.920863</v>
      </c>
    </row>
    <row r="61" spans="1:15">
      <c r="B61" s="1027"/>
      <c r="C61" t="str">
        <f>'Comext mensuel - EUROSTAT'!A72</f>
        <v>Huile de carthame, brute (à l'excl. de l'huile destinée à des usages techniques ou industriels)</v>
      </c>
      <c r="D61" s="908">
        <f>SUM('Comext mensuel - EUROSTAT'!B72,'Comext mensuel - EUROSTAT'!D72,'Comext mensuel - EUROSTAT'!F72,'Comext mensuel - EUROSTAT'!H72,'Comext mensuel - EUROSTAT'!J72,'Comext mensuel - EUROSTAT'!L72,'Comext mensuel - EUROSTAT'!N72,'Comext mensuel - EUROSTAT'!P72,'Comext mensuel - EUROSTAT'!R72,'Comext mensuel - EUROSTAT'!T72,'Comext mensuel - EUROSTAT'!V72,'Comext mensuel - EUROSTAT'!X72)/10^4</f>
        <v>0.29080700000000004</v>
      </c>
      <c r="E61" s="908">
        <f>SUM('Comext mensuel - EUROSTAT'!C72,'Comext mensuel - EUROSTAT'!E72,'Comext mensuel - EUROSTAT'!G72,'Comext mensuel - EUROSTAT'!I72,'Comext mensuel - EUROSTAT'!K72,'Comext mensuel - EUROSTAT'!M72,'Comext mensuel - EUROSTAT'!O72,'Comext mensuel - EUROSTAT'!Q72,'Comext mensuel - EUROSTAT'!S72,'Comext mensuel - EUROSTAT'!U72,'Comext mensuel - EUROSTAT'!W72,'Comext mensuel - EUROSTAT'!Y72)/10^4</f>
        <v>2.6017999999999999E-2</v>
      </c>
      <c r="F61" s="908">
        <f>SUM('Comext mensuel - EUROSTAT'!Z72,'Comext mensuel - EUROSTAT'!AB72,'Comext mensuel - EUROSTAT'!AD72,'Comext mensuel - EUROSTAT'!AF72,'Comext mensuel - EUROSTAT'!AH72,'Comext mensuel - EUROSTAT'!AJ72,'Comext mensuel - EUROSTAT'!AL72,'Comext mensuel - EUROSTAT'!AN72,'Comext mensuel - EUROSTAT'!AP72,'Comext mensuel - EUROSTAT'!AR72,'Comext mensuel - EUROSTAT'!AT72,'Comext mensuel - EUROSTAT'!AV72)/10^4</f>
        <v>5.8687999999999997E-2</v>
      </c>
      <c r="G61" s="908">
        <f>SUM('Comext mensuel - EUROSTAT'!AA72,'Comext mensuel - EUROSTAT'!AC72,'Comext mensuel - EUROSTAT'!AE72,'Comext mensuel - EUROSTAT'!AG72,'Comext mensuel - EUROSTAT'!AI72,'Comext mensuel - EUROSTAT'!AK72,'Comext mensuel - EUROSTAT'!AM72,'Comext mensuel - EUROSTAT'!AO72,'Comext mensuel - EUROSTAT'!AQ72,'Comext mensuel - EUROSTAT'!AS72,'Comext mensuel - EUROSTAT'!AU72,'Comext mensuel - EUROSTAT'!AW72)/10^4</f>
        <v>1.2547000000000001E-2</v>
      </c>
      <c r="H61" s="908">
        <f>SUM('Comext mensuel - EUROSTAT'!AX72,'Comext mensuel - EUROSTAT'!AZ72,'Comext mensuel - EUROSTAT'!BB72,'Comext mensuel - EUROSTAT'!BD72,'Comext mensuel - EUROSTAT'!BF72,'Comext mensuel - EUROSTAT'!BH72,'Comext mensuel - EUROSTAT'!BJ72,'Comext mensuel - EUROSTAT'!BL72,'Comext mensuel - EUROSTAT'!BN72,'Comext mensuel - EUROSTAT'!BP72,'Comext mensuel - EUROSTAT'!BR72,'Comext mensuel - EUROSTAT'!BT72)/10^4</f>
        <v>2.9250000000000002E-2</v>
      </c>
      <c r="I61" s="908">
        <f>SUM('Comext mensuel - EUROSTAT'!AY72,'Comext mensuel - EUROSTAT'!BA72,'Comext mensuel - EUROSTAT'!BC72,'Comext mensuel - EUROSTAT'!BE72,'Comext mensuel - EUROSTAT'!BG72,'Comext mensuel - EUROSTAT'!BI72,'Comext mensuel - EUROSTAT'!BK72,'Comext mensuel - EUROSTAT'!BM72,'Comext mensuel - EUROSTAT'!BO72,'Comext mensuel - EUROSTAT'!BQ72,'Comext mensuel - EUROSTAT'!BS72,'Comext mensuel - EUROSTAT'!BU72)/10^4</f>
        <v>9.4460000000000013E-3</v>
      </c>
      <c r="J61" s="911">
        <f>'Comext annuel - EUROSTAT'!C90/10^4</f>
        <v>5.3222000000000005E-2</v>
      </c>
      <c r="K61" s="911">
        <f>'Comext annuel - EUROSTAT'!D90/10^4</f>
        <v>3.4854000000000003E-2</v>
      </c>
      <c r="L61" s="911">
        <f>'Comext annuel - EUROSTAT'!E90/10^4</f>
        <v>4.9280000000000004E-2</v>
      </c>
      <c r="M61" s="911">
        <f>'Comext annuel - EUROSTAT'!F90/10^4</f>
        <v>3.2452999999999996E-2</v>
      </c>
      <c r="N61" s="911">
        <f>'Comext annuel - EUROSTAT'!G90/10^4</f>
        <v>1.5371000000000001E-2</v>
      </c>
      <c r="O61" s="911">
        <f>'Comext annuel - EUROSTAT'!H90/10^4</f>
        <v>3.0172000000000004E-2</v>
      </c>
    </row>
    <row r="62" spans="1:15">
      <c r="A62" t="s">
        <v>1029</v>
      </c>
      <c r="B62" s="1027"/>
      <c r="C62" t="str">
        <f>'Comext mensuel - EUROSTAT'!A73</f>
        <v>Huiles de tournesol ou de carthame et leurs fractions, même raffinées, mais non chimiquement modifiées, destinées à des usages techniques ou industriels (à l'excl. des huiles brutes et des huiles destinées à la fabrication de produits pour l'alimentation humaine)</v>
      </c>
      <c r="D62" s="909">
        <f>SUM('Comext mensuel - EUROSTAT'!B73,'Comext mensuel - EUROSTAT'!D73,'Comext mensuel - EUROSTAT'!F73,'Comext mensuel - EUROSTAT'!H73,'Comext mensuel - EUROSTAT'!J73,'Comext mensuel - EUROSTAT'!L73,'Comext mensuel - EUROSTAT'!N73,'Comext mensuel - EUROSTAT'!P73,'Comext mensuel - EUROSTAT'!R73,'Comext mensuel - EUROSTAT'!T73,'Comext mensuel - EUROSTAT'!V73,'Comext mensuel - EUROSTAT'!X73)/10^4</f>
        <v>1.3383349999999998</v>
      </c>
      <c r="E62" s="909">
        <f>SUM('Comext mensuel - EUROSTAT'!C73,'Comext mensuel - EUROSTAT'!E73,'Comext mensuel - EUROSTAT'!G73,'Comext mensuel - EUROSTAT'!I73,'Comext mensuel - EUROSTAT'!K73,'Comext mensuel - EUROSTAT'!M73,'Comext mensuel - EUROSTAT'!O73,'Comext mensuel - EUROSTAT'!Q73,'Comext mensuel - EUROSTAT'!S73,'Comext mensuel - EUROSTAT'!U73,'Comext mensuel - EUROSTAT'!W73,'Comext mensuel - EUROSTAT'!Y73)/10^4</f>
        <v>44.717206999999995</v>
      </c>
      <c r="F62" s="909">
        <f>SUM('Comext mensuel - EUROSTAT'!Z73,'Comext mensuel - EUROSTAT'!AB73,'Comext mensuel - EUROSTAT'!AD73,'Comext mensuel - EUROSTAT'!AF73,'Comext mensuel - EUROSTAT'!AH73,'Comext mensuel - EUROSTAT'!AJ73,'Comext mensuel - EUROSTAT'!AL73,'Comext mensuel - EUROSTAT'!AN73,'Comext mensuel - EUROSTAT'!AP73,'Comext mensuel - EUROSTAT'!AR73,'Comext mensuel - EUROSTAT'!AT73,'Comext mensuel - EUROSTAT'!AV73)/10^4</f>
        <v>13.699969999999999</v>
      </c>
      <c r="G62" s="909">
        <f>SUM('Comext mensuel - EUROSTAT'!AA73,'Comext mensuel - EUROSTAT'!AC73,'Comext mensuel - EUROSTAT'!AE73,'Comext mensuel - EUROSTAT'!AG73,'Comext mensuel - EUROSTAT'!AI73,'Comext mensuel - EUROSTAT'!AK73,'Comext mensuel - EUROSTAT'!AM73,'Comext mensuel - EUROSTAT'!AO73,'Comext mensuel - EUROSTAT'!AQ73,'Comext mensuel - EUROSTAT'!AS73,'Comext mensuel - EUROSTAT'!AU73,'Comext mensuel - EUROSTAT'!AW73)/10^4</f>
        <v>3.0655160000000001</v>
      </c>
      <c r="H62" s="909">
        <f>SUM('Comext mensuel - EUROSTAT'!AX73,'Comext mensuel - EUROSTAT'!AZ73,'Comext mensuel - EUROSTAT'!BB73,'Comext mensuel - EUROSTAT'!BD73,'Comext mensuel - EUROSTAT'!BF73,'Comext mensuel - EUROSTAT'!BH73,'Comext mensuel - EUROSTAT'!BJ73,'Comext mensuel - EUROSTAT'!BL73,'Comext mensuel - EUROSTAT'!BN73,'Comext mensuel - EUROSTAT'!BP73,'Comext mensuel - EUROSTAT'!BR73,'Comext mensuel - EUROSTAT'!BT73)/10^4</f>
        <v>7.1757369999999998</v>
      </c>
      <c r="I62" s="909">
        <f>SUM('Comext mensuel - EUROSTAT'!AY73,'Comext mensuel - EUROSTAT'!BA73,'Comext mensuel - EUROSTAT'!BC73,'Comext mensuel - EUROSTAT'!BE73,'Comext mensuel - EUROSTAT'!BG73,'Comext mensuel - EUROSTAT'!BI73,'Comext mensuel - EUROSTAT'!BK73,'Comext mensuel - EUROSTAT'!BM73,'Comext mensuel - EUROSTAT'!BO73,'Comext mensuel - EUROSTAT'!BQ73,'Comext mensuel - EUROSTAT'!BS73,'Comext mensuel - EUROSTAT'!BU73)/10^4</f>
        <v>39.569766999999999</v>
      </c>
      <c r="J62" s="921">
        <f>'Comext annuel - EUROSTAT'!C91/10^4</f>
        <v>1.1365540000000001</v>
      </c>
      <c r="K62" s="921">
        <f>'Comext annuel - EUROSTAT'!D91/10^4</f>
        <v>39.326678000000001</v>
      </c>
      <c r="L62" s="921">
        <f>'Comext annuel - EUROSTAT'!E91/10^4</f>
        <v>5.7434959999999995</v>
      </c>
      <c r="M62" s="921">
        <f>'Comext annuel - EUROSTAT'!F91/10^4</f>
        <v>4.213247</v>
      </c>
      <c r="N62" s="921">
        <f>'Comext annuel - EUROSTAT'!G91/10^4</f>
        <v>11.251888000000001</v>
      </c>
      <c r="O62" s="921">
        <f>'Comext annuel - EUROSTAT'!H91/10^4</f>
        <v>12.613957000000001</v>
      </c>
    </row>
    <row r="63" spans="1:15">
      <c r="A63" t="s">
        <v>1029</v>
      </c>
      <c r="B63" s="1027"/>
      <c r="C63" t="str">
        <f>'Comext mensuel - EUROSTAT'!A74</f>
        <v>Huiles de tournesol ou de carthame et leurs fractions, même raffinées, mais non chimiquement modifiées (à l'excl. des huiles brutes et des huiles destinées à des usages techniques ou industriels)</v>
      </c>
      <c r="D63" s="909">
        <f>SUM('Comext mensuel - EUROSTAT'!B74,'Comext mensuel - EUROSTAT'!D74,'Comext mensuel - EUROSTAT'!F74,'Comext mensuel - EUROSTAT'!H74,'Comext mensuel - EUROSTAT'!J74,'Comext mensuel - EUROSTAT'!L74,'Comext mensuel - EUROSTAT'!N74,'Comext mensuel - EUROSTAT'!P74,'Comext mensuel - EUROSTAT'!R74,'Comext mensuel - EUROSTAT'!T74,'Comext mensuel - EUROSTAT'!V74,'Comext mensuel - EUROSTAT'!X74)/10^4</f>
        <v>79.081400000000002</v>
      </c>
      <c r="E63" s="909">
        <f>SUM('Comext mensuel - EUROSTAT'!C74,'Comext mensuel - EUROSTAT'!E74,'Comext mensuel - EUROSTAT'!G74,'Comext mensuel - EUROSTAT'!I74,'Comext mensuel - EUROSTAT'!K74,'Comext mensuel - EUROSTAT'!M74,'Comext mensuel - EUROSTAT'!O74,'Comext mensuel - EUROSTAT'!Q74,'Comext mensuel - EUROSTAT'!S74,'Comext mensuel - EUROSTAT'!U74,'Comext mensuel - EUROSTAT'!W74,'Comext mensuel - EUROSTAT'!Y74)/10^4</f>
        <v>150.19536500000001</v>
      </c>
      <c r="F63" s="909">
        <f>SUM('Comext mensuel - EUROSTAT'!Z74,'Comext mensuel - EUROSTAT'!AB74,'Comext mensuel - EUROSTAT'!AD74,'Comext mensuel - EUROSTAT'!AF74,'Comext mensuel - EUROSTAT'!AH74,'Comext mensuel - EUROSTAT'!AJ74,'Comext mensuel - EUROSTAT'!AL74,'Comext mensuel - EUROSTAT'!AN74,'Comext mensuel - EUROSTAT'!AP74,'Comext mensuel - EUROSTAT'!AR74,'Comext mensuel - EUROSTAT'!AT74,'Comext mensuel - EUROSTAT'!AV74)/10^4</f>
        <v>112.165924</v>
      </c>
      <c r="G63" s="909">
        <f>SUM('Comext mensuel - EUROSTAT'!AA74,'Comext mensuel - EUROSTAT'!AC74,'Comext mensuel - EUROSTAT'!AE74,'Comext mensuel - EUROSTAT'!AG74,'Comext mensuel - EUROSTAT'!AI74,'Comext mensuel - EUROSTAT'!AK74,'Comext mensuel - EUROSTAT'!AM74,'Comext mensuel - EUROSTAT'!AO74,'Comext mensuel - EUROSTAT'!AQ74,'Comext mensuel - EUROSTAT'!AS74,'Comext mensuel - EUROSTAT'!AU74,'Comext mensuel - EUROSTAT'!AW74)/10^4</f>
        <v>240.81283399999998</v>
      </c>
      <c r="H63" s="909">
        <f>SUM('Comext mensuel - EUROSTAT'!AX74,'Comext mensuel - EUROSTAT'!AZ74,'Comext mensuel - EUROSTAT'!BB74,'Comext mensuel - EUROSTAT'!BD74,'Comext mensuel - EUROSTAT'!BF74,'Comext mensuel - EUROSTAT'!BH74,'Comext mensuel - EUROSTAT'!BJ74,'Comext mensuel - EUROSTAT'!BL74,'Comext mensuel - EUROSTAT'!BN74,'Comext mensuel - EUROSTAT'!BP74,'Comext mensuel - EUROSTAT'!BR74,'Comext mensuel - EUROSTAT'!BT74)/10^4</f>
        <v>156.77659700000001</v>
      </c>
      <c r="I63" s="909">
        <f>SUM('Comext mensuel - EUROSTAT'!AY74,'Comext mensuel - EUROSTAT'!BA74,'Comext mensuel - EUROSTAT'!BC74,'Comext mensuel - EUROSTAT'!BE74,'Comext mensuel - EUROSTAT'!BG74,'Comext mensuel - EUROSTAT'!BI74,'Comext mensuel - EUROSTAT'!BK74,'Comext mensuel - EUROSTAT'!BM74,'Comext mensuel - EUROSTAT'!BO74,'Comext mensuel - EUROSTAT'!BQ74,'Comext mensuel - EUROSTAT'!BS74,'Comext mensuel - EUROSTAT'!BU74)/10^4</f>
        <v>215.081523</v>
      </c>
      <c r="J63" s="921">
        <f>'Comext annuel - EUROSTAT'!C92/10^4</f>
        <v>71.593081999999995</v>
      </c>
      <c r="K63" s="921">
        <f>'Comext annuel - EUROSTAT'!D92/10^4</f>
        <v>136.72564</v>
      </c>
      <c r="L63" s="921">
        <f>'Comext annuel - EUROSTAT'!E92/10^4</f>
        <v>115.679731</v>
      </c>
      <c r="M63" s="921">
        <f>'Comext annuel - EUROSTAT'!F92/10^4</f>
        <v>237.15761899999998</v>
      </c>
      <c r="N63" s="921">
        <f>'Comext annuel - EUROSTAT'!G92/10^4</f>
        <v>143.58176</v>
      </c>
      <c r="O63" s="921">
        <f>'Comext annuel - EUROSTAT'!H92/10^4</f>
        <v>224.816968</v>
      </c>
    </row>
    <row r="64" spans="1:15">
      <c r="A64" t="s">
        <v>1030</v>
      </c>
      <c r="B64" s="1027"/>
      <c r="C64" t="str">
        <f>'Comext mensuel - EUROSTAT'!A78</f>
        <v>Huile de coton, brute, même dépourvue de gossipol (à l'excl. de l'huile destinée à des usages techniques ou industriels)</v>
      </c>
      <c r="D64" s="908">
        <f>SUM('Comext mensuel - EUROSTAT'!B78,'Comext mensuel - EUROSTAT'!D78,'Comext mensuel - EUROSTAT'!F78,'Comext mensuel - EUROSTAT'!H78,'Comext mensuel - EUROSTAT'!J78,'Comext mensuel - EUROSTAT'!L78,'Comext mensuel - EUROSTAT'!N78,'Comext mensuel - EUROSTAT'!P78,'Comext mensuel - EUROSTAT'!R78,'Comext mensuel - EUROSTAT'!T78,'Comext mensuel - EUROSTAT'!V78,'Comext mensuel - EUROSTAT'!X78)/10^4</f>
        <v>8.7729999999999995E-3</v>
      </c>
      <c r="E64" s="908">
        <f>SUM('Comext mensuel - EUROSTAT'!C78,'Comext mensuel - EUROSTAT'!E78,'Comext mensuel - EUROSTAT'!G78,'Comext mensuel - EUROSTAT'!I78,'Comext mensuel - EUROSTAT'!K78,'Comext mensuel - EUROSTAT'!M78,'Comext mensuel - EUROSTAT'!O78,'Comext mensuel - EUROSTAT'!Q78,'Comext mensuel - EUROSTAT'!S78,'Comext mensuel - EUROSTAT'!U78,'Comext mensuel - EUROSTAT'!W78,'Comext mensuel - EUROSTAT'!Y78)/10^4</f>
        <v>0</v>
      </c>
      <c r="F64" s="908">
        <f>SUM('Comext mensuel - EUROSTAT'!Z78,'Comext mensuel - EUROSTAT'!AB78,'Comext mensuel - EUROSTAT'!AD78,'Comext mensuel - EUROSTAT'!AF78,'Comext mensuel - EUROSTAT'!AH78,'Comext mensuel - EUROSTAT'!AJ78,'Comext mensuel - EUROSTAT'!AL78,'Comext mensuel - EUROSTAT'!AN78,'Comext mensuel - EUROSTAT'!AP78,'Comext mensuel - EUROSTAT'!AR78,'Comext mensuel - EUROSTAT'!AT78,'Comext mensuel - EUROSTAT'!AV78)/10^4</f>
        <v>3.64E-3</v>
      </c>
      <c r="G64" s="908">
        <f>SUM('Comext mensuel - EUROSTAT'!AA78,'Comext mensuel - EUROSTAT'!AC78,'Comext mensuel - EUROSTAT'!AE78,'Comext mensuel - EUROSTAT'!AG78,'Comext mensuel - EUROSTAT'!AI78,'Comext mensuel - EUROSTAT'!AK78,'Comext mensuel - EUROSTAT'!AM78,'Comext mensuel - EUROSTAT'!AO78,'Comext mensuel - EUROSTAT'!AQ78,'Comext mensuel - EUROSTAT'!AS78,'Comext mensuel - EUROSTAT'!AU78,'Comext mensuel - EUROSTAT'!AW78)/10^4</f>
        <v>0.155108</v>
      </c>
      <c r="H64" s="908">
        <f>SUM('Comext mensuel - EUROSTAT'!AX78,'Comext mensuel - EUROSTAT'!AZ78,'Comext mensuel - EUROSTAT'!BB78,'Comext mensuel - EUROSTAT'!BD78,'Comext mensuel - EUROSTAT'!BF78,'Comext mensuel - EUROSTAT'!BH78,'Comext mensuel - EUROSTAT'!BJ78,'Comext mensuel - EUROSTAT'!BL78,'Comext mensuel - EUROSTAT'!BN78,'Comext mensuel - EUROSTAT'!BP78,'Comext mensuel - EUROSTAT'!BR78,'Comext mensuel - EUROSTAT'!BT78)/10^4</f>
        <v>7.9999999999999996E-6</v>
      </c>
      <c r="I64" s="908">
        <f>SUM('Comext mensuel - EUROSTAT'!AY78,'Comext mensuel - EUROSTAT'!BA78,'Comext mensuel - EUROSTAT'!BC78,'Comext mensuel - EUROSTAT'!BE78,'Comext mensuel - EUROSTAT'!BG78,'Comext mensuel - EUROSTAT'!BI78,'Comext mensuel - EUROSTAT'!BK78,'Comext mensuel - EUROSTAT'!BM78,'Comext mensuel - EUROSTAT'!BO78,'Comext mensuel - EUROSTAT'!BQ78,'Comext mensuel - EUROSTAT'!BS78,'Comext mensuel - EUROSTAT'!BU78)/10^4</f>
        <v>0</v>
      </c>
      <c r="J64" s="911">
        <f>'Comext annuel - EUROSTAT'!C96/10^4</f>
        <v>1.1039E-2</v>
      </c>
      <c r="K64" s="911">
        <f>'Comext annuel - EUROSTAT'!D96/10^4</f>
        <v>1.1E-4</v>
      </c>
      <c r="L64" s="911">
        <f>'Comext annuel - EUROSTAT'!E96/10^4</f>
        <v>1.3219999999999999E-2</v>
      </c>
      <c r="M64" s="911">
        <f>'Comext annuel - EUROSTAT'!F96/10^4</f>
        <v>8.9500999999999997E-2</v>
      </c>
      <c r="N64" s="911">
        <f>'Comext annuel - EUROSTAT'!G96/10^4</f>
        <v>1.887E-3</v>
      </c>
      <c r="O64" s="911">
        <f>'Comext annuel - EUROSTAT'!H96/10^4</f>
        <v>1.9099999999999998E-4</v>
      </c>
    </row>
    <row r="65" spans="1:15">
      <c r="A65" t="s">
        <v>1031</v>
      </c>
      <c r="B65" s="1027"/>
      <c r="C65" t="str">
        <f>'Comext mensuel - EUROSTAT'!A79</f>
        <v>Huile de coton et ses fractions, même dépourvues de gossipol ou raffinées, mais non chimiquement modifiées, destinées à des usages techniques ou industriels (à l'excl. de l'huile de coton brute et de l'huile destinée à la fabrication de produits pour l'alimentation humaine)</v>
      </c>
      <c r="D65" s="908">
        <f>SUM('Comext mensuel - EUROSTAT'!B79,'Comext mensuel - EUROSTAT'!D79,'Comext mensuel - EUROSTAT'!F79,'Comext mensuel - EUROSTAT'!H79,'Comext mensuel - EUROSTAT'!J79,'Comext mensuel - EUROSTAT'!L79,'Comext mensuel - EUROSTAT'!N79,'Comext mensuel - EUROSTAT'!P79,'Comext mensuel - EUROSTAT'!R79,'Comext mensuel - EUROSTAT'!T79,'Comext mensuel - EUROSTAT'!V79,'Comext mensuel - EUROSTAT'!X79)/10^4</f>
        <v>8.855E-3</v>
      </c>
      <c r="E65" s="908">
        <f>SUM('Comext mensuel - EUROSTAT'!C79,'Comext mensuel - EUROSTAT'!E79,'Comext mensuel - EUROSTAT'!G79,'Comext mensuel - EUROSTAT'!I79,'Comext mensuel - EUROSTAT'!K79,'Comext mensuel - EUROSTAT'!M79,'Comext mensuel - EUROSTAT'!O79,'Comext mensuel - EUROSTAT'!Q79,'Comext mensuel - EUROSTAT'!S79,'Comext mensuel - EUROSTAT'!U79,'Comext mensuel - EUROSTAT'!W79,'Comext mensuel - EUROSTAT'!Y79)/10^4</f>
        <v>6.4700000000000001E-4</v>
      </c>
      <c r="F65" s="908">
        <f>SUM('Comext mensuel - EUROSTAT'!Z79,'Comext mensuel - EUROSTAT'!AB79,'Comext mensuel - EUROSTAT'!AD79,'Comext mensuel - EUROSTAT'!AF79,'Comext mensuel - EUROSTAT'!AH79,'Comext mensuel - EUROSTAT'!AJ79,'Comext mensuel - EUROSTAT'!AL79,'Comext mensuel - EUROSTAT'!AN79,'Comext mensuel - EUROSTAT'!AP79,'Comext mensuel - EUROSTAT'!AR79,'Comext mensuel - EUROSTAT'!AT79,'Comext mensuel - EUROSTAT'!AV79)/10^4</f>
        <v>5.1099999999999995E-4</v>
      </c>
      <c r="G65" s="908">
        <f>SUM('Comext mensuel - EUROSTAT'!AA79,'Comext mensuel - EUROSTAT'!AC79,'Comext mensuel - EUROSTAT'!AE79,'Comext mensuel - EUROSTAT'!AG79,'Comext mensuel - EUROSTAT'!AI79,'Comext mensuel - EUROSTAT'!AK79,'Comext mensuel - EUROSTAT'!AM79,'Comext mensuel - EUROSTAT'!AO79,'Comext mensuel - EUROSTAT'!AQ79,'Comext mensuel - EUROSTAT'!AS79,'Comext mensuel - EUROSTAT'!AU79,'Comext mensuel - EUROSTAT'!AW79)/10^4</f>
        <v>5.3900000000000009E-4</v>
      </c>
      <c r="H65" s="908">
        <f>SUM('Comext mensuel - EUROSTAT'!AX79,'Comext mensuel - EUROSTAT'!AZ79,'Comext mensuel - EUROSTAT'!BB79,'Comext mensuel - EUROSTAT'!BD79,'Comext mensuel - EUROSTAT'!BF79,'Comext mensuel - EUROSTAT'!BH79,'Comext mensuel - EUROSTAT'!BJ79,'Comext mensuel - EUROSTAT'!BL79,'Comext mensuel - EUROSTAT'!BN79,'Comext mensuel - EUROSTAT'!BP79,'Comext mensuel - EUROSTAT'!BR79,'Comext mensuel - EUROSTAT'!BT79)/10^4</f>
        <v>4.4190000000000002E-3</v>
      </c>
      <c r="I65" s="908">
        <f>SUM('Comext mensuel - EUROSTAT'!AY79,'Comext mensuel - EUROSTAT'!BA79,'Comext mensuel - EUROSTAT'!BC79,'Comext mensuel - EUROSTAT'!BE79,'Comext mensuel - EUROSTAT'!BG79,'Comext mensuel - EUROSTAT'!BI79,'Comext mensuel - EUROSTAT'!BK79,'Comext mensuel - EUROSTAT'!BM79,'Comext mensuel - EUROSTAT'!BO79,'Comext mensuel - EUROSTAT'!BQ79,'Comext mensuel - EUROSTAT'!BS79,'Comext mensuel - EUROSTAT'!BU79)/10^4</f>
        <v>4.9200000000000003E-4</v>
      </c>
      <c r="J65" s="911">
        <f>'Comext annuel - EUROSTAT'!C97/10^4</f>
        <v>6.0049999999999999E-3</v>
      </c>
      <c r="K65" s="911">
        <f>'Comext annuel - EUROSTAT'!D97/10^4</f>
        <v>7.5000000000000002E-4</v>
      </c>
      <c r="L65" s="911">
        <f>'Comext annuel - EUROSTAT'!E97/10^4</f>
        <v>7.0199999999999993E-4</v>
      </c>
      <c r="M65" s="911">
        <f>'Comext annuel - EUROSTAT'!F97/10^4</f>
        <v>8.1899999999999996E-4</v>
      </c>
      <c r="N65" s="911">
        <f>'Comext annuel - EUROSTAT'!G97/10^4</f>
        <v>2.702E-3</v>
      </c>
      <c r="O65" s="911">
        <f>'Comext annuel - EUROSTAT'!H97/10^4</f>
        <v>1.7099E-2</v>
      </c>
    </row>
    <row r="66" spans="1:15">
      <c r="A66" t="s">
        <v>1031</v>
      </c>
      <c r="B66" s="1027"/>
      <c r="C66" t="str">
        <f>'Comext mensuel - EUROSTAT'!A80</f>
        <v>Huile de coton et ses fractions, même dépourvues de gossipol ou raffinées, mais non chimiquement modifiées (à l'excl. de l'huile de coton brute et de l'huile destinée à des usages techniques ou industriels)</v>
      </c>
      <c r="D66" s="908">
        <f>SUM('Comext mensuel - EUROSTAT'!B80,'Comext mensuel - EUROSTAT'!D80,'Comext mensuel - EUROSTAT'!F80,'Comext mensuel - EUROSTAT'!H80,'Comext mensuel - EUROSTAT'!J80,'Comext mensuel - EUROSTAT'!L80,'Comext mensuel - EUROSTAT'!N80,'Comext mensuel - EUROSTAT'!P80,'Comext mensuel - EUROSTAT'!R80,'Comext mensuel - EUROSTAT'!T80,'Comext mensuel - EUROSTAT'!V80,'Comext mensuel - EUROSTAT'!X80)/10^4</f>
        <v>0.25132600000000005</v>
      </c>
      <c r="E66" s="908">
        <f>SUM('Comext mensuel - EUROSTAT'!C80,'Comext mensuel - EUROSTAT'!E80,'Comext mensuel - EUROSTAT'!G80,'Comext mensuel - EUROSTAT'!I80,'Comext mensuel - EUROSTAT'!K80,'Comext mensuel - EUROSTAT'!M80,'Comext mensuel - EUROSTAT'!O80,'Comext mensuel - EUROSTAT'!Q80,'Comext mensuel - EUROSTAT'!S80,'Comext mensuel - EUROSTAT'!U80,'Comext mensuel - EUROSTAT'!W80,'Comext mensuel - EUROSTAT'!Y80)/10^4</f>
        <v>1.0034E-2</v>
      </c>
      <c r="F66" s="908">
        <f>SUM('Comext mensuel - EUROSTAT'!Z80,'Comext mensuel - EUROSTAT'!AB80,'Comext mensuel - EUROSTAT'!AD80,'Comext mensuel - EUROSTAT'!AF80,'Comext mensuel - EUROSTAT'!AH80,'Comext mensuel - EUROSTAT'!AJ80,'Comext mensuel - EUROSTAT'!AL80,'Comext mensuel - EUROSTAT'!AN80,'Comext mensuel - EUROSTAT'!AP80,'Comext mensuel - EUROSTAT'!AR80,'Comext mensuel - EUROSTAT'!AT80,'Comext mensuel - EUROSTAT'!AV80)/10^4</f>
        <v>0.693249</v>
      </c>
      <c r="G66" s="908">
        <f>SUM('Comext mensuel - EUROSTAT'!AA80,'Comext mensuel - EUROSTAT'!AC80,'Comext mensuel - EUROSTAT'!AE80,'Comext mensuel - EUROSTAT'!AG80,'Comext mensuel - EUROSTAT'!AI80,'Comext mensuel - EUROSTAT'!AK80,'Comext mensuel - EUROSTAT'!AM80,'Comext mensuel - EUROSTAT'!AO80,'Comext mensuel - EUROSTAT'!AQ80,'Comext mensuel - EUROSTAT'!AS80,'Comext mensuel - EUROSTAT'!AU80,'Comext mensuel - EUROSTAT'!AW80)/10^4</f>
        <v>9.0671000000000002E-2</v>
      </c>
      <c r="H66" s="908">
        <f>SUM('Comext mensuel - EUROSTAT'!AX80,'Comext mensuel - EUROSTAT'!AZ80,'Comext mensuel - EUROSTAT'!BB80,'Comext mensuel - EUROSTAT'!BD80,'Comext mensuel - EUROSTAT'!BF80,'Comext mensuel - EUROSTAT'!BH80,'Comext mensuel - EUROSTAT'!BJ80,'Comext mensuel - EUROSTAT'!BL80,'Comext mensuel - EUROSTAT'!BN80,'Comext mensuel - EUROSTAT'!BP80,'Comext mensuel - EUROSTAT'!BR80,'Comext mensuel - EUROSTAT'!BT80)/10^4</f>
        <v>2.2433079999999999</v>
      </c>
      <c r="I66" s="908">
        <f>SUM('Comext mensuel - EUROSTAT'!AY80,'Comext mensuel - EUROSTAT'!BA80,'Comext mensuel - EUROSTAT'!BC80,'Comext mensuel - EUROSTAT'!BE80,'Comext mensuel - EUROSTAT'!BG80,'Comext mensuel - EUROSTAT'!BI80,'Comext mensuel - EUROSTAT'!BK80,'Comext mensuel - EUROSTAT'!BM80,'Comext mensuel - EUROSTAT'!BO80,'Comext mensuel - EUROSTAT'!BQ80,'Comext mensuel - EUROSTAT'!BS80,'Comext mensuel - EUROSTAT'!BU80)/10^4</f>
        <v>6.2574000000000005E-2</v>
      </c>
      <c r="J66" s="911">
        <f>'Comext annuel - EUROSTAT'!C98/10^4</f>
        <v>0.26639200000000002</v>
      </c>
      <c r="K66" s="911">
        <f>'Comext annuel - EUROSTAT'!D98/10^4</f>
        <v>1.6109000000000002E-2</v>
      </c>
      <c r="L66" s="911">
        <f>'Comext annuel - EUROSTAT'!E98/10^4</f>
        <v>4.5009E-2</v>
      </c>
      <c r="M66" s="911">
        <f>'Comext annuel - EUROSTAT'!F98/10^4</f>
        <v>5.2770000000000004E-3</v>
      </c>
      <c r="N66" s="911">
        <f>'Comext annuel - EUROSTAT'!G98/10^4</f>
        <v>0.76383100000000004</v>
      </c>
      <c r="O66" s="911">
        <f>'Comext annuel - EUROSTAT'!H98/10^4</f>
        <v>1.4434000000000001E-2</v>
      </c>
    </row>
    <row r="67" spans="1:15">
      <c r="A67" t="s">
        <v>1032</v>
      </c>
      <c r="B67" s="1027"/>
      <c r="C67" t="str">
        <f>'Comext mensuel - EUROSTAT'!A81</f>
        <v>Huile de coco {coprah}, brute, destinée à des usages techniques ou industriels (autres que la fabrication de produits pour l'alimentation humaine)</v>
      </c>
      <c r="D67" s="908">
        <f>SUM('Comext mensuel - EUROSTAT'!B81,'Comext mensuel - EUROSTAT'!D81,'Comext mensuel - EUROSTAT'!F81,'Comext mensuel - EUROSTAT'!H81,'Comext mensuel - EUROSTAT'!J81,'Comext mensuel - EUROSTAT'!L81,'Comext mensuel - EUROSTAT'!N81,'Comext mensuel - EUROSTAT'!P81,'Comext mensuel - EUROSTAT'!R81,'Comext mensuel - EUROSTAT'!T81,'Comext mensuel - EUROSTAT'!V81,'Comext mensuel - EUROSTAT'!X81)/10^4</f>
        <v>15.052412</v>
      </c>
      <c r="E67" s="908">
        <f>SUM('Comext mensuel - EUROSTAT'!C81,'Comext mensuel - EUROSTAT'!E81,'Comext mensuel - EUROSTAT'!G81,'Comext mensuel - EUROSTAT'!I81,'Comext mensuel - EUROSTAT'!K81,'Comext mensuel - EUROSTAT'!M81,'Comext mensuel - EUROSTAT'!O81,'Comext mensuel - EUROSTAT'!Q81,'Comext mensuel - EUROSTAT'!S81,'Comext mensuel - EUROSTAT'!U81,'Comext mensuel - EUROSTAT'!W81,'Comext mensuel - EUROSTAT'!Y81)/10^4</f>
        <v>3.3611999999999996E-2</v>
      </c>
      <c r="F67" s="908">
        <f>SUM('Comext mensuel - EUROSTAT'!Z81,'Comext mensuel - EUROSTAT'!AB81,'Comext mensuel - EUROSTAT'!AD81,'Comext mensuel - EUROSTAT'!AF81,'Comext mensuel - EUROSTAT'!AH81,'Comext mensuel - EUROSTAT'!AJ81,'Comext mensuel - EUROSTAT'!AL81,'Comext mensuel - EUROSTAT'!AN81,'Comext mensuel - EUROSTAT'!AP81,'Comext mensuel - EUROSTAT'!AR81,'Comext mensuel - EUROSTAT'!AT81,'Comext mensuel - EUROSTAT'!AV81)/10^4</f>
        <v>17.870203999999998</v>
      </c>
      <c r="G67" s="908">
        <f>SUM('Comext mensuel - EUROSTAT'!AA81,'Comext mensuel - EUROSTAT'!AC81,'Comext mensuel - EUROSTAT'!AE81,'Comext mensuel - EUROSTAT'!AG81,'Comext mensuel - EUROSTAT'!AI81,'Comext mensuel - EUROSTAT'!AK81,'Comext mensuel - EUROSTAT'!AM81,'Comext mensuel - EUROSTAT'!AO81,'Comext mensuel - EUROSTAT'!AQ81,'Comext mensuel - EUROSTAT'!AS81,'Comext mensuel - EUROSTAT'!AU81,'Comext mensuel - EUROSTAT'!AW81)/10^4</f>
        <v>1.8613999999999999E-2</v>
      </c>
      <c r="H67" s="908">
        <f>SUM('Comext mensuel - EUROSTAT'!AX81,'Comext mensuel - EUROSTAT'!AZ81,'Comext mensuel - EUROSTAT'!BB81,'Comext mensuel - EUROSTAT'!BD81,'Comext mensuel - EUROSTAT'!BF81,'Comext mensuel - EUROSTAT'!BH81,'Comext mensuel - EUROSTAT'!BJ81,'Comext mensuel - EUROSTAT'!BL81,'Comext mensuel - EUROSTAT'!BN81,'Comext mensuel - EUROSTAT'!BP81,'Comext mensuel - EUROSTAT'!BR81,'Comext mensuel - EUROSTAT'!BT81)/10^4</f>
        <v>15.472840000000001</v>
      </c>
      <c r="I67" s="908">
        <f>SUM('Comext mensuel - EUROSTAT'!AY81,'Comext mensuel - EUROSTAT'!BA81,'Comext mensuel - EUROSTAT'!BC81,'Comext mensuel - EUROSTAT'!BE81,'Comext mensuel - EUROSTAT'!BG81,'Comext mensuel - EUROSTAT'!BI81,'Comext mensuel - EUROSTAT'!BK81,'Comext mensuel - EUROSTAT'!BM81,'Comext mensuel - EUROSTAT'!BO81,'Comext mensuel - EUROSTAT'!BQ81,'Comext mensuel - EUROSTAT'!BS81,'Comext mensuel - EUROSTAT'!BU81)/10^4</f>
        <v>2.2436000000000001E-2</v>
      </c>
      <c r="J67" s="911">
        <f>'Comext annuel - EUROSTAT'!C99/10^4</f>
        <v>16.781701999999999</v>
      </c>
      <c r="K67" s="911">
        <f>'Comext annuel - EUROSTAT'!D99/10^4</f>
        <v>5.8666999999999997E-2</v>
      </c>
      <c r="L67" s="911">
        <f>'Comext annuel - EUROSTAT'!E99/10^4</f>
        <v>15.794872</v>
      </c>
      <c r="M67" s="911">
        <f>'Comext annuel - EUROSTAT'!F99/10^4</f>
        <v>4.4323000000000001E-2</v>
      </c>
      <c r="N67" s="911">
        <f>'Comext annuel - EUROSTAT'!G99/10^4</f>
        <v>13.811260999999998</v>
      </c>
      <c r="O67" s="911">
        <f>'Comext annuel - EUROSTAT'!H99/10^4</f>
        <v>2.4621000000000001E-2</v>
      </c>
    </row>
    <row r="68" spans="1:15">
      <c r="A68" t="s">
        <v>1032</v>
      </c>
      <c r="B68" s="1027"/>
      <c r="C68" t="str">
        <f>'Comext mensuel - EUROSTAT'!A82</f>
        <v>Huile de coco {coprah}, brute, présentée en emballages immédiats d'un contenu net &lt;= 1 kg (à l'excl. de l'huile destinée à des usages techniques ou industriels)</v>
      </c>
      <c r="D68" s="908">
        <f>SUM('Comext mensuel - EUROSTAT'!B82,'Comext mensuel - EUROSTAT'!D82,'Comext mensuel - EUROSTAT'!F82,'Comext mensuel - EUROSTAT'!H82,'Comext mensuel - EUROSTAT'!J82,'Comext mensuel - EUROSTAT'!L82,'Comext mensuel - EUROSTAT'!N82,'Comext mensuel - EUROSTAT'!P82,'Comext mensuel - EUROSTAT'!R82,'Comext mensuel - EUROSTAT'!T82,'Comext mensuel - EUROSTAT'!V82,'Comext mensuel - EUROSTAT'!X82)/10^4</f>
        <v>0.29737499999999994</v>
      </c>
      <c r="E68" s="908">
        <f>SUM('Comext mensuel - EUROSTAT'!C82,'Comext mensuel - EUROSTAT'!E82,'Comext mensuel - EUROSTAT'!G82,'Comext mensuel - EUROSTAT'!I82,'Comext mensuel - EUROSTAT'!K82,'Comext mensuel - EUROSTAT'!M82,'Comext mensuel - EUROSTAT'!O82,'Comext mensuel - EUROSTAT'!Q82,'Comext mensuel - EUROSTAT'!S82,'Comext mensuel - EUROSTAT'!U82,'Comext mensuel - EUROSTAT'!W82,'Comext mensuel - EUROSTAT'!Y82)/10^4</f>
        <v>3.753200000000001E-2</v>
      </c>
      <c r="F68" s="908">
        <f>SUM('Comext mensuel - EUROSTAT'!Z82,'Comext mensuel - EUROSTAT'!AB82,'Comext mensuel - EUROSTAT'!AD82,'Comext mensuel - EUROSTAT'!AF82,'Comext mensuel - EUROSTAT'!AH82,'Comext mensuel - EUROSTAT'!AJ82,'Comext mensuel - EUROSTAT'!AL82,'Comext mensuel - EUROSTAT'!AN82,'Comext mensuel - EUROSTAT'!AP82,'Comext mensuel - EUROSTAT'!AR82,'Comext mensuel - EUROSTAT'!AT82,'Comext mensuel - EUROSTAT'!AV82)/10^4</f>
        <v>0.93897100000000011</v>
      </c>
      <c r="G68" s="908">
        <f>SUM('Comext mensuel - EUROSTAT'!AA82,'Comext mensuel - EUROSTAT'!AC82,'Comext mensuel - EUROSTAT'!AE82,'Comext mensuel - EUROSTAT'!AG82,'Comext mensuel - EUROSTAT'!AI82,'Comext mensuel - EUROSTAT'!AK82,'Comext mensuel - EUROSTAT'!AM82,'Comext mensuel - EUROSTAT'!AO82,'Comext mensuel - EUROSTAT'!AQ82,'Comext mensuel - EUROSTAT'!AS82,'Comext mensuel - EUROSTAT'!AU82,'Comext mensuel - EUROSTAT'!AW82)/10^4</f>
        <v>3.4585999999999999E-2</v>
      </c>
      <c r="H68" s="908">
        <f>SUM('Comext mensuel - EUROSTAT'!AX82,'Comext mensuel - EUROSTAT'!AZ82,'Comext mensuel - EUROSTAT'!BB82,'Comext mensuel - EUROSTAT'!BD82,'Comext mensuel - EUROSTAT'!BF82,'Comext mensuel - EUROSTAT'!BH82,'Comext mensuel - EUROSTAT'!BJ82,'Comext mensuel - EUROSTAT'!BL82,'Comext mensuel - EUROSTAT'!BN82,'Comext mensuel - EUROSTAT'!BP82,'Comext mensuel - EUROSTAT'!BR82,'Comext mensuel - EUROSTAT'!BT82)/10^4</f>
        <v>0.75916600000000012</v>
      </c>
      <c r="I68" s="908">
        <f>SUM('Comext mensuel - EUROSTAT'!AY82,'Comext mensuel - EUROSTAT'!BA82,'Comext mensuel - EUROSTAT'!BC82,'Comext mensuel - EUROSTAT'!BE82,'Comext mensuel - EUROSTAT'!BG82,'Comext mensuel - EUROSTAT'!BI82,'Comext mensuel - EUROSTAT'!BK82,'Comext mensuel - EUROSTAT'!BM82,'Comext mensuel - EUROSTAT'!BO82,'Comext mensuel - EUROSTAT'!BQ82,'Comext mensuel - EUROSTAT'!BS82,'Comext mensuel - EUROSTAT'!BU82)/10^4</f>
        <v>7.4675000000000005E-2</v>
      </c>
      <c r="J68" s="911">
        <f>'Comext annuel - EUROSTAT'!C100/10^4</f>
        <v>0.21509800000000001</v>
      </c>
      <c r="K68" s="911">
        <f>'Comext annuel - EUROSTAT'!D100/10^4</f>
        <v>5.3627999999999995E-2</v>
      </c>
      <c r="L68" s="911">
        <f>'Comext annuel - EUROSTAT'!E100/10^4</f>
        <v>0.9599120000000001</v>
      </c>
      <c r="M68" s="911">
        <f>'Comext annuel - EUROSTAT'!F100/10^4</f>
        <v>2.8360000000000003E-2</v>
      </c>
      <c r="N68" s="911">
        <f>'Comext annuel - EUROSTAT'!G100/10^4</f>
        <v>0.64733499999999999</v>
      </c>
      <c r="O68" s="911">
        <f>'Comext annuel - EUROSTAT'!H100/10^4</f>
        <v>4.9149999999999999E-2</v>
      </c>
    </row>
    <row r="69" spans="1:15">
      <c r="A69" t="s">
        <v>1032</v>
      </c>
      <c r="B69" s="1027"/>
      <c r="C69" t="str">
        <f>'Comext mensuel - EUROSTAT'!A83</f>
        <v>Huile de coco {coprah}, brute, présentée en emballages immédiats d'un contenu net &gt; 1 kg (à l'excl. de l'huile destinée à des usages techniques ou industriels)</v>
      </c>
      <c r="D69" s="908">
        <f>SUM('Comext mensuel - EUROSTAT'!B83,'Comext mensuel - EUROSTAT'!D83,'Comext mensuel - EUROSTAT'!F83,'Comext mensuel - EUROSTAT'!H83,'Comext mensuel - EUROSTAT'!J83,'Comext mensuel - EUROSTAT'!L83,'Comext mensuel - EUROSTAT'!N83,'Comext mensuel - EUROSTAT'!P83,'Comext mensuel - EUROSTAT'!R83,'Comext mensuel - EUROSTAT'!T83,'Comext mensuel - EUROSTAT'!V83,'Comext mensuel - EUROSTAT'!X83)/10^4</f>
        <v>9.0359510000000007</v>
      </c>
      <c r="E69" s="908">
        <f>SUM('Comext mensuel - EUROSTAT'!C83,'Comext mensuel - EUROSTAT'!E83,'Comext mensuel - EUROSTAT'!G83,'Comext mensuel - EUROSTAT'!I83,'Comext mensuel - EUROSTAT'!K83,'Comext mensuel - EUROSTAT'!M83,'Comext mensuel - EUROSTAT'!O83,'Comext mensuel - EUROSTAT'!Q83,'Comext mensuel - EUROSTAT'!S83,'Comext mensuel - EUROSTAT'!U83,'Comext mensuel - EUROSTAT'!W83,'Comext mensuel - EUROSTAT'!Y83)/10^4</f>
        <v>3.6489000000000008E-2</v>
      </c>
      <c r="F69" s="908">
        <f>SUM('Comext mensuel - EUROSTAT'!Z83,'Comext mensuel - EUROSTAT'!AB83,'Comext mensuel - EUROSTAT'!AD83,'Comext mensuel - EUROSTAT'!AF83,'Comext mensuel - EUROSTAT'!AH83,'Comext mensuel - EUROSTAT'!AJ83,'Comext mensuel - EUROSTAT'!AL83,'Comext mensuel - EUROSTAT'!AN83,'Comext mensuel - EUROSTAT'!AP83,'Comext mensuel - EUROSTAT'!AR83,'Comext mensuel - EUROSTAT'!AT83,'Comext mensuel - EUROSTAT'!AV83)/10^4</f>
        <v>8.4607929999999989</v>
      </c>
      <c r="G69" s="908">
        <f>SUM('Comext mensuel - EUROSTAT'!AA83,'Comext mensuel - EUROSTAT'!AC83,'Comext mensuel - EUROSTAT'!AE83,'Comext mensuel - EUROSTAT'!AG83,'Comext mensuel - EUROSTAT'!AI83,'Comext mensuel - EUROSTAT'!AK83,'Comext mensuel - EUROSTAT'!AM83,'Comext mensuel - EUROSTAT'!AO83,'Comext mensuel - EUROSTAT'!AQ83,'Comext mensuel - EUROSTAT'!AS83,'Comext mensuel - EUROSTAT'!AU83,'Comext mensuel - EUROSTAT'!AW83)/10^4</f>
        <v>1.1761000000000001E-2</v>
      </c>
      <c r="H69" s="908">
        <f>SUM('Comext mensuel - EUROSTAT'!AX83,'Comext mensuel - EUROSTAT'!AZ83,'Comext mensuel - EUROSTAT'!BB83,'Comext mensuel - EUROSTAT'!BD83,'Comext mensuel - EUROSTAT'!BF83,'Comext mensuel - EUROSTAT'!BH83,'Comext mensuel - EUROSTAT'!BJ83,'Comext mensuel - EUROSTAT'!BL83,'Comext mensuel - EUROSTAT'!BN83,'Comext mensuel - EUROSTAT'!BP83,'Comext mensuel - EUROSTAT'!BR83,'Comext mensuel - EUROSTAT'!BT83)/10^4</f>
        <v>10.031797000000001</v>
      </c>
      <c r="I69" s="908">
        <f>SUM('Comext mensuel - EUROSTAT'!AY83,'Comext mensuel - EUROSTAT'!BA83,'Comext mensuel - EUROSTAT'!BC83,'Comext mensuel - EUROSTAT'!BE83,'Comext mensuel - EUROSTAT'!BG83,'Comext mensuel - EUROSTAT'!BI83,'Comext mensuel - EUROSTAT'!BK83,'Comext mensuel - EUROSTAT'!BM83,'Comext mensuel - EUROSTAT'!BO83,'Comext mensuel - EUROSTAT'!BQ83,'Comext mensuel - EUROSTAT'!BS83,'Comext mensuel - EUROSTAT'!BU83)/10^4</f>
        <v>8.8600000000000016E-3</v>
      </c>
      <c r="J69" s="911">
        <f>'Comext annuel - EUROSTAT'!C101/10^4</f>
        <v>9.4269730000000003</v>
      </c>
      <c r="K69" s="911">
        <f>'Comext annuel - EUROSTAT'!D101/10^4</f>
        <v>2.5412999999999998E-2</v>
      </c>
      <c r="L69" s="911">
        <f>'Comext annuel - EUROSTAT'!E101/10^4</f>
        <v>9.7315120000000004</v>
      </c>
      <c r="M69" s="911">
        <f>'Comext annuel - EUROSTAT'!F101/10^4</f>
        <v>6.2880000000000002E-3</v>
      </c>
      <c r="N69" s="911">
        <f>'Comext annuel - EUROSTAT'!G101/10^4</f>
        <v>11.704461</v>
      </c>
      <c r="O69" s="911">
        <f>'Comext annuel - EUROSTAT'!H101/10^4</f>
        <v>3.6369999999999996E-3</v>
      </c>
    </row>
    <row r="70" spans="1:15">
      <c r="A70" t="s">
        <v>1033</v>
      </c>
      <c r="B70" s="1027"/>
      <c r="C70" t="str">
        <f>'Comext mensuel - EUROSTAT'!A84</f>
        <v>Fractions solides de l'huile de coco {coprah}, même raffinées, mais non chimiquement modifiées, présentées en emballages immédiats d'un contenu net &lt;= 1 kg</v>
      </c>
      <c r="D70" s="908">
        <f>SUM('Comext mensuel - EUROSTAT'!B84,'Comext mensuel - EUROSTAT'!D84,'Comext mensuel - EUROSTAT'!F84,'Comext mensuel - EUROSTAT'!H84,'Comext mensuel - EUROSTAT'!J84,'Comext mensuel - EUROSTAT'!L84,'Comext mensuel - EUROSTAT'!N84,'Comext mensuel - EUROSTAT'!P84,'Comext mensuel - EUROSTAT'!R84,'Comext mensuel - EUROSTAT'!T84,'Comext mensuel - EUROSTAT'!V84,'Comext mensuel - EUROSTAT'!X84)/10^4</f>
        <v>8.516399999999999E-2</v>
      </c>
      <c r="E70" s="908">
        <f>SUM('Comext mensuel - EUROSTAT'!C84,'Comext mensuel - EUROSTAT'!E84,'Comext mensuel - EUROSTAT'!G84,'Comext mensuel - EUROSTAT'!I84,'Comext mensuel - EUROSTAT'!K84,'Comext mensuel - EUROSTAT'!M84,'Comext mensuel - EUROSTAT'!O84,'Comext mensuel - EUROSTAT'!Q84,'Comext mensuel - EUROSTAT'!S84,'Comext mensuel - EUROSTAT'!U84,'Comext mensuel - EUROSTAT'!W84,'Comext mensuel - EUROSTAT'!Y84)/10^4</f>
        <v>1.4658999999999997E-2</v>
      </c>
      <c r="F70" s="908">
        <f>SUM('Comext mensuel - EUROSTAT'!Z84,'Comext mensuel - EUROSTAT'!AB84,'Comext mensuel - EUROSTAT'!AD84,'Comext mensuel - EUROSTAT'!AF84,'Comext mensuel - EUROSTAT'!AH84,'Comext mensuel - EUROSTAT'!AJ84,'Comext mensuel - EUROSTAT'!AL84,'Comext mensuel - EUROSTAT'!AN84,'Comext mensuel - EUROSTAT'!AP84,'Comext mensuel - EUROSTAT'!AR84,'Comext mensuel - EUROSTAT'!AT84,'Comext mensuel - EUROSTAT'!AV84)/10^4</f>
        <v>0.38750900000000005</v>
      </c>
      <c r="G70" s="908">
        <f>SUM('Comext mensuel - EUROSTAT'!AA84,'Comext mensuel - EUROSTAT'!AC84,'Comext mensuel - EUROSTAT'!AE84,'Comext mensuel - EUROSTAT'!AG84,'Comext mensuel - EUROSTAT'!AI84,'Comext mensuel - EUROSTAT'!AK84,'Comext mensuel - EUROSTAT'!AM84,'Comext mensuel - EUROSTAT'!AO84,'Comext mensuel - EUROSTAT'!AQ84,'Comext mensuel - EUROSTAT'!AS84,'Comext mensuel - EUROSTAT'!AU84,'Comext mensuel - EUROSTAT'!AW84)/10^4</f>
        <v>1.0866999999999998E-2</v>
      </c>
      <c r="H70" s="908">
        <f>SUM('Comext mensuel - EUROSTAT'!AX84,'Comext mensuel - EUROSTAT'!AZ84,'Comext mensuel - EUROSTAT'!BB84,'Comext mensuel - EUROSTAT'!BD84,'Comext mensuel - EUROSTAT'!BF84,'Comext mensuel - EUROSTAT'!BH84,'Comext mensuel - EUROSTAT'!BJ84,'Comext mensuel - EUROSTAT'!BL84,'Comext mensuel - EUROSTAT'!BN84,'Comext mensuel - EUROSTAT'!BP84,'Comext mensuel - EUROSTAT'!BR84,'Comext mensuel - EUROSTAT'!BT84)/10^4</f>
        <v>0.17285</v>
      </c>
      <c r="I70" s="908">
        <f>SUM('Comext mensuel - EUROSTAT'!AY84,'Comext mensuel - EUROSTAT'!BA84,'Comext mensuel - EUROSTAT'!BC84,'Comext mensuel - EUROSTAT'!BE84,'Comext mensuel - EUROSTAT'!BG84,'Comext mensuel - EUROSTAT'!BI84,'Comext mensuel - EUROSTAT'!BK84,'Comext mensuel - EUROSTAT'!BM84,'Comext mensuel - EUROSTAT'!BO84,'Comext mensuel - EUROSTAT'!BQ84,'Comext mensuel - EUROSTAT'!BS84,'Comext mensuel - EUROSTAT'!BU84)/10^4</f>
        <v>1.1022000000000001E-2</v>
      </c>
      <c r="J70" s="911">
        <f>'Comext annuel - EUROSTAT'!C102/10^4</f>
        <v>9.9254999999999996E-2</v>
      </c>
      <c r="K70" s="911">
        <f>'Comext annuel - EUROSTAT'!D102/10^4</f>
        <v>9.4669999999999997E-3</v>
      </c>
      <c r="L70" s="911">
        <f>'Comext annuel - EUROSTAT'!E102/10^4</f>
        <v>0.34800199999999998</v>
      </c>
      <c r="M70" s="911">
        <f>'Comext annuel - EUROSTAT'!F102/10^4</f>
        <v>1.7103E-2</v>
      </c>
      <c r="N70" s="911">
        <f>'Comext annuel - EUROSTAT'!G102/10^4</f>
        <v>0.15872700000000001</v>
      </c>
      <c r="O70" s="911">
        <f>'Comext annuel - EUROSTAT'!H102/10^4</f>
        <v>4.9590000000000007E-3</v>
      </c>
    </row>
    <row r="71" spans="1:15">
      <c r="A71" t="s">
        <v>1033</v>
      </c>
      <c r="B71" s="1027"/>
      <c r="C71" t="str">
        <f>'Comext mensuel - EUROSTAT'!A85</f>
        <v>Fractions solides de l'huile de coco {coprah}, même raffinées, mais non chimiquement modifiées, présentées en emballages immédiats d'un contenu net &gt; 1 kg</v>
      </c>
      <c r="D71" s="908">
        <f>SUM('Comext mensuel - EUROSTAT'!B85,'Comext mensuel - EUROSTAT'!D85,'Comext mensuel - EUROSTAT'!F85,'Comext mensuel - EUROSTAT'!H85,'Comext mensuel - EUROSTAT'!J85,'Comext mensuel - EUROSTAT'!L85,'Comext mensuel - EUROSTAT'!N85,'Comext mensuel - EUROSTAT'!P85,'Comext mensuel - EUROSTAT'!R85,'Comext mensuel - EUROSTAT'!T85,'Comext mensuel - EUROSTAT'!V85,'Comext mensuel - EUROSTAT'!X85)/10^4</f>
        <v>0.297236</v>
      </c>
      <c r="E71" s="908">
        <f>SUM('Comext mensuel - EUROSTAT'!C85,'Comext mensuel - EUROSTAT'!E85,'Comext mensuel - EUROSTAT'!G85,'Comext mensuel - EUROSTAT'!I85,'Comext mensuel - EUROSTAT'!K85,'Comext mensuel - EUROSTAT'!M85,'Comext mensuel - EUROSTAT'!O85,'Comext mensuel - EUROSTAT'!Q85,'Comext mensuel - EUROSTAT'!S85,'Comext mensuel - EUROSTAT'!U85,'Comext mensuel - EUROSTAT'!W85,'Comext mensuel - EUROSTAT'!Y85)/10^4</f>
        <v>1.6415000000000003E-2</v>
      </c>
      <c r="F71" s="908">
        <f>SUM('Comext mensuel - EUROSTAT'!Z85,'Comext mensuel - EUROSTAT'!AB85,'Comext mensuel - EUROSTAT'!AD85,'Comext mensuel - EUROSTAT'!AF85,'Comext mensuel - EUROSTAT'!AH85,'Comext mensuel - EUROSTAT'!AJ85,'Comext mensuel - EUROSTAT'!AL85,'Comext mensuel - EUROSTAT'!AN85,'Comext mensuel - EUROSTAT'!AP85,'Comext mensuel - EUROSTAT'!AR85,'Comext mensuel - EUROSTAT'!AT85,'Comext mensuel - EUROSTAT'!AV85)/10^4</f>
        <v>0.60117500000000001</v>
      </c>
      <c r="G71" s="908">
        <f>SUM('Comext mensuel - EUROSTAT'!AA85,'Comext mensuel - EUROSTAT'!AC85,'Comext mensuel - EUROSTAT'!AE85,'Comext mensuel - EUROSTAT'!AG85,'Comext mensuel - EUROSTAT'!AI85,'Comext mensuel - EUROSTAT'!AK85,'Comext mensuel - EUROSTAT'!AM85,'Comext mensuel - EUROSTAT'!AO85,'Comext mensuel - EUROSTAT'!AQ85,'Comext mensuel - EUROSTAT'!AS85,'Comext mensuel - EUROSTAT'!AU85,'Comext mensuel - EUROSTAT'!AW85)/10^4</f>
        <v>1.4949000000000004E-2</v>
      </c>
      <c r="H71" s="908">
        <f>SUM('Comext mensuel - EUROSTAT'!AX85,'Comext mensuel - EUROSTAT'!AZ85,'Comext mensuel - EUROSTAT'!BB85,'Comext mensuel - EUROSTAT'!BD85,'Comext mensuel - EUROSTAT'!BF85,'Comext mensuel - EUROSTAT'!BH85,'Comext mensuel - EUROSTAT'!BJ85,'Comext mensuel - EUROSTAT'!BL85,'Comext mensuel - EUROSTAT'!BN85,'Comext mensuel - EUROSTAT'!BP85,'Comext mensuel - EUROSTAT'!BR85,'Comext mensuel - EUROSTAT'!BT85)/10^4</f>
        <v>1.3063150000000001</v>
      </c>
      <c r="I71" s="908">
        <f>SUM('Comext mensuel - EUROSTAT'!AY85,'Comext mensuel - EUROSTAT'!BA85,'Comext mensuel - EUROSTAT'!BC85,'Comext mensuel - EUROSTAT'!BE85,'Comext mensuel - EUROSTAT'!BG85,'Comext mensuel - EUROSTAT'!BI85,'Comext mensuel - EUROSTAT'!BK85,'Comext mensuel - EUROSTAT'!BM85,'Comext mensuel - EUROSTAT'!BO85,'Comext mensuel - EUROSTAT'!BQ85,'Comext mensuel - EUROSTAT'!BS85,'Comext mensuel - EUROSTAT'!BU85)/10^4</f>
        <v>3.3079999999999993E-3</v>
      </c>
      <c r="J71" s="911">
        <f>'Comext annuel - EUROSTAT'!C103/10^4</f>
        <v>0.59987800000000002</v>
      </c>
      <c r="K71" s="911">
        <f>'Comext annuel - EUROSTAT'!D103/10^4</f>
        <v>2.1037E-2</v>
      </c>
      <c r="L71" s="911">
        <f>'Comext annuel - EUROSTAT'!E103/10^4</f>
        <v>0.448353</v>
      </c>
      <c r="M71" s="911">
        <f>'Comext annuel - EUROSTAT'!F103/10^4</f>
        <v>2.2589999999999999E-2</v>
      </c>
      <c r="N71" s="911">
        <f>'Comext annuel - EUROSTAT'!G103/10^4</f>
        <v>1.013147</v>
      </c>
      <c r="O71" s="911">
        <f>'Comext annuel - EUROSTAT'!H103/10^4</f>
        <v>3.0370000000000002E-3</v>
      </c>
    </row>
    <row r="72" spans="1:15">
      <c r="A72" t="s">
        <v>1033</v>
      </c>
      <c r="B72" s="1027"/>
      <c r="C72" t="str">
        <f>'Comext mensuel - EUROSTAT'!A86</f>
        <v>Huile de coco {coprah} et ses fractions fluides, même raffinées, mais non chimiquement modifiées, destinées à des usages techniques ou industriels (à l'excl. de l'huile de coco brute et de l'huile destinée à la fabrication de produits pour l'alimentation humaine)</v>
      </c>
      <c r="D72" s="908">
        <f>SUM('Comext mensuel - EUROSTAT'!B86,'Comext mensuel - EUROSTAT'!D86,'Comext mensuel - EUROSTAT'!F86,'Comext mensuel - EUROSTAT'!H86,'Comext mensuel - EUROSTAT'!J86,'Comext mensuel - EUROSTAT'!L86,'Comext mensuel - EUROSTAT'!N86,'Comext mensuel - EUROSTAT'!P86,'Comext mensuel - EUROSTAT'!R86,'Comext mensuel - EUROSTAT'!T86,'Comext mensuel - EUROSTAT'!V86,'Comext mensuel - EUROSTAT'!X86)/10^4</f>
        <v>14.591156999999997</v>
      </c>
      <c r="E72" s="908">
        <f>SUM('Comext mensuel - EUROSTAT'!C86,'Comext mensuel - EUROSTAT'!E86,'Comext mensuel - EUROSTAT'!G86,'Comext mensuel - EUROSTAT'!I86,'Comext mensuel - EUROSTAT'!K86,'Comext mensuel - EUROSTAT'!M86,'Comext mensuel - EUROSTAT'!O86,'Comext mensuel - EUROSTAT'!Q86,'Comext mensuel - EUROSTAT'!S86,'Comext mensuel - EUROSTAT'!U86,'Comext mensuel - EUROSTAT'!W86,'Comext mensuel - EUROSTAT'!Y86)/10^4</f>
        <v>1.166873</v>
      </c>
      <c r="F72" s="908">
        <f>SUM('Comext mensuel - EUROSTAT'!Z86,'Comext mensuel - EUROSTAT'!AB86,'Comext mensuel - EUROSTAT'!AD86,'Comext mensuel - EUROSTAT'!AF86,'Comext mensuel - EUROSTAT'!AH86,'Comext mensuel - EUROSTAT'!AJ86,'Comext mensuel - EUROSTAT'!AL86,'Comext mensuel - EUROSTAT'!AN86,'Comext mensuel - EUROSTAT'!AP86,'Comext mensuel - EUROSTAT'!AR86,'Comext mensuel - EUROSTAT'!AT86,'Comext mensuel - EUROSTAT'!AV86)/10^4</f>
        <v>11.32269</v>
      </c>
      <c r="G72" s="908">
        <f>SUM('Comext mensuel - EUROSTAT'!AA86,'Comext mensuel - EUROSTAT'!AC86,'Comext mensuel - EUROSTAT'!AE86,'Comext mensuel - EUROSTAT'!AG86,'Comext mensuel - EUROSTAT'!AI86,'Comext mensuel - EUROSTAT'!AK86,'Comext mensuel - EUROSTAT'!AM86,'Comext mensuel - EUROSTAT'!AO86,'Comext mensuel - EUROSTAT'!AQ86,'Comext mensuel - EUROSTAT'!AS86,'Comext mensuel - EUROSTAT'!AU86,'Comext mensuel - EUROSTAT'!AW86)/10^4</f>
        <v>3.3763129999999997</v>
      </c>
      <c r="H72" s="908">
        <f>SUM('Comext mensuel - EUROSTAT'!AX86,'Comext mensuel - EUROSTAT'!AZ86,'Comext mensuel - EUROSTAT'!BB86,'Comext mensuel - EUROSTAT'!BD86,'Comext mensuel - EUROSTAT'!BF86,'Comext mensuel - EUROSTAT'!BH86,'Comext mensuel - EUROSTAT'!BJ86,'Comext mensuel - EUROSTAT'!BL86,'Comext mensuel - EUROSTAT'!BN86,'Comext mensuel - EUROSTAT'!BP86,'Comext mensuel - EUROSTAT'!BR86,'Comext mensuel - EUROSTAT'!BT86)/10^4</f>
        <v>6.3392860000000004</v>
      </c>
      <c r="I72" s="908">
        <f>SUM('Comext mensuel - EUROSTAT'!AY86,'Comext mensuel - EUROSTAT'!BA86,'Comext mensuel - EUROSTAT'!BC86,'Comext mensuel - EUROSTAT'!BE86,'Comext mensuel - EUROSTAT'!BG86,'Comext mensuel - EUROSTAT'!BI86,'Comext mensuel - EUROSTAT'!BK86,'Comext mensuel - EUROSTAT'!BM86,'Comext mensuel - EUROSTAT'!BO86,'Comext mensuel - EUROSTAT'!BQ86,'Comext mensuel - EUROSTAT'!BS86,'Comext mensuel - EUROSTAT'!BU86)/10^4</f>
        <v>3.1602100000000002</v>
      </c>
      <c r="J72" s="911">
        <f>'Comext annuel - EUROSTAT'!C104/10^4</f>
        <v>14.528257</v>
      </c>
      <c r="K72" s="911">
        <f>'Comext annuel - EUROSTAT'!D104/10^4</f>
        <v>1.089359</v>
      </c>
      <c r="L72" s="911">
        <f>'Comext annuel - EUROSTAT'!E104/10^4</f>
        <v>9.5999719999999993</v>
      </c>
      <c r="M72" s="911">
        <f>'Comext annuel - EUROSTAT'!F104/10^4</f>
        <v>2.9020639999999998</v>
      </c>
      <c r="N72" s="911">
        <f>'Comext annuel - EUROSTAT'!G104/10^4</f>
        <v>6.4552870000000002</v>
      </c>
      <c r="O72" s="911">
        <f>'Comext annuel - EUROSTAT'!H104/10^4</f>
        <v>2.9846340000000002</v>
      </c>
    </row>
    <row r="73" spans="1:15">
      <c r="A73" t="s">
        <v>1033</v>
      </c>
      <c r="B73" s="1027"/>
      <c r="C73" t="str">
        <f>'Comext mensuel - EUROSTAT'!A87</f>
        <v>Huile de coco {coprah} et ses fractions fluides, même raffinées, mais non chimiquement modifiées, présentées en emballages immédiats d'un contenu net &lt;= 1 kg (à l'excl. de l'huile de coco brute et de l'huile destinée à des usages techniques ou industriels)</v>
      </c>
      <c r="D73" s="908">
        <f>SUM('Comext mensuel - EUROSTAT'!B87,'Comext mensuel - EUROSTAT'!D87,'Comext mensuel - EUROSTAT'!F87,'Comext mensuel - EUROSTAT'!H87,'Comext mensuel - EUROSTAT'!J87,'Comext mensuel - EUROSTAT'!L87,'Comext mensuel - EUROSTAT'!N87,'Comext mensuel - EUROSTAT'!P87,'Comext mensuel - EUROSTAT'!R87,'Comext mensuel - EUROSTAT'!T87,'Comext mensuel - EUROSTAT'!V87,'Comext mensuel - EUROSTAT'!X87)/10^4</f>
        <v>5.2079999999999994E-2</v>
      </c>
      <c r="E73" s="908">
        <f>SUM('Comext mensuel - EUROSTAT'!C87,'Comext mensuel - EUROSTAT'!E87,'Comext mensuel - EUROSTAT'!G87,'Comext mensuel - EUROSTAT'!I87,'Comext mensuel - EUROSTAT'!K87,'Comext mensuel - EUROSTAT'!M87,'Comext mensuel - EUROSTAT'!O87,'Comext mensuel - EUROSTAT'!Q87,'Comext mensuel - EUROSTAT'!S87,'Comext mensuel - EUROSTAT'!U87,'Comext mensuel - EUROSTAT'!W87,'Comext mensuel - EUROSTAT'!Y87)/10^4</f>
        <v>6.6909999999999999E-3</v>
      </c>
      <c r="F73" s="908">
        <f>SUM('Comext mensuel - EUROSTAT'!Z87,'Comext mensuel - EUROSTAT'!AB87,'Comext mensuel - EUROSTAT'!AD87,'Comext mensuel - EUROSTAT'!AF87,'Comext mensuel - EUROSTAT'!AH87,'Comext mensuel - EUROSTAT'!AJ87,'Comext mensuel - EUROSTAT'!AL87,'Comext mensuel - EUROSTAT'!AN87,'Comext mensuel - EUROSTAT'!AP87,'Comext mensuel - EUROSTAT'!AR87,'Comext mensuel - EUROSTAT'!AT87,'Comext mensuel - EUROSTAT'!AV87)/10^4</f>
        <v>0.226467</v>
      </c>
      <c r="G73" s="908">
        <f>SUM('Comext mensuel - EUROSTAT'!AA87,'Comext mensuel - EUROSTAT'!AC87,'Comext mensuel - EUROSTAT'!AE87,'Comext mensuel - EUROSTAT'!AG87,'Comext mensuel - EUROSTAT'!AI87,'Comext mensuel - EUROSTAT'!AK87,'Comext mensuel - EUROSTAT'!AM87,'Comext mensuel - EUROSTAT'!AO87,'Comext mensuel - EUROSTAT'!AQ87,'Comext mensuel - EUROSTAT'!AS87,'Comext mensuel - EUROSTAT'!AU87,'Comext mensuel - EUROSTAT'!AW87)/10^4</f>
        <v>2.4340999999999998E-2</v>
      </c>
      <c r="H73" s="908">
        <f>SUM('Comext mensuel - EUROSTAT'!AX87,'Comext mensuel - EUROSTAT'!AZ87,'Comext mensuel - EUROSTAT'!BB87,'Comext mensuel - EUROSTAT'!BD87,'Comext mensuel - EUROSTAT'!BF87,'Comext mensuel - EUROSTAT'!BH87,'Comext mensuel - EUROSTAT'!BJ87,'Comext mensuel - EUROSTAT'!BL87,'Comext mensuel - EUROSTAT'!BN87,'Comext mensuel - EUROSTAT'!BP87,'Comext mensuel - EUROSTAT'!BR87,'Comext mensuel - EUROSTAT'!BT87)/10^4</f>
        <v>0.202762</v>
      </c>
      <c r="I73" s="908">
        <f>SUM('Comext mensuel - EUROSTAT'!AY87,'Comext mensuel - EUROSTAT'!BA87,'Comext mensuel - EUROSTAT'!BC87,'Comext mensuel - EUROSTAT'!BE87,'Comext mensuel - EUROSTAT'!BG87,'Comext mensuel - EUROSTAT'!BI87,'Comext mensuel - EUROSTAT'!BK87,'Comext mensuel - EUROSTAT'!BM87,'Comext mensuel - EUROSTAT'!BO87,'Comext mensuel - EUROSTAT'!BQ87,'Comext mensuel - EUROSTAT'!BS87,'Comext mensuel - EUROSTAT'!BU87)/10^4</f>
        <v>0.28973899999999997</v>
      </c>
      <c r="J73" s="911">
        <f>'Comext annuel - EUROSTAT'!C105/10^4</f>
        <v>2.0213999999999999E-2</v>
      </c>
      <c r="K73" s="911">
        <f>'Comext annuel - EUROSTAT'!D105/10^4</f>
        <v>4.4450000000000002E-3</v>
      </c>
      <c r="L73" s="911">
        <f>'Comext annuel - EUROSTAT'!E105/10^4</f>
        <v>0.206815</v>
      </c>
      <c r="M73" s="911">
        <f>'Comext annuel - EUROSTAT'!F105/10^4</f>
        <v>1.6694999999999998E-2</v>
      </c>
      <c r="N73" s="911">
        <f>'Comext annuel - EUROSTAT'!G105/10^4</f>
        <v>0.269959</v>
      </c>
      <c r="O73" s="911">
        <f>'Comext annuel - EUROSTAT'!H105/10^4</f>
        <v>0.22476599999999999</v>
      </c>
    </row>
    <row r="74" spans="1:15">
      <c r="A74" t="s">
        <v>1033</v>
      </c>
      <c r="B74" s="1027"/>
      <c r="C74" t="str">
        <f>'Comext mensuel - EUROSTAT'!A88</f>
        <v>Huile de coco {coprah} et ses fractions fluides, même raffinées, mais non chimiquement modifiées, présentées en emballages immédiats d'un contenu net &gt; 1 kg (à l'excl. de l'huile de coco brute et de l'huile destinée à des usages techniques ou industriels)</v>
      </c>
      <c r="D74" s="908">
        <f>SUM('Comext mensuel - EUROSTAT'!B88,'Comext mensuel - EUROSTAT'!D88,'Comext mensuel - EUROSTAT'!F88,'Comext mensuel - EUROSTAT'!H88,'Comext mensuel - EUROSTAT'!J88,'Comext mensuel - EUROSTAT'!L88,'Comext mensuel - EUROSTAT'!N88,'Comext mensuel - EUROSTAT'!P88,'Comext mensuel - EUROSTAT'!R88,'Comext mensuel - EUROSTAT'!T88,'Comext mensuel - EUROSTAT'!V88,'Comext mensuel - EUROSTAT'!X88)/10^4</f>
        <v>11.510660000000001</v>
      </c>
      <c r="E74" s="908">
        <f>SUM('Comext mensuel - EUROSTAT'!C88,'Comext mensuel - EUROSTAT'!E88,'Comext mensuel - EUROSTAT'!G88,'Comext mensuel - EUROSTAT'!I88,'Comext mensuel - EUROSTAT'!K88,'Comext mensuel - EUROSTAT'!M88,'Comext mensuel - EUROSTAT'!O88,'Comext mensuel - EUROSTAT'!Q88,'Comext mensuel - EUROSTAT'!S88,'Comext mensuel - EUROSTAT'!U88,'Comext mensuel - EUROSTAT'!W88,'Comext mensuel - EUROSTAT'!Y88)/10^4</f>
        <v>0.15946100000000002</v>
      </c>
      <c r="F74" s="908">
        <f>SUM('Comext mensuel - EUROSTAT'!Z88,'Comext mensuel - EUROSTAT'!AB88,'Comext mensuel - EUROSTAT'!AD88,'Comext mensuel - EUROSTAT'!AF88,'Comext mensuel - EUROSTAT'!AH88,'Comext mensuel - EUROSTAT'!AJ88,'Comext mensuel - EUROSTAT'!AL88,'Comext mensuel - EUROSTAT'!AN88,'Comext mensuel - EUROSTAT'!AP88,'Comext mensuel - EUROSTAT'!AR88,'Comext mensuel - EUROSTAT'!AT88,'Comext mensuel - EUROSTAT'!AV88)/10^4</f>
        <v>18.426452999999999</v>
      </c>
      <c r="G74" s="908">
        <f>SUM('Comext mensuel - EUROSTAT'!AA88,'Comext mensuel - EUROSTAT'!AC88,'Comext mensuel - EUROSTAT'!AE88,'Comext mensuel - EUROSTAT'!AG88,'Comext mensuel - EUROSTAT'!AI88,'Comext mensuel - EUROSTAT'!AK88,'Comext mensuel - EUROSTAT'!AM88,'Comext mensuel - EUROSTAT'!AO88,'Comext mensuel - EUROSTAT'!AQ88,'Comext mensuel - EUROSTAT'!AS88,'Comext mensuel - EUROSTAT'!AU88,'Comext mensuel - EUROSTAT'!AW88)/10^4</f>
        <v>3.0012500000000002</v>
      </c>
      <c r="H74" s="908">
        <f>SUM('Comext mensuel - EUROSTAT'!AX88,'Comext mensuel - EUROSTAT'!AZ88,'Comext mensuel - EUROSTAT'!BB88,'Comext mensuel - EUROSTAT'!BD88,'Comext mensuel - EUROSTAT'!BF88,'Comext mensuel - EUROSTAT'!BH88,'Comext mensuel - EUROSTAT'!BJ88,'Comext mensuel - EUROSTAT'!BL88,'Comext mensuel - EUROSTAT'!BN88,'Comext mensuel - EUROSTAT'!BP88,'Comext mensuel - EUROSTAT'!BR88,'Comext mensuel - EUROSTAT'!BT88)/10^4</f>
        <v>14.779724</v>
      </c>
      <c r="I74" s="908">
        <f>SUM('Comext mensuel - EUROSTAT'!AY88,'Comext mensuel - EUROSTAT'!BA88,'Comext mensuel - EUROSTAT'!BC88,'Comext mensuel - EUROSTAT'!BE88,'Comext mensuel - EUROSTAT'!BG88,'Comext mensuel - EUROSTAT'!BI88,'Comext mensuel - EUROSTAT'!BK88,'Comext mensuel - EUROSTAT'!BM88,'Comext mensuel - EUROSTAT'!BO88,'Comext mensuel - EUROSTAT'!BQ88,'Comext mensuel - EUROSTAT'!BS88,'Comext mensuel - EUROSTAT'!BU88)/10^4</f>
        <v>1.815877</v>
      </c>
      <c r="J74" s="911">
        <f>'Comext annuel - EUROSTAT'!C106/10^4</f>
        <v>9.0995460000000001</v>
      </c>
      <c r="K74" s="911">
        <f>'Comext annuel - EUROSTAT'!D106/10^4</f>
        <v>0.49380200000000002</v>
      </c>
      <c r="L74" s="911">
        <f>'Comext annuel - EUROSTAT'!E106/10^4</f>
        <v>19.551595000000002</v>
      </c>
      <c r="M74" s="911">
        <f>'Comext annuel - EUROSTAT'!F106/10^4</f>
        <v>2.005906</v>
      </c>
      <c r="N74" s="911">
        <f>'Comext annuel - EUROSTAT'!G106/10^4</f>
        <v>14.560423999999999</v>
      </c>
      <c r="O74" s="911">
        <f>'Comext annuel - EUROSTAT'!H106/10^4</f>
        <v>1.978057</v>
      </c>
    </row>
    <row r="75" spans="1:15">
      <c r="A75" t="s">
        <v>1034</v>
      </c>
      <c r="B75" s="1027"/>
      <c r="C75" t="str">
        <f>'Comext mensuel - EUROSTAT'!A91</f>
        <v>Huiles de palmiste ou de babassu, brutes, présentées en emballages immédiats d'un contenu net &lt;= 1 kg (à l'excl. des huiles destinées à des usages techniques ou industriels)</v>
      </c>
      <c r="D75" s="908">
        <f>SUM('Comext mensuel - EUROSTAT'!B91,'Comext mensuel - EUROSTAT'!D91,'Comext mensuel - EUROSTAT'!F91,'Comext mensuel - EUROSTAT'!H91,'Comext mensuel - EUROSTAT'!J91,'Comext mensuel - EUROSTAT'!L91,'Comext mensuel - EUROSTAT'!N91,'Comext mensuel - EUROSTAT'!P91,'Comext mensuel - EUROSTAT'!R91,'Comext mensuel - EUROSTAT'!T91,'Comext mensuel - EUROSTAT'!V91,'Comext mensuel - EUROSTAT'!X91)/10^4</f>
        <v>3.3879999999999995E-3</v>
      </c>
      <c r="E75" s="908">
        <f>SUM('Comext mensuel - EUROSTAT'!C91,'Comext mensuel - EUROSTAT'!E91,'Comext mensuel - EUROSTAT'!G91,'Comext mensuel - EUROSTAT'!I91,'Comext mensuel - EUROSTAT'!K91,'Comext mensuel - EUROSTAT'!M91,'Comext mensuel - EUROSTAT'!O91,'Comext mensuel - EUROSTAT'!Q91,'Comext mensuel - EUROSTAT'!S91,'Comext mensuel - EUROSTAT'!U91,'Comext mensuel - EUROSTAT'!W91,'Comext mensuel - EUROSTAT'!Y91)/10^4</f>
        <v>1.03E-4</v>
      </c>
      <c r="F75" s="908">
        <f>SUM('Comext mensuel - EUROSTAT'!Z91,'Comext mensuel - EUROSTAT'!AB91,'Comext mensuel - EUROSTAT'!AD91,'Comext mensuel - EUROSTAT'!AF91,'Comext mensuel - EUROSTAT'!AH91,'Comext mensuel - EUROSTAT'!AJ91,'Comext mensuel - EUROSTAT'!AL91,'Comext mensuel - EUROSTAT'!AN91,'Comext mensuel - EUROSTAT'!AP91,'Comext mensuel - EUROSTAT'!AR91,'Comext mensuel - EUROSTAT'!AT91,'Comext mensuel - EUROSTAT'!AV91)/10^4</f>
        <v>7.4790000000000004E-3</v>
      </c>
      <c r="G75" s="908">
        <f>SUM('Comext mensuel - EUROSTAT'!AA91,'Comext mensuel - EUROSTAT'!AC91,'Comext mensuel - EUROSTAT'!AE91,'Comext mensuel - EUROSTAT'!AG91,'Comext mensuel - EUROSTAT'!AI91,'Comext mensuel - EUROSTAT'!AK91,'Comext mensuel - EUROSTAT'!AM91,'Comext mensuel - EUROSTAT'!AO91,'Comext mensuel - EUROSTAT'!AQ91,'Comext mensuel - EUROSTAT'!AS91,'Comext mensuel - EUROSTAT'!AU91,'Comext mensuel - EUROSTAT'!AW91)/10^4</f>
        <v>2.33E-4</v>
      </c>
      <c r="H75" s="908">
        <f>SUM('Comext mensuel - EUROSTAT'!AX91,'Comext mensuel - EUROSTAT'!AZ91,'Comext mensuel - EUROSTAT'!BB91,'Comext mensuel - EUROSTAT'!BD91,'Comext mensuel - EUROSTAT'!BF91,'Comext mensuel - EUROSTAT'!BH91,'Comext mensuel - EUROSTAT'!BJ91,'Comext mensuel - EUROSTAT'!BL91,'Comext mensuel - EUROSTAT'!BN91,'Comext mensuel - EUROSTAT'!BP91,'Comext mensuel - EUROSTAT'!BR91,'Comext mensuel - EUROSTAT'!BT91)/10^4</f>
        <v>5.6000000000000006E-5</v>
      </c>
      <c r="I75" s="908">
        <f>SUM('Comext mensuel - EUROSTAT'!AY91,'Comext mensuel - EUROSTAT'!BA91,'Comext mensuel - EUROSTAT'!BC91,'Comext mensuel - EUROSTAT'!BE91,'Comext mensuel - EUROSTAT'!BG91,'Comext mensuel - EUROSTAT'!BI91,'Comext mensuel - EUROSTAT'!BK91,'Comext mensuel - EUROSTAT'!BM91,'Comext mensuel - EUROSTAT'!BO91,'Comext mensuel - EUROSTAT'!BQ91,'Comext mensuel - EUROSTAT'!BS91,'Comext mensuel - EUROSTAT'!BU91)/10^4</f>
        <v>2.0000000000000002E-5</v>
      </c>
      <c r="J75" s="911">
        <f>'Comext annuel - EUROSTAT'!C110/10^4</f>
        <v>5.1180000000000002E-3</v>
      </c>
      <c r="K75" s="911">
        <f>'Comext annuel - EUROSTAT'!D110/10^4</f>
        <v>4.0000000000000003E-5</v>
      </c>
      <c r="L75" s="911">
        <f>'Comext annuel - EUROSTAT'!E110/10^4</f>
        <v>8.6180000000000007E-3</v>
      </c>
      <c r="M75" s="911">
        <f>'Comext annuel - EUROSTAT'!F110/10^4</f>
        <v>2.0800000000000001E-4</v>
      </c>
      <c r="N75" s="911">
        <f>'Comext annuel - EUROSTAT'!G110/10^4</f>
        <v>5.6000000000000006E-5</v>
      </c>
      <c r="O75" s="911">
        <f>'Comext annuel - EUROSTAT'!H110/10^4</f>
        <v>2.0000000000000002E-5</v>
      </c>
    </row>
    <row r="76" spans="1:15">
      <c r="A76" t="s">
        <v>1034</v>
      </c>
      <c r="B76" s="1027"/>
      <c r="C76" t="str">
        <f>'Comext mensuel - EUROSTAT'!A92</f>
        <v>Huiles de palmiste ou de babassu, brutes, présentées en emballages immédiats d'un contenu net &gt; 1 kg (à l'excl. des huiles destinées à des usages techniques ou industriels)</v>
      </c>
      <c r="D76" s="908">
        <f>SUM('Comext mensuel - EUROSTAT'!B92,'Comext mensuel - EUROSTAT'!D92,'Comext mensuel - EUROSTAT'!F92,'Comext mensuel - EUROSTAT'!H92,'Comext mensuel - EUROSTAT'!J92,'Comext mensuel - EUROSTAT'!L92,'Comext mensuel - EUROSTAT'!N92,'Comext mensuel - EUROSTAT'!P92,'Comext mensuel - EUROSTAT'!R92,'Comext mensuel - EUROSTAT'!T92,'Comext mensuel - EUROSTAT'!V92,'Comext mensuel - EUROSTAT'!X92)/10^4</f>
        <v>13.076053000000002</v>
      </c>
      <c r="E76" s="908">
        <f>SUM('Comext mensuel - EUROSTAT'!C92,'Comext mensuel - EUROSTAT'!E92,'Comext mensuel - EUROSTAT'!G92,'Comext mensuel - EUROSTAT'!I92,'Comext mensuel - EUROSTAT'!K92,'Comext mensuel - EUROSTAT'!M92,'Comext mensuel - EUROSTAT'!O92,'Comext mensuel - EUROSTAT'!Q92,'Comext mensuel - EUROSTAT'!S92,'Comext mensuel - EUROSTAT'!U92,'Comext mensuel - EUROSTAT'!W92,'Comext mensuel - EUROSTAT'!Y92)/10^4</f>
        <v>0</v>
      </c>
      <c r="F76" s="908">
        <f>SUM('Comext mensuel - EUROSTAT'!Z92,'Comext mensuel - EUROSTAT'!AB92,'Comext mensuel - EUROSTAT'!AD92,'Comext mensuel - EUROSTAT'!AF92,'Comext mensuel - EUROSTAT'!AH92,'Comext mensuel - EUROSTAT'!AJ92,'Comext mensuel - EUROSTAT'!AL92,'Comext mensuel - EUROSTAT'!AN92,'Comext mensuel - EUROSTAT'!AP92,'Comext mensuel - EUROSTAT'!AR92,'Comext mensuel - EUROSTAT'!AT92,'Comext mensuel - EUROSTAT'!AV92)/10^4</f>
        <v>10.801091</v>
      </c>
      <c r="G76" s="908">
        <f>SUM('Comext mensuel - EUROSTAT'!AA92,'Comext mensuel - EUROSTAT'!AC92,'Comext mensuel - EUROSTAT'!AE92,'Comext mensuel - EUROSTAT'!AG92,'Comext mensuel - EUROSTAT'!AI92,'Comext mensuel - EUROSTAT'!AK92,'Comext mensuel - EUROSTAT'!AM92,'Comext mensuel - EUROSTAT'!AO92,'Comext mensuel - EUROSTAT'!AQ92,'Comext mensuel - EUROSTAT'!AS92,'Comext mensuel - EUROSTAT'!AU92,'Comext mensuel - EUROSTAT'!AW92)/10^4</f>
        <v>0</v>
      </c>
      <c r="H76" s="908">
        <f>SUM('Comext mensuel - EUROSTAT'!AX92,'Comext mensuel - EUROSTAT'!AZ92,'Comext mensuel - EUROSTAT'!BB92,'Comext mensuel - EUROSTAT'!BD92,'Comext mensuel - EUROSTAT'!BF92,'Comext mensuel - EUROSTAT'!BH92,'Comext mensuel - EUROSTAT'!BJ92,'Comext mensuel - EUROSTAT'!BL92,'Comext mensuel - EUROSTAT'!BN92,'Comext mensuel - EUROSTAT'!BP92,'Comext mensuel - EUROSTAT'!BR92,'Comext mensuel - EUROSTAT'!BT92)/10^4</f>
        <v>7.6710000000000007E-3</v>
      </c>
      <c r="I76" s="908">
        <f>SUM('Comext mensuel - EUROSTAT'!AY92,'Comext mensuel - EUROSTAT'!BA92,'Comext mensuel - EUROSTAT'!BC92,'Comext mensuel - EUROSTAT'!BE92,'Comext mensuel - EUROSTAT'!BG92,'Comext mensuel - EUROSTAT'!BI92,'Comext mensuel - EUROSTAT'!BK92,'Comext mensuel - EUROSTAT'!BM92,'Comext mensuel - EUROSTAT'!BO92,'Comext mensuel - EUROSTAT'!BQ92,'Comext mensuel - EUROSTAT'!BS92,'Comext mensuel - EUROSTAT'!BU92)/10^4</f>
        <v>0</v>
      </c>
      <c r="J76" s="911">
        <f>'Comext annuel - EUROSTAT'!C111/10^4</f>
        <v>7.6108229999999999</v>
      </c>
      <c r="K76" s="911" t="e">
        <f>'Comext annuel - EUROSTAT'!D111/10^4</f>
        <v>#VALUE!</v>
      </c>
      <c r="L76" s="911">
        <f>'Comext annuel - EUROSTAT'!E111/10^4</f>
        <v>9.7382869999999997</v>
      </c>
      <c r="M76" s="911" t="e">
        <f>'Comext annuel - EUROSTAT'!F111/10^4</f>
        <v>#VALUE!</v>
      </c>
      <c r="N76" s="911">
        <f>'Comext annuel - EUROSTAT'!G111/10^4</f>
        <v>0.57243900000000003</v>
      </c>
      <c r="O76" s="911">
        <f>'Comext annuel - EUROSTAT'!H111/10^4</f>
        <v>4.0000000000000002E-4</v>
      </c>
    </row>
    <row r="77" spans="1:15">
      <c r="A77" t="s">
        <v>1035</v>
      </c>
      <c r="B77" s="1027"/>
      <c r="C77" t="str">
        <f>'Comext mensuel - EUROSTAT'!A95</f>
        <v>Fractions solides des huiles de palmiste ou de babassu, même raffinées, mais non chimiquement modifiées, présentées en emballages immédiats d'un contenu net &lt;= 1 kg</v>
      </c>
      <c r="D77" s="908">
        <f>SUM('Comext mensuel - EUROSTAT'!B95,'Comext mensuel - EUROSTAT'!D95,'Comext mensuel - EUROSTAT'!F95,'Comext mensuel - EUROSTAT'!H95,'Comext mensuel - EUROSTAT'!J95,'Comext mensuel - EUROSTAT'!L95,'Comext mensuel - EUROSTAT'!N95,'Comext mensuel - EUROSTAT'!P95,'Comext mensuel - EUROSTAT'!R95,'Comext mensuel - EUROSTAT'!T95,'Comext mensuel - EUROSTAT'!V95,'Comext mensuel - EUROSTAT'!X95)/10^4</f>
        <v>2.5041000000000001E-2</v>
      </c>
      <c r="E77" s="908">
        <f>SUM('Comext mensuel - EUROSTAT'!C95,'Comext mensuel - EUROSTAT'!E95,'Comext mensuel - EUROSTAT'!G95,'Comext mensuel - EUROSTAT'!I95,'Comext mensuel - EUROSTAT'!K95,'Comext mensuel - EUROSTAT'!M95,'Comext mensuel - EUROSTAT'!O95,'Comext mensuel - EUROSTAT'!Q95,'Comext mensuel - EUROSTAT'!S95,'Comext mensuel - EUROSTAT'!U95,'Comext mensuel - EUROSTAT'!W95,'Comext mensuel - EUROSTAT'!Y95)/10^4</f>
        <v>8.9779999999999999E-3</v>
      </c>
      <c r="F77" s="908">
        <f>SUM('Comext mensuel - EUROSTAT'!Z95,'Comext mensuel - EUROSTAT'!AB95,'Comext mensuel - EUROSTAT'!AD95,'Comext mensuel - EUROSTAT'!AF95,'Comext mensuel - EUROSTAT'!AH95,'Comext mensuel - EUROSTAT'!AJ95,'Comext mensuel - EUROSTAT'!AL95,'Comext mensuel - EUROSTAT'!AN95,'Comext mensuel - EUROSTAT'!AP95,'Comext mensuel - EUROSTAT'!AR95,'Comext mensuel - EUROSTAT'!AT95,'Comext mensuel - EUROSTAT'!AV95)/10^4</f>
        <v>3.1231999999999999E-2</v>
      </c>
      <c r="G77" s="908">
        <f>SUM('Comext mensuel - EUROSTAT'!AA95,'Comext mensuel - EUROSTAT'!AC95,'Comext mensuel - EUROSTAT'!AE95,'Comext mensuel - EUROSTAT'!AG95,'Comext mensuel - EUROSTAT'!AI95,'Comext mensuel - EUROSTAT'!AK95,'Comext mensuel - EUROSTAT'!AM95,'Comext mensuel - EUROSTAT'!AO95,'Comext mensuel - EUROSTAT'!AQ95,'Comext mensuel - EUROSTAT'!AS95,'Comext mensuel - EUROSTAT'!AU95,'Comext mensuel - EUROSTAT'!AW95)/10^4</f>
        <v>0</v>
      </c>
      <c r="H77" s="908">
        <f>SUM('Comext mensuel - EUROSTAT'!AX95,'Comext mensuel - EUROSTAT'!AZ95,'Comext mensuel - EUROSTAT'!BB95,'Comext mensuel - EUROSTAT'!BD95,'Comext mensuel - EUROSTAT'!BF95,'Comext mensuel - EUROSTAT'!BH95,'Comext mensuel - EUROSTAT'!BJ95,'Comext mensuel - EUROSTAT'!BL95,'Comext mensuel - EUROSTAT'!BN95,'Comext mensuel - EUROSTAT'!BP95,'Comext mensuel - EUROSTAT'!BR95,'Comext mensuel - EUROSTAT'!BT95)/10^4</f>
        <v>8.569999999999998E-4</v>
      </c>
      <c r="I77" s="908">
        <f>SUM('Comext mensuel - EUROSTAT'!AY95,'Comext mensuel - EUROSTAT'!BA95,'Comext mensuel - EUROSTAT'!BC95,'Comext mensuel - EUROSTAT'!BE95,'Comext mensuel - EUROSTAT'!BG95,'Comext mensuel - EUROSTAT'!BI95,'Comext mensuel - EUROSTAT'!BK95,'Comext mensuel - EUROSTAT'!BM95,'Comext mensuel - EUROSTAT'!BO95,'Comext mensuel - EUROSTAT'!BQ95,'Comext mensuel - EUROSTAT'!BS95,'Comext mensuel - EUROSTAT'!BU95)/10^4</f>
        <v>1.2000000000000002E-4</v>
      </c>
      <c r="J77" s="911">
        <f>'Comext annuel - EUROSTAT'!C114/10^4</f>
        <v>1.5880999999999999E-2</v>
      </c>
      <c r="K77" s="911">
        <f>'Comext annuel - EUROSTAT'!D114/10^4</f>
        <v>5.1380000000000002E-3</v>
      </c>
      <c r="L77" s="911">
        <f>'Comext annuel - EUROSTAT'!E114/10^4</f>
        <v>2.8795999999999999E-2</v>
      </c>
      <c r="M77" s="911" t="e">
        <f>'Comext annuel - EUROSTAT'!F114/10^4</f>
        <v>#VALUE!</v>
      </c>
      <c r="N77" s="911">
        <f>'Comext annuel - EUROSTAT'!G114/10^4</f>
        <v>3.01E-4</v>
      </c>
      <c r="O77" s="911">
        <f>'Comext annuel - EUROSTAT'!H114/10^4</f>
        <v>2.6400000000000002E-4</v>
      </c>
    </row>
    <row r="78" spans="1:15">
      <c r="A78" t="s">
        <v>1035</v>
      </c>
      <c r="B78" s="1027"/>
      <c r="C78" t="str">
        <f>'Comext mensuel - EUROSTAT'!A96</f>
        <v>Fractions solides des huiles de palmiste ou de babassu, même raffinées, mais non chimiquement modifiées, présentées en emballages immédiats d'un contenu net &gt; 1 kg</v>
      </c>
      <c r="D78" s="908">
        <f>SUM('Comext mensuel - EUROSTAT'!B96,'Comext mensuel - EUROSTAT'!D96,'Comext mensuel - EUROSTAT'!F96,'Comext mensuel - EUROSTAT'!H96,'Comext mensuel - EUROSTAT'!J96,'Comext mensuel - EUROSTAT'!L96,'Comext mensuel - EUROSTAT'!N96,'Comext mensuel - EUROSTAT'!P96,'Comext mensuel - EUROSTAT'!R96,'Comext mensuel - EUROSTAT'!T96,'Comext mensuel - EUROSTAT'!V96,'Comext mensuel - EUROSTAT'!X96)/10^4</f>
        <v>0.11725099999999999</v>
      </c>
      <c r="E78" s="908">
        <f>SUM('Comext mensuel - EUROSTAT'!C96,'Comext mensuel - EUROSTAT'!E96,'Comext mensuel - EUROSTAT'!G96,'Comext mensuel - EUROSTAT'!I96,'Comext mensuel - EUROSTAT'!K96,'Comext mensuel - EUROSTAT'!M96,'Comext mensuel - EUROSTAT'!O96,'Comext mensuel - EUROSTAT'!Q96,'Comext mensuel - EUROSTAT'!S96,'Comext mensuel - EUROSTAT'!U96,'Comext mensuel - EUROSTAT'!W96,'Comext mensuel - EUROSTAT'!Y96)/10^4</f>
        <v>4.3399999999999998E-4</v>
      </c>
      <c r="F78" s="908">
        <f>SUM('Comext mensuel - EUROSTAT'!Z96,'Comext mensuel - EUROSTAT'!AB96,'Comext mensuel - EUROSTAT'!AD96,'Comext mensuel - EUROSTAT'!AF96,'Comext mensuel - EUROSTAT'!AH96,'Comext mensuel - EUROSTAT'!AJ96,'Comext mensuel - EUROSTAT'!AL96,'Comext mensuel - EUROSTAT'!AN96,'Comext mensuel - EUROSTAT'!AP96,'Comext mensuel - EUROSTAT'!AR96,'Comext mensuel - EUROSTAT'!AT96,'Comext mensuel - EUROSTAT'!AV96)/10^4</f>
        <v>3.4513999999999996E-2</v>
      </c>
      <c r="G78" s="908">
        <f>SUM('Comext mensuel - EUROSTAT'!AA96,'Comext mensuel - EUROSTAT'!AC96,'Comext mensuel - EUROSTAT'!AE96,'Comext mensuel - EUROSTAT'!AG96,'Comext mensuel - EUROSTAT'!AI96,'Comext mensuel - EUROSTAT'!AK96,'Comext mensuel - EUROSTAT'!AM96,'Comext mensuel - EUROSTAT'!AO96,'Comext mensuel - EUROSTAT'!AQ96,'Comext mensuel - EUROSTAT'!AS96,'Comext mensuel - EUROSTAT'!AU96,'Comext mensuel - EUROSTAT'!AW96)/10^4</f>
        <v>0</v>
      </c>
      <c r="H78" s="908">
        <f>SUM('Comext mensuel - EUROSTAT'!AX96,'Comext mensuel - EUROSTAT'!AZ96,'Comext mensuel - EUROSTAT'!BB96,'Comext mensuel - EUROSTAT'!BD96,'Comext mensuel - EUROSTAT'!BF96,'Comext mensuel - EUROSTAT'!BH96,'Comext mensuel - EUROSTAT'!BJ96,'Comext mensuel - EUROSTAT'!BL96,'Comext mensuel - EUROSTAT'!BN96,'Comext mensuel - EUROSTAT'!BP96,'Comext mensuel - EUROSTAT'!BR96,'Comext mensuel - EUROSTAT'!BT96)/10^4</f>
        <v>0.15553</v>
      </c>
      <c r="I78" s="908">
        <f>SUM('Comext mensuel - EUROSTAT'!AY96,'Comext mensuel - EUROSTAT'!BA96,'Comext mensuel - EUROSTAT'!BC96,'Comext mensuel - EUROSTAT'!BE96,'Comext mensuel - EUROSTAT'!BG96,'Comext mensuel - EUROSTAT'!BI96,'Comext mensuel - EUROSTAT'!BK96,'Comext mensuel - EUROSTAT'!BM96,'Comext mensuel - EUROSTAT'!BO96,'Comext mensuel - EUROSTAT'!BQ96,'Comext mensuel - EUROSTAT'!BS96,'Comext mensuel - EUROSTAT'!BU96)/10^4</f>
        <v>1.2E-5</v>
      </c>
      <c r="J78" s="911">
        <f>'Comext annuel - EUROSTAT'!C115/10^4</f>
        <v>0.13149</v>
      </c>
      <c r="K78" s="911" t="e">
        <f>'Comext annuel - EUROSTAT'!D115/10^4</f>
        <v>#VALUE!</v>
      </c>
      <c r="L78" s="911">
        <f>'Comext annuel - EUROSTAT'!E115/10^4</f>
        <v>3.8037000000000001E-2</v>
      </c>
      <c r="M78" s="911">
        <f>'Comext annuel - EUROSTAT'!F115/10^4</f>
        <v>5.6999999999999996E-5</v>
      </c>
      <c r="N78" s="911">
        <f>'Comext annuel - EUROSTAT'!G115/10^4</f>
        <v>9.9729999999999999E-2</v>
      </c>
      <c r="O78" s="911" t="e">
        <f>'Comext annuel - EUROSTAT'!H115/10^4</f>
        <v>#VALUE!</v>
      </c>
    </row>
    <row r="79" spans="1:15">
      <c r="A79" t="s">
        <v>1035</v>
      </c>
      <c r="B79" s="1027"/>
      <c r="C79" t="str">
        <f>'Comext mensuel - EUROSTAT'!A97</f>
        <v>Huiles de palmiste ou de babassu et leurs fractions fluides, même raffinées, mais non chimiquement modifiées, destinées à des usages techniques ou industriels (à l'excl. des huiles brutes et des huiles destinées à la fabrication de produits pour l'alimentation humaine)</v>
      </c>
      <c r="D79" s="908">
        <f>SUM('Comext mensuel - EUROSTAT'!B97,'Comext mensuel - EUROSTAT'!D97,'Comext mensuel - EUROSTAT'!F97,'Comext mensuel - EUROSTAT'!H97,'Comext mensuel - EUROSTAT'!J97,'Comext mensuel - EUROSTAT'!L97,'Comext mensuel - EUROSTAT'!N97,'Comext mensuel - EUROSTAT'!P97,'Comext mensuel - EUROSTAT'!R97,'Comext mensuel - EUROSTAT'!T97,'Comext mensuel - EUROSTAT'!V97,'Comext mensuel - EUROSTAT'!X97)/10^4</f>
        <v>1.3436699999999997</v>
      </c>
      <c r="E79" s="908">
        <f>SUM('Comext mensuel - EUROSTAT'!C97,'Comext mensuel - EUROSTAT'!E97,'Comext mensuel - EUROSTAT'!G97,'Comext mensuel - EUROSTAT'!I97,'Comext mensuel - EUROSTAT'!K97,'Comext mensuel - EUROSTAT'!M97,'Comext mensuel - EUROSTAT'!O97,'Comext mensuel - EUROSTAT'!Q97,'Comext mensuel - EUROSTAT'!S97,'Comext mensuel - EUROSTAT'!U97,'Comext mensuel - EUROSTAT'!W97,'Comext mensuel - EUROSTAT'!Y97)/10^4</f>
        <v>1.5261000000000002E-2</v>
      </c>
      <c r="F79" s="908">
        <f>SUM('Comext mensuel - EUROSTAT'!Z97,'Comext mensuel - EUROSTAT'!AB97,'Comext mensuel - EUROSTAT'!AD97,'Comext mensuel - EUROSTAT'!AF97,'Comext mensuel - EUROSTAT'!AH97,'Comext mensuel - EUROSTAT'!AJ97,'Comext mensuel - EUROSTAT'!AL97,'Comext mensuel - EUROSTAT'!AN97,'Comext mensuel - EUROSTAT'!AP97,'Comext mensuel - EUROSTAT'!AR97,'Comext mensuel - EUROSTAT'!AT97,'Comext mensuel - EUROSTAT'!AV97)/10^4</f>
        <v>4.8190000000000004E-2</v>
      </c>
      <c r="G79" s="908">
        <f>SUM('Comext mensuel - EUROSTAT'!AA97,'Comext mensuel - EUROSTAT'!AC97,'Comext mensuel - EUROSTAT'!AE97,'Comext mensuel - EUROSTAT'!AG97,'Comext mensuel - EUROSTAT'!AI97,'Comext mensuel - EUROSTAT'!AK97,'Comext mensuel - EUROSTAT'!AM97,'Comext mensuel - EUROSTAT'!AO97,'Comext mensuel - EUROSTAT'!AQ97,'Comext mensuel - EUROSTAT'!AS97,'Comext mensuel - EUROSTAT'!AU97,'Comext mensuel - EUROSTAT'!AW97)/10^4</f>
        <v>2.4187E-2</v>
      </c>
      <c r="H79" s="908">
        <f>SUM('Comext mensuel - EUROSTAT'!AX97,'Comext mensuel - EUROSTAT'!AZ97,'Comext mensuel - EUROSTAT'!BB97,'Comext mensuel - EUROSTAT'!BD97,'Comext mensuel - EUROSTAT'!BF97,'Comext mensuel - EUROSTAT'!BH97,'Comext mensuel - EUROSTAT'!BJ97,'Comext mensuel - EUROSTAT'!BL97,'Comext mensuel - EUROSTAT'!BN97,'Comext mensuel - EUROSTAT'!BP97,'Comext mensuel - EUROSTAT'!BR97,'Comext mensuel - EUROSTAT'!BT97)/10^4</f>
        <v>5.0774E-2</v>
      </c>
      <c r="I79" s="908">
        <f>SUM('Comext mensuel - EUROSTAT'!AY97,'Comext mensuel - EUROSTAT'!BA97,'Comext mensuel - EUROSTAT'!BC97,'Comext mensuel - EUROSTAT'!BE97,'Comext mensuel - EUROSTAT'!BG97,'Comext mensuel - EUROSTAT'!BI97,'Comext mensuel - EUROSTAT'!BK97,'Comext mensuel - EUROSTAT'!BM97,'Comext mensuel - EUROSTAT'!BO97,'Comext mensuel - EUROSTAT'!BQ97,'Comext mensuel - EUROSTAT'!BS97,'Comext mensuel - EUROSTAT'!BU97)/10^4</f>
        <v>4.110500000000001E-2</v>
      </c>
      <c r="J79" s="911">
        <f>'Comext annuel - EUROSTAT'!C116/10^4</f>
        <v>18.386620000000001</v>
      </c>
      <c r="K79" s="911">
        <f>'Comext annuel - EUROSTAT'!D116/10^4</f>
        <v>1.3447999999999998E-2</v>
      </c>
      <c r="L79" s="911">
        <f>'Comext annuel - EUROSTAT'!E116/10^4</f>
        <v>8.2966999999999999E-2</v>
      </c>
      <c r="M79" s="911">
        <f>'Comext annuel - EUROSTAT'!F116/10^4</f>
        <v>2.2367999999999999E-2</v>
      </c>
      <c r="N79" s="911">
        <f>'Comext annuel - EUROSTAT'!G116/10^4</f>
        <v>2.2556E-2</v>
      </c>
      <c r="O79" s="911">
        <f>'Comext annuel - EUROSTAT'!H116/10^4</f>
        <v>0.43728199999999995</v>
      </c>
    </row>
    <row r="80" spans="1:15">
      <c r="A80" t="s">
        <v>1035</v>
      </c>
      <c r="B80" s="1027"/>
      <c r="C80" t="str">
        <f>'Comext mensuel - EUROSTAT'!A98</f>
        <v>Huiles de palmiste ou de babassu et leurs fractions fluides, même raffinées, mais non chimiquement modifiées, présentées en emballages immédiats d'un contenu net &lt;= 1 kg (à l'excl. des huiles brutes et des huiles destinées à des usages techniques ou industriels)</v>
      </c>
      <c r="D80" s="908">
        <f>SUM('Comext mensuel - EUROSTAT'!B98,'Comext mensuel - EUROSTAT'!D98,'Comext mensuel - EUROSTAT'!F98,'Comext mensuel - EUROSTAT'!H98,'Comext mensuel - EUROSTAT'!J98,'Comext mensuel - EUROSTAT'!L98,'Comext mensuel - EUROSTAT'!N98,'Comext mensuel - EUROSTAT'!P98,'Comext mensuel - EUROSTAT'!R98,'Comext mensuel - EUROSTAT'!T98,'Comext mensuel - EUROSTAT'!V98,'Comext mensuel - EUROSTAT'!X98)/10^4</f>
        <v>7.9199999999999995E-4</v>
      </c>
      <c r="E80" s="908">
        <f>SUM('Comext mensuel - EUROSTAT'!C98,'Comext mensuel - EUROSTAT'!E98,'Comext mensuel - EUROSTAT'!G98,'Comext mensuel - EUROSTAT'!I98,'Comext mensuel - EUROSTAT'!K98,'Comext mensuel - EUROSTAT'!M98,'Comext mensuel - EUROSTAT'!O98,'Comext mensuel - EUROSTAT'!Q98,'Comext mensuel - EUROSTAT'!S98,'Comext mensuel - EUROSTAT'!U98,'Comext mensuel - EUROSTAT'!W98,'Comext mensuel - EUROSTAT'!Y98)/10^4</f>
        <v>0</v>
      </c>
      <c r="F80" s="908">
        <f>SUM('Comext mensuel - EUROSTAT'!Z98,'Comext mensuel - EUROSTAT'!AB98,'Comext mensuel - EUROSTAT'!AD98,'Comext mensuel - EUROSTAT'!AF98,'Comext mensuel - EUROSTAT'!AH98,'Comext mensuel - EUROSTAT'!AJ98,'Comext mensuel - EUROSTAT'!AL98,'Comext mensuel - EUROSTAT'!AN98,'Comext mensuel - EUROSTAT'!AP98,'Comext mensuel - EUROSTAT'!AR98,'Comext mensuel - EUROSTAT'!AT98,'Comext mensuel - EUROSTAT'!AV98)/10^4</f>
        <v>1.1999999999999999E-4</v>
      </c>
      <c r="G80" s="908">
        <f>SUM('Comext mensuel - EUROSTAT'!AA98,'Comext mensuel - EUROSTAT'!AC98,'Comext mensuel - EUROSTAT'!AE98,'Comext mensuel - EUROSTAT'!AG98,'Comext mensuel - EUROSTAT'!AI98,'Comext mensuel - EUROSTAT'!AK98,'Comext mensuel - EUROSTAT'!AM98,'Comext mensuel - EUROSTAT'!AO98,'Comext mensuel - EUROSTAT'!AQ98,'Comext mensuel - EUROSTAT'!AS98,'Comext mensuel - EUROSTAT'!AU98,'Comext mensuel - EUROSTAT'!AW98)/10^4</f>
        <v>0</v>
      </c>
      <c r="H80" s="908">
        <f>SUM('Comext mensuel - EUROSTAT'!AX98,'Comext mensuel - EUROSTAT'!AZ98,'Comext mensuel - EUROSTAT'!BB98,'Comext mensuel - EUROSTAT'!BD98,'Comext mensuel - EUROSTAT'!BF98,'Comext mensuel - EUROSTAT'!BH98,'Comext mensuel - EUROSTAT'!BJ98,'Comext mensuel - EUROSTAT'!BL98,'Comext mensuel - EUROSTAT'!BN98,'Comext mensuel - EUROSTAT'!BP98,'Comext mensuel - EUROSTAT'!BR98,'Comext mensuel - EUROSTAT'!BT98)/10^4</f>
        <v>2.8000000000000003E-5</v>
      </c>
      <c r="I80" s="908">
        <f>SUM('Comext mensuel - EUROSTAT'!AY98,'Comext mensuel - EUROSTAT'!BA98,'Comext mensuel - EUROSTAT'!BC98,'Comext mensuel - EUROSTAT'!BE98,'Comext mensuel - EUROSTAT'!BG98,'Comext mensuel - EUROSTAT'!BI98,'Comext mensuel - EUROSTAT'!BK98,'Comext mensuel - EUROSTAT'!BM98,'Comext mensuel - EUROSTAT'!BO98,'Comext mensuel - EUROSTAT'!BQ98,'Comext mensuel - EUROSTAT'!BS98,'Comext mensuel - EUROSTAT'!BU98)/10^4</f>
        <v>1.8239999999999999E-3</v>
      </c>
      <c r="J80" s="911">
        <f>'Comext annuel - EUROSTAT'!C117/10^4</f>
        <v>9.1099999999999992E-4</v>
      </c>
      <c r="K80" s="911" t="e">
        <f>'Comext annuel - EUROSTAT'!D117/10^4</f>
        <v>#VALUE!</v>
      </c>
      <c r="L80" s="911">
        <f>'Comext annuel - EUROSTAT'!E117/10^4</f>
        <v>7.2000000000000002E-5</v>
      </c>
      <c r="M80" s="911">
        <f>'Comext annuel - EUROSTAT'!F117/10^4</f>
        <v>4.4999999999999999E-4</v>
      </c>
      <c r="N80" s="911">
        <f>'Comext annuel - EUROSTAT'!G117/10^4</f>
        <v>5.6000000000000006E-5</v>
      </c>
      <c r="O80" s="911" t="e">
        <f>'Comext annuel - EUROSTAT'!H117/10^4</f>
        <v>#VALUE!</v>
      </c>
    </row>
    <row r="81" spans="1:15">
      <c r="A81" t="s">
        <v>1035</v>
      </c>
      <c r="B81" s="1027"/>
      <c r="C81" t="str">
        <f>'Comext mensuel - EUROSTAT'!A99</f>
        <v>Huiles de palmiste ou de babassu et leurs fractions fluides, même raffinées, mais non chimiquement modifiées, présentées en emballages immédiats d'un contenu net &gt; 1 kg (à l'excl. de l'huile brute et de l'huile destinée à des usages techniques ou industriels)</v>
      </c>
      <c r="D81" s="908">
        <f>SUM('Comext mensuel - EUROSTAT'!B99,'Comext mensuel - EUROSTAT'!D99,'Comext mensuel - EUROSTAT'!F99,'Comext mensuel - EUROSTAT'!H99,'Comext mensuel - EUROSTAT'!J99,'Comext mensuel - EUROSTAT'!L99,'Comext mensuel - EUROSTAT'!N99,'Comext mensuel - EUROSTAT'!P99,'Comext mensuel - EUROSTAT'!R99,'Comext mensuel - EUROSTAT'!T99,'Comext mensuel - EUROSTAT'!V99,'Comext mensuel - EUROSTAT'!X99)/10^4</f>
        <v>0.83915899999999999</v>
      </c>
      <c r="E81" s="908">
        <f>SUM('Comext mensuel - EUROSTAT'!C99,'Comext mensuel - EUROSTAT'!E99,'Comext mensuel - EUROSTAT'!G99,'Comext mensuel - EUROSTAT'!I99,'Comext mensuel - EUROSTAT'!K99,'Comext mensuel - EUROSTAT'!M99,'Comext mensuel - EUROSTAT'!O99,'Comext mensuel - EUROSTAT'!Q99,'Comext mensuel - EUROSTAT'!S99,'Comext mensuel - EUROSTAT'!U99,'Comext mensuel - EUROSTAT'!W99,'Comext mensuel - EUROSTAT'!Y99)/10^4</f>
        <v>0.20369899999999999</v>
      </c>
      <c r="F81" s="908">
        <f>SUM('Comext mensuel - EUROSTAT'!Z99,'Comext mensuel - EUROSTAT'!AB99,'Comext mensuel - EUROSTAT'!AD99,'Comext mensuel - EUROSTAT'!AF99,'Comext mensuel - EUROSTAT'!AH99,'Comext mensuel - EUROSTAT'!AJ99,'Comext mensuel - EUROSTAT'!AL99,'Comext mensuel - EUROSTAT'!AN99,'Comext mensuel - EUROSTAT'!AP99,'Comext mensuel - EUROSTAT'!AR99,'Comext mensuel - EUROSTAT'!AT99,'Comext mensuel - EUROSTAT'!AV99)/10^4</f>
        <v>0.48384100000000008</v>
      </c>
      <c r="G81" s="908">
        <f>SUM('Comext mensuel - EUROSTAT'!AA99,'Comext mensuel - EUROSTAT'!AC99,'Comext mensuel - EUROSTAT'!AE99,'Comext mensuel - EUROSTAT'!AG99,'Comext mensuel - EUROSTAT'!AI99,'Comext mensuel - EUROSTAT'!AK99,'Comext mensuel - EUROSTAT'!AM99,'Comext mensuel - EUROSTAT'!AO99,'Comext mensuel - EUROSTAT'!AQ99,'Comext mensuel - EUROSTAT'!AS99,'Comext mensuel - EUROSTAT'!AU99,'Comext mensuel - EUROSTAT'!AW99)/10^4</f>
        <v>2.2629999999999998E-3</v>
      </c>
      <c r="H81" s="908">
        <f>SUM('Comext mensuel - EUROSTAT'!AX99,'Comext mensuel - EUROSTAT'!AZ99,'Comext mensuel - EUROSTAT'!BB99,'Comext mensuel - EUROSTAT'!BD99,'Comext mensuel - EUROSTAT'!BF99,'Comext mensuel - EUROSTAT'!BH99,'Comext mensuel - EUROSTAT'!BJ99,'Comext mensuel - EUROSTAT'!BL99,'Comext mensuel - EUROSTAT'!BN99,'Comext mensuel - EUROSTAT'!BP99,'Comext mensuel - EUROSTAT'!BR99,'Comext mensuel - EUROSTAT'!BT99)/10^4</f>
        <v>0.44252600000000003</v>
      </c>
      <c r="I81" s="908">
        <f>SUM('Comext mensuel - EUROSTAT'!AY99,'Comext mensuel - EUROSTAT'!BA99,'Comext mensuel - EUROSTAT'!BC99,'Comext mensuel - EUROSTAT'!BE99,'Comext mensuel - EUROSTAT'!BG99,'Comext mensuel - EUROSTAT'!BI99,'Comext mensuel - EUROSTAT'!BK99,'Comext mensuel - EUROSTAT'!BM99,'Comext mensuel - EUROSTAT'!BO99,'Comext mensuel - EUROSTAT'!BQ99,'Comext mensuel - EUROSTAT'!BS99,'Comext mensuel - EUROSTAT'!BU99)/10^4</f>
        <v>0.10391899999999998</v>
      </c>
      <c r="J81" s="911">
        <f>'Comext annuel - EUROSTAT'!C118/10^4</f>
        <v>0.93846200000000013</v>
      </c>
      <c r="K81" s="911">
        <f>'Comext annuel - EUROSTAT'!D118/10^4</f>
        <v>0.21135199999999998</v>
      </c>
      <c r="L81" s="911">
        <f>'Comext annuel - EUROSTAT'!E118/10^4</f>
        <v>0.52898400000000001</v>
      </c>
      <c r="M81" s="911">
        <f>'Comext annuel - EUROSTAT'!F118/10^4</f>
        <v>3.5369999999999998E-3</v>
      </c>
      <c r="N81" s="911">
        <f>'Comext annuel - EUROSTAT'!G118/10^4</f>
        <v>0.56065399999999999</v>
      </c>
      <c r="O81" s="911">
        <f>'Comext annuel - EUROSTAT'!H118/10^4</f>
        <v>0.10410799999999999</v>
      </c>
    </row>
    <row r="82" spans="1:15">
      <c r="A82" t="s">
        <v>1036</v>
      </c>
      <c r="B82" s="1027"/>
      <c r="C82" t="str">
        <f>'Comext mensuel - EUROSTAT'!A102</f>
        <v>Huiles de navette ou de colza à faible teneur en acide érucique "huiles fixes dont la teneur en acide érucique est &lt; 2%", brutes, destinées à des usages techniques ou industriels (à l'excl. pour la fabrication de produits pour l'alimentation humaine)</v>
      </c>
      <c r="D82" s="909">
        <f>SUM('Comext mensuel - EUROSTAT'!B102,'Comext mensuel - EUROSTAT'!D102,'Comext mensuel - EUROSTAT'!F102,'Comext mensuel - EUROSTAT'!H102,'Comext mensuel - EUROSTAT'!J102,'Comext mensuel - EUROSTAT'!L102,'Comext mensuel - EUROSTAT'!N102,'Comext mensuel - EUROSTAT'!P102,'Comext mensuel - EUROSTAT'!R102,'Comext mensuel - EUROSTAT'!T102,'Comext mensuel - EUROSTAT'!V102,'Comext mensuel - EUROSTAT'!X102)/10^4</f>
        <v>24.117294999999999</v>
      </c>
      <c r="E82" s="909">
        <f>SUM('Comext mensuel - EUROSTAT'!C102,'Comext mensuel - EUROSTAT'!E102,'Comext mensuel - EUROSTAT'!G102,'Comext mensuel - EUROSTAT'!I102,'Comext mensuel - EUROSTAT'!K102,'Comext mensuel - EUROSTAT'!M102,'Comext mensuel - EUROSTAT'!O102,'Comext mensuel - EUROSTAT'!Q102,'Comext mensuel - EUROSTAT'!S102,'Comext mensuel - EUROSTAT'!U102,'Comext mensuel - EUROSTAT'!W102,'Comext mensuel - EUROSTAT'!Y102)/10^4</f>
        <v>45.638290000000005</v>
      </c>
      <c r="F82" s="909">
        <f>SUM('Comext mensuel - EUROSTAT'!Z102,'Comext mensuel - EUROSTAT'!AB102,'Comext mensuel - EUROSTAT'!AD102,'Comext mensuel - EUROSTAT'!AF102,'Comext mensuel - EUROSTAT'!AH102,'Comext mensuel - EUROSTAT'!AJ102,'Comext mensuel - EUROSTAT'!AL102,'Comext mensuel - EUROSTAT'!AN102,'Comext mensuel - EUROSTAT'!AP102,'Comext mensuel - EUROSTAT'!AR102,'Comext mensuel - EUROSTAT'!AT102,'Comext mensuel - EUROSTAT'!AV102)/10^4</f>
        <v>4.2827160000000006</v>
      </c>
      <c r="G82" s="909">
        <f>SUM('Comext mensuel - EUROSTAT'!AA102,'Comext mensuel - EUROSTAT'!AC102,'Comext mensuel - EUROSTAT'!AE102,'Comext mensuel - EUROSTAT'!AG102,'Comext mensuel - EUROSTAT'!AI102,'Comext mensuel - EUROSTAT'!AK102,'Comext mensuel - EUROSTAT'!AM102,'Comext mensuel - EUROSTAT'!AO102,'Comext mensuel - EUROSTAT'!AQ102,'Comext mensuel - EUROSTAT'!AS102,'Comext mensuel - EUROSTAT'!AU102,'Comext mensuel - EUROSTAT'!AW102)/10^4</f>
        <v>50.013010999999999</v>
      </c>
      <c r="H82" s="909">
        <f>SUM('Comext mensuel - EUROSTAT'!AX102,'Comext mensuel - EUROSTAT'!AZ102,'Comext mensuel - EUROSTAT'!BB102,'Comext mensuel - EUROSTAT'!BD102,'Comext mensuel - EUROSTAT'!BF102,'Comext mensuel - EUROSTAT'!BH102,'Comext mensuel - EUROSTAT'!BJ102,'Comext mensuel - EUROSTAT'!BL102,'Comext mensuel - EUROSTAT'!BN102,'Comext mensuel - EUROSTAT'!BP102,'Comext mensuel - EUROSTAT'!BR102,'Comext mensuel - EUROSTAT'!BT102)/10^4</f>
        <v>13.466691000000001</v>
      </c>
      <c r="I82" s="909">
        <f>SUM('Comext mensuel - EUROSTAT'!AY102,'Comext mensuel - EUROSTAT'!BA102,'Comext mensuel - EUROSTAT'!BC102,'Comext mensuel - EUROSTAT'!BE102,'Comext mensuel - EUROSTAT'!BG102,'Comext mensuel - EUROSTAT'!BI102,'Comext mensuel - EUROSTAT'!BK102,'Comext mensuel - EUROSTAT'!BM102,'Comext mensuel - EUROSTAT'!BO102,'Comext mensuel - EUROSTAT'!BQ102,'Comext mensuel - EUROSTAT'!BS102,'Comext mensuel - EUROSTAT'!BU102)/10^4</f>
        <v>207.647809</v>
      </c>
      <c r="J82" s="921">
        <f>'Comext annuel - EUROSTAT'!C123/10^4</f>
        <v>21.956135</v>
      </c>
      <c r="K82" s="921">
        <f>'Comext annuel - EUROSTAT'!D123/10^4</f>
        <v>20.572735999999999</v>
      </c>
      <c r="L82" s="921">
        <f>'Comext annuel - EUROSTAT'!E123/10^4</f>
        <v>18.979412</v>
      </c>
      <c r="M82" s="921">
        <f>'Comext annuel - EUROSTAT'!F123/10^4</f>
        <v>53.523111</v>
      </c>
      <c r="N82" s="921">
        <f>'Comext annuel - EUROSTAT'!G123/10^4</f>
        <v>27.413146000000001</v>
      </c>
      <c r="O82" s="921">
        <f>'Comext annuel - EUROSTAT'!H123/10^4</f>
        <v>169.84351599999999</v>
      </c>
    </row>
    <row r="83" spans="1:15">
      <c r="A83" t="s">
        <v>1036</v>
      </c>
      <c r="B83" s="1027"/>
      <c r="C83" t="str">
        <f>'Comext mensuel - EUROSTAT'!A103</f>
        <v>Huiles de navette ou de colza à faible teneur en acide érucique "huiles fixes dont la teneur en acide érucique est &lt; 2%", brutes (à l'excl. des huiles destinées à des usages techniques ou industriels)</v>
      </c>
      <c r="D83" s="909">
        <f>SUM('Comext mensuel - EUROSTAT'!B103,'Comext mensuel - EUROSTAT'!D103,'Comext mensuel - EUROSTAT'!F103,'Comext mensuel - EUROSTAT'!H103,'Comext mensuel - EUROSTAT'!J103,'Comext mensuel - EUROSTAT'!L103,'Comext mensuel - EUROSTAT'!N103,'Comext mensuel - EUROSTAT'!P103,'Comext mensuel - EUROSTAT'!R103,'Comext mensuel - EUROSTAT'!T103,'Comext mensuel - EUROSTAT'!V103,'Comext mensuel - EUROSTAT'!X103)/10^4</f>
        <v>3.1867490000000003</v>
      </c>
      <c r="E83" s="909">
        <f>SUM('Comext mensuel - EUROSTAT'!C103,'Comext mensuel - EUROSTAT'!E103,'Comext mensuel - EUROSTAT'!G103,'Comext mensuel - EUROSTAT'!I103,'Comext mensuel - EUROSTAT'!K103,'Comext mensuel - EUROSTAT'!M103,'Comext mensuel - EUROSTAT'!O103,'Comext mensuel - EUROSTAT'!Q103,'Comext mensuel - EUROSTAT'!S103,'Comext mensuel - EUROSTAT'!U103,'Comext mensuel - EUROSTAT'!W103,'Comext mensuel - EUROSTAT'!Y103)/10^4</f>
        <v>114.142702</v>
      </c>
      <c r="F83" s="909">
        <f>SUM('Comext mensuel - EUROSTAT'!Z103,'Comext mensuel - EUROSTAT'!AB103,'Comext mensuel - EUROSTAT'!AD103,'Comext mensuel - EUROSTAT'!AF103,'Comext mensuel - EUROSTAT'!AH103,'Comext mensuel - EUROSTAT'!AJ103,'Comext mensuel - EUROSTAT'!AL103,'Comext mensuel - EUROSTAT'!AN103,'Comext mensuel - EUROSTAT'!AP103,'Comext mensuel - EUROSTAT'!AR103,'Comext mensuel - EUROSTAT'!AT103,'Comext mensuel - EUROSTAT'!AV103)/10^4</f>
        <v>4.8142600000000009</v>
      </c>
      <c r="G83" s="909">
        <f>SUM('Comext mensuel - EUROSTAT'!AA103,'Comext mensuel - EUROSTAT'!AC103,'Comext mensuel - EUROSTAT'!AE103,'Comext mensuel - EUROSTAT'!AG103,'Comext mensuel - EUROSTAT'!AI103,'Comext mensuel - EUROSTAT'!AK103,'Comext mensuel - EUROSTAT'!AM103,'Comext mensuel - EUROSTAT'!AO103,'Comext mensuel - EUROSTAT'!AQ103,'Comext mensuel - EUROSTAT'!AS103,'Comext mensuel - EUROSTAT'!AU103,'Comext mensuel - EUROSTAT'!AW103)/10^4</f>
        <v>148.968165</v>
      </c>
      <c r="H83" s="909">
        <f>SUM('Comext mensuel - EUROSTAT'!AX103,'Comext mensuel - EUROSTAT'!AZ103,'Comext mensuel - EUROSTAT'!BB103,'Comext mensuel - EUROSTAT'!BD103,'Comext mensuel - EUROSTAT'!BF103,'Comext mensuel - EUROSTAT'!BH103,'Comext mensuel - EUROSTAT'!BJ103,'Comext mensuel - EUROSTAT'!BL103,'Comext mensuel - EUROSTAT'!BN103,'Comext mensuel - EUROSTAT'!BP103,'Comext mensuel - EUROSTAT'!BR103,'Comext mensuel - EUROSTAT'!BT103)/10^4</f>
        <v>3.4937520000000002</v>
      </c>
      <c r="I83" s="909">
        <f>SUM('Comext mensuel - EUROSTAT'!AY103,'Comext mensuel - EUROSTAT'!BA103,'Comext mensuel - EUROSTAT'!BC103,'Comext mensuel - EUROSTAT'!BE103,'Comext mensuel - EUROSTAT'!BG103,'Comext mensuel - EUROSTAT'!BI103,'Comext mensuel - EUROSTAT'!BK103,'Comext mensuel - EUROSTAT'!BM103,'Comext mensuel - EUROSTAT'!BO103,'Comext mensuel - EUROSTAT'!BQ103,'Comext mensuel - EUROSTAT'!BS103,'Comext mensuel - EUROSTAT'!BU103)/10^4</f>
        <v>310.114665</v>
      </c>
      <c r="J83" s="921">
        <f>'Comext annuel - EUROSTAT'!C124/10^4</f>
        <v>5.660806</v>
      </c>
      <c r="K83" s="921">
        <f>'Comext annuel - EUROSTAT'!D124/10^4</f>
        <v>93.245799000000005</v>
      </c>
      <c r="L83" s="921">
        <f>'Comext annuel - EUROSTAT'!E124/10^4</f>
        <v>3.0198429999999998</v>
      </c>
      <c r="M83" s="921">
        <f>'Comext annuel - EUROSTAT'!F124/10^4</f>
        <v>101.50442</v>
      </c>
      <c r="N83" s="921">
        <f>'Comext annuel - EUROSTAT'!G124/10^4</f>
        <v>3.4422459999999999</v>
      </c>
      <c r="O83" s="921">
        <f>'Comext annuel - EUROSTAT'!H124/10^4</f>
        <v>344.985207</v>
      </c>
    </row>
    <row r="84" spans="1:15">
      <c r="A84" t="s">
        <v>1037</v>
      </c>
      <c r="B84" s="1027"/>
      <c r="C84" t="str">
        <f>'Comext mensuel - EUROSTAT'!A104</f>
        <v>Huiles de navette ou de colza à faible teneur en acide érucique "huiles fixes dont la teneur en acide érucique est &lt; 2%" et leurs fractions, même raffinées, mais non chimiquement modifiées, destinées à des usages techniques ou industriels (à l'excl. des huiles brutes et des huiles destinées à la fabrication de produits pour l'alimentation humaine)</v>
      </c>
      <c r="D84" s="909">
        <f>SUM('Comext mensuel - EUROSTAT'!B104,'Comext mensuel - EUROSTAT'!D104,'Comext mensuel - EUROSTAT'!F104,'Comext mensuel - EUROSTAT'!H104,'Comext mensuel - EUROSTAT'!J104,'Comext mensuel - EUROSTAT'!L104,'Comext mensuel - EUROSTAT'!N104,'Comext mensuel - EUROSTAT'!P104,'Comext mensuel - EUROSTAT'!R104,'Comext mensuel - EUROSTAT'!T104,'Comext mensuel - EUROSTAT'!V104,'Comext mensuel - EUROSTAT'!X104)/10^4</f>
        <v>1.6565370000000004</v>
      </c>
      <c r="E84" s="909">
        <f>SUM('Comext mensuel - EUROSTAT'!C104,'Comext mensuel - EUROSTAT'!E104,'Comext mensuel - EUROSTAT'!G104,'Comext mensuel - EUROSTAT'!I104,'Comext mensuel - EUROSTAT'!K104,'Comext mensuel - EUROSTAT'!M104,'Comext mensuel - EUROSTAT'!O104,'Comext mensuel - EUROSTAT'!Q104,'Comext mensuel - EUROSTAT'!S104,'Comext mensuel - EUROSTAT'!U104,'Comext mensuel - EUROSTAT'!W104,'Comext mensuel - EUROSTAT'!Y104)/10^4</f>
        <v>8.8307179999999992</v>
      </c>
      <c r="F84" s="909">
        <f>SUM('Comext mensuel - EUROSTAT'!Z104,'Comext mensuel - EUROSTAT'!AB104,'Comext mensuel - EUROSTAT'!AD104,'Comext mensuel - EUROSTAT'!AF104,'Comext mensuel - EUROSTAT'!AH104,'Comext mensuel - EUROSTAT'!AJ104,'Comext mensuel - EUROSTAT'!AL104,'Comext mensuel - EUROSTAT'!AN104,'Comext mensuel - EUROSTAT'!AP104,'Comext mensuel - EUROSTAT'!AR104,'Comext mensuel - EUROSTAT'!AT104,'Comext mensuel - EUROSTAT'!AV104)/10^4</f>
        <v>0.78557800000000011</v>
      </c>
      <c r="G84" s="909">
        <f>SUM('Comext mensuel - EUROSTAT'!AA104,'Comext mensuel - EUROSTAT'!AC104,'Comext mensuel - EUROSTAT'!AE104,'Comext mensuel - EUROSTAT'!AG104,'Comext mensuel - EUROSTAT'!AI104,'Comext mensuel - EUROSTAT'!AK104,'Comext mensuel - EUROSTAT'!AM104,'Comext mensuel - EUROSTAT'!AO104,'Comext mensuel - EUROSTAT'!AQ104,'Comext mensuel - EUROSTAT'!AS104,'Comext mensuel - EUROSTAT'!AU104,'Comext mensuel - EUROSTAT'!AW104)/10^4</f>
        <v>28.228999999999999</v>
      </c>
      <c r="H84" s="909">
        <f>SUM('Comext mensuel - EUROSTAT'!AX104,'Comext mensuel - EUROSTAT'!AZ104,'Comext mensuel - EUROSTAT'!BB104,'Comext mensuel - EUROSTAT'!BD104,'Comext mensuel - EUROSTAT'!BF104,'Comext mensuel - EUROSTAT'!BH104,'Comext mensuel - EUROSTAT'!BJ104,'Comext mensuel - EUROSTAT'!BL104,'Comext mensuel - EUROSTAT'!BN104,'Comext mensuel - EUROSTAT'!BP104,'Comext mensuel - EUROSTAT'!BR104,'Comext mensuel - EUROSTAT'!BT104)/10^4</f>
        <v>22.274317</v>
      </c>
      <c r="I84" s="909">
        <f>SUM('Comext mensuel - EUROSTAT'!AY104,'Comext mensuel - EUROSTAT'!BA104,'Comext mensuel - EUROSTAT'!BC104,'Comext mensuel - EUROSTAT'!BE104,'Comext mensuel - EUROSTAT'!BG104,'Comext mensuel - EUROSTAT'!BI104,'Comext mensuel - EUROSTAT'!BK104,'Comext mensuel - EUROSTAT'!BM104,'Comext mensuel - EUROSTAT'!BO104,'Comext mensuel - EUROSTAT'!BQ104,'Comext mensuel - EUROSTAT'!BS104,'Comext mensuel - EUROSTAT'!BU104)/10^4</f>
        <v>48.158147</v>
      </c>
      <c r="J84" s="921">
        <f>'Comext annuel - EUROSTAT'!C125/10^4</f>
        <v>2.2740200000000002</v>
      </c>
      <c r="K84" s="921">
        <f>'Comext annuel - EUROSTAT'!D125/10^4</f>
        <v>8.884233</v>
      </c>
      <c r="L84" s="921">
        <f>'Comext annuel - EUROSTAT'!E125/10^4</f>
        <v>1.0836319999999999</v>
      </c>
      <c r="M84" s="921">
        <f>'Comext annuel - EUROSTAT'!F125/10^4</f>
        <v>4.3375660000000007</v>
      </c>
      <c r="N84" s="921">
        <f>'Comext annuel - EUROSTAT'!G125/10^4</f>
        <v>8.1648560000000003</v>
      </c>
      <c r="O84" s="921">
        <f>'Comext annuel - EUROSTAT'!H125/10^4</f>
        <v>79.388153000000003</v>
      </c>
    </row>
    <row r="85" spans="1:15">
      <c r="A85" t="s">
        <v>1037</v>
      </c>
      <c r="B85" s="1027"/>
      <c r="C85" t="str">
        <f>'Comext mensuel - EUROSTAT'!A105</f>
        <v>Huiles de navette ou de colza à faible teneur en acide érucique "huiles fixes dont la teneur en acide érucique est &lt; 2%" et leurs fractions, même raffinées, mais non chimiquement modifiées (à l'excl. des huiles brutes et des huiles destinées à des usages techniques ou industriels)</v>
      </c>
      <c r="D85" s="909">
        <f>SUM('Comext mensuel - EUROSTAT'!B105,'Comext mensuel - EUROSTAT'!D105,'Comext mensuel - EUROSTAT'!F105,'Comext mensuel - EUROSTAT'!H105,'Comext mensuel - EUROSTAT'!J105,'Comext mensuel - EUROSTAT'!L105,'Comext mensuel - EUROSTAT'!N105,'Comext mensuel - EUROSTAT'!P105,'Comext mensuel - EUROSTAT'!R105,'Comext mensuel - EUROSTAT'!T105,'Comext mensuel - EUROSTAT'!V105,'Comext mensuel - EUROSTAT'!X105)/10^4</f>
        <v>86.537863999999985</v>
      </c>
      <c r="E85" s="909">
        <f>SUM('Comext mensuel - EUROSTAT'!C105,'Comext mensuel - EUROSTAT'!E105,'Comext mensuel - EUROSTAT'!G105,'Comext mensuel - EUROSTAT'!I105,'Comext mensuel - EUROSTAT'!K105,'Comext mensuel - EUROSTAT'!M105,'Comext mensuel - EUROSTAT'!O105,'Comext mensuel - EUROSTAT'!Q105,'Comext mensuel - EUROSTAT'!S105,'Comext mensuel - EUROSTAT'!U105,'Comext mensuel - EUROSTAT'!W105,'Comext mensuel - EUROSTAT'!Y105)/10^4</f>
        <v>94.937725999999984</v>
      </c>
      <c r="F85" s="909">
        <f>SUM('Comext mensuel - EUROSTAT'!Z105,'Comext mensuel - EUROSTAT'!AB105,'Comext mensuel - EUROSTAT'!AD105,'Comext mensuel - EUROSTAT'!AF105,'Comext mensuel - EUROSTAT'!AH105,'Comext mensuel - EUROSTAT'!AJ105,'Comext mensuel - EUROSTAT'!AL105,'Comext mensuel - EUROSTAT'!AN105,'Comext mensuel - EUROSTAT'!AP105,'Comext mensuel - EUROSTAT'!AR105,'Comext mensuel - EUROSTAT'!AT105,'Comext mensuel - EUROSTAT'!AV105)/10^4</f>
        <v>67.465874999999997</v>
      </c>
      <c r="G85" s="909">
        <f>SUM('Comext mensuel - EUROSTAT'!AA105,'Comext mensuel - EUROSTAT'!AC105,'Comext mensuel - EUROSTAT'!AE105,'Comext mensuel - EUROSTAT'!AG105,'Comext mensuel - EUROSTAT'!AI105,'Comext mensuel - EUROSTAT'!AK105,'Comext mensuel - EUROSTAT'!AM105,'Comext mensuel - EUROSTAT'!AO105,'Comext mensuel - EUROSTAT'!AQ105,'Comext mensuel - EUROSTAT'!AS105,'Comext mensuel - EUROSTAT'!AU105,'Comext mensuel - EUROSTAT'!AW105)/10^4</f>
        <v>38.245325999999999</v>
      </c>
      <c r="H85" s="909">
        <f>SUM('Comext mensuel - EUROSTAT'!AX105,'Comext mensuel - EUROSTAT'!AZ105,'Comext mensuel - EUROSTAT'!BB105,'Comext mensuel - EUROSTAT'!BD105,'Comext mensuel - EUROSTAT'!BF105,'Comext mensuel - EUROSTAT'!BH105,'Comext mensuel - EUROSTAT'!BJ105,'Comext mensuel - EUROSTAT'!BL105,'Comext mensuel - EUROSTAT'!BN105,'Comext mensuel - EUROSTAT'!BP105,'Comext mensuel - EUROSTAT'!BR105,'Comext mensuel - EUROSTAT'!BT105)/10^4</f>
        <v>84.313611999999992</v>
      </c>
      <c r="I85" s="909">
        <f>SUM('Comext mensuel - EUROSTAT'!AY105,'Comext mensuel - EUROSTAT'!BA105,'Comext mensuel - EUROSTAT'!BC105,'Comext mensuel - EUROSTAT'!BE105,'Comext mensuel - EUROSTAT'!BG105,'Comext mensuel - EUROSTAT'!BI105,'Comext mensuel - EUROSTAT'!BK105,'Comext mensuel - EUROSTAT'!BM105,'Comext mensuel - EUROSTAT'!BO105,'Comext mensuel - EUROSTAT'!BQ105,'Comext mensuel - EUROSTAT'!BS105,'Comext mensuel - EUROSTAT'!BU105)/10^4</f>
        <v>18.809186</v>
      </c>
      <c r="J85" s="921">
        <f>'Comext annuel - EUROSTAT'!C126/10^4</f>
        <v>83.717108999999994</v>
      </c>
      <c r="K85" s="921">
        <f>'Comext annuel - EUROSTAT'!D126/10^4</f>
        <v>73.600540000000009</v>
      </c>
      <c r="L85" s="921">
        <f>'Comext annuel - EUROSTAT'!E126/10^4</f>
        <v>77.622787000000002</v>
      </c>
      <c r="M85" s="921">
        <f>'Comext annuel - EUROSTAT'!F126/10^4</f>
        <v>11.989105</v>
      </c>
      <c r="N85" s="921">
        <f>'Comext annuel - EUROSTAT'!G126/10^4</f>
        <v>82.029537000000005</v>
      </c>
      <c r="O85" s="921">
        <f>'Comext annuel - EUROSTAT'!H126/10^4</f>
        <v>19.178927999999999</v>
      </c>
    </row>
    <row r="86" spans="1:15">
      <c r="A86" t="s">
        <v>1036</v>
      </c>
      <c r="B86" s="1027"/>
      <c r="C86" t="str">
        <f>'Comext mensuel - EUROSTAT'!A108</f>
        <v>Huiles de navette ou de colza d'une teneur élevée en acide érucique "huiles fixes dont la teneur en acide érucique est &gt;= 2%" et huiles de moutarde, brutes, destinées à des usages techniques ou industriels (autres que la fabrication de produits pour l'alimentation humaine)</v>
      </c>
      <c r="D86" s="909">
        <f>SUM('Comext mensuel - EUROSTAT'!B108,'Comext mensuel - EUROSTAT'!D108,'Comext mensuel - EUROSTAT'!F108,'Comext mensuel - EUROSTAT'!H108,'Comext mensuel - EUROSTAT'!J108,'Comext mensuel - EUROSTAT'!L108,'Comext mensuel - EUROSTAT'!N108,'Comext mensuel - EUROSTAT'!P108,'Comext mensuel - EUROSTAT'!R108,'Comext mensuel - EUROSTAT'!T108,'Comext mensuel - EUROSTAT'!V108,'Comext mensuel - EUROSTAT'!X108)/10^4</f>
        <v>1.0073599999999998</v>
      </c>
      <c r="E86" s="909">
        <f>SUM('Comext mensuel - EUROSTAT'!C108,'Comext mensuel - EUROSTAT'!E108,'Comext mensuel - EUROSTAT'!G108,'Comext mensuel - EUROSTAT'!I108,'Comext mensuel - EUROSTAT'!K108,'Comext mensuel - EUROSTAT'!M108,'Comext mensuel - EUROSTAT'!O108,'Comext mensuel - EUROSTAT'!Q108,'Comext mensuel - EUROSTAT'!S108,'Comext mensuel - EUROSTAT'!U108,'Comext mensuel - EUROSTAT'!W108,'Comext mensuel - EUROSTAT'!Y108)/10^4</f>
        <v>4.5525000000000003E-2</v>
      </c>
      <c r="F86" s="909">
        <f>SUM('Comext mensuel - EUROSTAT'!Z108,'Comext mensuel - EUROSTAT'!AB108,'Comext mensuel - EUROSTAT'!AD108,'Comext mensuel - EUROSTAT'!AF108,'Comext mensuel - EUROSTAT'!AH108,'Comext mensuel - EUROSTAT'!AJ108,'Comext mensuel - EUROSTAT'!AL108,'Comext mensuel - EUROSTAT'!AN108,'Comext mensuel - EUROSTAT'!AP108,'Comext mensuel - EUROSTAT'!AR108,'Comext mensuel - EUROSTAT'!AT108,'Comext mensuel - EUROSTAT'!AV108)/10^4</f>
        <v>1.0920800000000002</v>
      </c>
      <c r="G86" s="909">
        <f>SUM('Comext mensuel - EUROSTAT'!AA108,'Comext mensuel - EUROSTAT'!AC108,'Comext mensuel - EUROSTAT'!AE108,'Comext mensuel - EUROSTAT'!AG108,'Comext mensuel - EUROSTAT'!AI108,'Comext mensuel - EUROSTAT'!AK108,'Comext mensuel - EUROSTAT'!AM108,'Comext mensuel - EUROSTAT'!AO108,'Comext mensuel - EUROSTAT'!AQ108,'Comext mensuel - EUROSTAT'!AS108,'Comext mensuel - EUROSTAT'!AU108,'Comext mensuel - EUROSTAT'!AW108)/10^4</f>
        <v>1.6494139999999999</v>
      </c>
      <c r="H86" s="909">
        <f>SUM('Comext mensuel - EUROSTAT'!AX108,'Comext mensuel - EUROSTAT'!AZ108,'Comext mensuel - EUROSTAT'!BB108,'Comext mensuel - EUROSTAT'!BD108,'Comext mensuel - EUROSTAT'!BF108,'Comext mensuel - EUROSTAT'!BH108,'Comext mensuel - EUROSTAT'!BJ108,'Comext mensuel - EUROSTAT'!BL108,'Comext mensuel - EUROSTAT'!BN108,'Comext mensuel - EUROSTAT'!BP108,'Comext mensuel - EUROSTAT'!BR108,'Comext mensuel - EUROSTAT'!BT108)/10^4</f>
        <v>0.55872299999999997</v>
      </c>
      <c r="I86" s="909">
        <f>SUM('Comext mensuel - EUROSTAT'!AY108,'Comext mensuel - EUROSTAT'!BA108,'Comext mensuel - EUROSTAT'!BC108,'Comext mensuel - EUROSTAT'!BE108,'Comext mensuel - EUROSTAT'!BG108,'Comext mensuel - EUROSTAT'!BI108,'Comext mensuel - EUROSTAT'!BK108,'Comext mensuel - EUROSTAT'!BM108,'Comext mensuel - EUROSTAT'!BO108,'Comext mensuel - EUROSTAT'!BQ108,'Comext mensuel - EUROSTAT'!BS108,'Comext mensuel - EUROSTAT'!BU108)/10^4</f>
        <v>13.90296</v>
      </c>
      <c r="J86" s="921">
        <f>'Comext annuel - EUROSTAT'!C129/10^4</f>
        <v>0.81473700000000004</v>
      </c>
      <c r="K86" s="921">
        <f>'Comext annuel - EUROSTAT'!D129/10^4</f>
        <v>1.5537559999999999</v>
      </c>
      <c r="L86" s="921">
        <f>'Comext annuel - EUROSTAT'!E129/10^4</f>
        <v>0.98282000000000003</v>
      </c>
      <c r="M86" s="921">
        <f>'Comext annuel - EUROSTAT'!F129/10^4</f>
        <v>0.700847</v>
      </c>
      <c r="N86" s="921">
        <f>'Comext annuel - EUROSTAT'!G129/10^4</f>
        <v>0.88448199999999999</v>
      </c>
      <c r="O86" s="921">
        <f>'Comext annuel - EUROSTAT'!H129/10^4</f>
        <v>6.779707000000001</v>
      </c>
    </row>
    <row r="87" spans="1:15">
      <c r="A87" t="s">
        <v>1036</v>
      </c>
      <c r="B87" s="1027"/>
      <c r="C87" t="str">
        <f>'Comext mensuel - EUROSTAT'!A109</f>
        <v>Huiles de navette ou de colza d'une teneur élevée en acide érucique "huiles fixes dont la teneur en acide érucique est &gt;= 2%" et huiles de moutarde, brutes (à l'excl. des huiles destinées à des usages techniques ou industriels)</v>
      </c>
      <c r="D87" s="909">
        <f>SUM('Comext mensuel - EUROSTAT'!B109,'Comext mensuel - EUROSTAT'!D109,'Comext mensuel - EUROSTAT'!F109,'Comext mensuel - EUROSTAT'!H109,'Comext mensuel - EUROSTAT'!J109,'Comext mensuel - EUROSTAT'!L109,'Comext mensuel - EUROSTAT'!N109,'Comext mensuel - EUROSTAT'!P109,'Comext mensuel - EUROSTAT'!R109,'Comext mensuel - EUROSTAT'!T109,'Comext mensuel - EUROSTAT'!V109,'Comext mensuel - EUROSTAT'!X109)/10^4</f>
        <v>0.28689999999999999</v>
      </c>
      <c r="E87" s="909">
        <f>SUM('Comext mensuel - EUROSTAT'!C109,'Comext mensuel - EUROSTAT'!E109,'Comext mensuel - EUROSTAT'!G109,'Comext mensuel - EUROSTAT'!I109,'Comext mensuel - EUROSTAT'!K109,'Comext mensuel - EUROSTAT'!M109,'Comext mensuel - EUROSTAT'!O109,'Comext mensuel - EUROSTAT'!Q109,'Comext mensuel - EUROSTAT'!S109,'Comext mensuel - EUROSTAT'!U109,'Comext mensuel - EUROSTAT'!W109,'Comext mensuel - EUROSTAT'!Y109)/10^4</f>
        <v>27.503259000000003</v>
      </c>
      <c r="F87" s="909">
        <f>SUM('Comext mensuel - EUROSTAT'!Z109,'Comext mensuel - EUROSTAT'!AB109,'Comext mensuel - EUROSTAT'!AD109,'Comext mensuel - EUROSTAT'!AF109,'Comext mensuel - EUROSTAT'!AH109,'Comext mensuel - EUROSTAT'!AJ109,'Comext mensuel - EUROSTAT'!AL109,'Comext mensuel - EUROSTAT'!AN109,'Comext mensuel - EUROSTAT'!AP109,'Comext mensuel - EUROSTAT'!AR109,'Comext mensuel - EUROSTAT'!AT109,'Comext mensuel - EUROSTAT'!AV109)/10^4</f>
        <v>6.9043640000000002</v>
      </c>
      <c r="G87" s="909">
        <f>SUM('Comext mensuel - EUROSTAT'!AA109,'Comext mensuel - EUROSTAT'!AC109,'Comext mensuel - EUROSTAT'!AE109,'Comext mensuel - EUROSTAT'!AG109,'Comext mensuel - EUROSTAT'!AI109,'Comext mensuel - EUROSTAT'!AK109,'Comext mensuel - EUROSTAT'!AM109,'Comext mensuel - EUROSTAT'!AO109,'Comext mensuel - EUROSTAT'!AQ109,'Comext mensuel - EUROSTAT'!AS109,'Comext mensuel - EUROSTAT'!AU109,'Comext mensuel - EUROSTAT'!AW109)/10^4</f>
        <v>60.461482999999987</v>
      </c>
      <c r="H87" s="909">
        <f>SUM('Comext mensuel - EUROSTAT'!AX109,'Comext mensuel - EUROSTAT'!AZ109,'Comext mensuel - EUROSTAT'!BB109,'Comext mensuel - EUROSTAT'!BD109,'Comext mensuel - EUROSTAT'!BF109,'Comext mensuel - EUROSTAT'!BH109,'Comext mensuel - EUROSTAT'!BJ109,'Comext mensuel - EUROSTAT'!BL109,'Comext mensuel - EUROSTAT'!BN109,'Comext mensuel - EUROSTAT'!BP109,'Comext mensuel - EUROSTAT'!BR109,'Comext mensuel - EUROSTAT'!BT109)/10^4</f>
        <v>0.16264200000000004</v>
      </c>
      <c r="I87" s="909">
        <f>SUM('Comext mensuel - EUROSTAT'!AY109,'Comext mensuel - EUROSTAT'!BA109,'Comext mensuel - EUROSTAT'!BC109,'Comext mensuel - EUROSTAT'!BE109,'Comext mensuel - EUROSTAT'!BG109,'Comext mensuel - EUROSTAT'!BI109,'Comext mensuel - EUROSTAT'!BK109,'Comext mensuel - EUROSTAT'!BM109,'Comext mensuel - EUROSTAT'!BO109,'Comext mensuel - EUROSTAT'!BQ109,'Comext mensuel - EUROSTAT'!BS109,'Comext mensuel - EUROSTAT'!BU109)/10^4</f>
        <v>13.243820000000001</v>
      </c>
      <c r="J87" s="921">
        <f>'Comext annuel - EUROSTAT'!C130/10^4</f>
        <v>0.25531399999999999</v>
      </c>
      <c r="K87" s="921">
        <f>'Comext annuel - EUROSTAT'!D130/10^4</f>
        <v>33.138382</v>
      </c>
      <c r="L87" s="921">
        <f>'Comext annuel - EUROSTAT'!E130/10^4</f>
        <v>8.2944990000000001</v>
      </c>
      <c r="M87" s="921">
        <f>'Comext annuel - EUROSTAT'!F130/10^4</f>
        <v>43.415680000000002</v>
      </c>
      <c r="N87" s="921">
        <f>'Comext annuel - EUROSTAT'!G130/10^4</f>
        <v>0.64553100000000008</v>
      </c>
      <c r="O87" s="921">
        <f>'Comext annuel - EUROSTAT'!H130/10^4</f>
        <v>22.364176</v>
      </c>
    </row>
    <row r="88" spans="1:15">
      <c r="A88" t="s">
        <v>1037</v>
      </c>
      <c r="B88" s="1027"/>
      <c r="C88" t="str">
        <f>'Comext mensuel - EUROSTAT'!A110</f>
        <v>Huiles de navette ou de colza d'une teneur élevée en acide érucique "huiles fixes dont la teneur en acide érucique est &gt;= 2%" et huiles de moutarde, et leurs fractions, même raffinées, mais non chimiquement modifiées, destinées à des usages techniques ou industriels (à l'excl. des huiles brutes et des huiles destinées à la fabrication de produits pour l'alimentation humaine)</v>
      </c>
      <c r="D88" s="909">
        <f>SUM('Comext mensuel - EUROSTAT'!B110,'Comext mensuel - EUROSTAT'!D110,'Comext mensuel - EUROSTAT'!F110,'Comext mensuel - EUROSTAT'!H110,'Comext mensuel - EUROSTAT'!J110,'Comext mensuel - EUROSTAT'!L110,'Comext mensuel - EUROSTAT'!N110,'Comext mensuel - EUROSTAT'!P110,'Comext mensuel - EUROSTAT'!R110,'Comext mensuel - EUROSTAT'!T110,'Comext mensuel - EUROSTAT'!V110,'Comext mensuel - EUROSTAT'!X110)/10^4</f>
        <v>16.122522</v>
      </c>
      <c r="E88" s="909">
        <f>SUM('Comext mensuel - EUROSTAT'!C110,'Comext mensuel - EUROSTAT'!E110,'Comext mensuel - EUROSTAT'!G110,'Comext mensuel - EUROSTAT'!I110,'Comext mensuel - EUROSTAT'!K110,'Comext mensuel - EUROSTAT'!M110,'Comext mensuel - EUROSTAT'!O110,'Comext mensuel - EUROSTAT'!Q110,'Comext mensuel - EUROSTAT'!S110,'Comext mensuel - EUROSTAT'!U110,'Comext mensuel - EUROSTAT'!W110,'Comext mensuel - EUROSTAT'!Y110)/10^4</f>
        <v>5.3237E-2</v>
      </c>
      <c r="F88" s="909">
        <f>SUM('Comext mensuel - EUROSTAT'!Z110,'Comext mensuel - EUROSTAT'!AB110,'Comext mensuel - EUROSTAT'!AD110,'Comext mensuel - EUROSTAT'!AF110,'Comext mensuel - EUROSTAT'!AH110,'Comext mensuel - EUROSTAT'!AJ110,'Comext mensuel - EUROSTAT'!AL110,'Comext mensuel - EUROSTAT'!AN110,'Comext mensuel - EUROSTAT'!AP110,'Comext mensuel - EUROSTAT'!AR110,'Comext mensuel - EUROSTAT'!AT110,'Comext mensuel - EUROSTAT'!AV110)/10^4</f>
        <v>17.768742</v>
      </c>
      <c r="G88" s="909">
        <f>SUM('Comext mensuel - EUROSTAT'!AA110,'Comext mensuel - EUROSTAT'!AC110,'Comext mensuel - EUROSTAT'!AE110,'Comext mensuel - EUROSTAT'!AG110,'Comext mensuel - EUROSTAT'!AI110,'Comext mensuel - EUROSTAT'!AK110,'Comext mensuel - EUROSTAT'!AM110,'Comext mensuel - EUROSTAT'!AO110,'Comext mensuel - EUROSTAT'!AQ110,'Comext mensuel - EUROSTAT'!AS110,'Comext mensuel - EUROSTAT'!AU110,'Comext mensuel - EUROSTAT'!AW110)/10^4</f>
        <v>6.5680000000000002E-2</v>
      </c>
      <c r="H88" s="909">
        <f>SUM('Comext mensuel - EUROSTAT'!AX110,'Comext mensuel - EUROSTAT'!AZ110,'Comext mensuel - EUROSTAT'!BB110,'Comext mensuel - EUROSTAT'!BD110,'Comext mensuel - EUROSTAT'!BF110,'Comext mensuel - EUROSTAT'!BH110,'Comext mensuel - EUROSTAT'!BJ110,'Comext mensuel - EUROSTAT'!BL110,'Comext mensuel - EUROSTAT'!BN110,'Comext mensuel - EUROSTAT'!BP110,'Comext mensuel - EUROSTAT'!BR110,'Comext mensuel - EUROSTAT'!BT110)/10^4</f>
        <v>15.950622999999998</v>
      </c>
      <c r="I88" s="909">
        <f>SUM('Comext mensuel - EUROSTAT'!AY110,'Comext mensuel - EUROSTAT'!BA110,'Comext mensuel - EUROSTAT'!BC110,'Comext mensuel - EUROSTAT'!BE110,'Comext mensuel - EUROSTAT'!BG110,'Comext mensuel - EUROSTAT'!BI110,'Comext mensuel - EUROSTAT'!BK110,'Comext mensuel - EUROSTAT'!BM110,'Comext mensuel - EUROSTAT'!BO110,'Comext mensuel - EUROSTAT'!BQ110,'Comext mensuel - EUROSTAT'!BS110,'Comext mensuel - EUROSTAT'!BU110)/10^4</f>
        <v>2.3099970000000001</v>
      </c>
      <c r="J88" s="921">
        <f>'Comext annuel - EUROSTAT'!C131/10^4</f>
        <v>12.776475</v>
      </c>
      <c r="K88" s="921">
        <f>'Comext annuel - EUROSTAT'!D131/10^4</f>
        <v>7.6629000000000003E-2</v>
      </c>
      <c r="L88" s="921">
        <f>'Comext annuel - EUROSTAT'!E131/10^4</f>
        <v>22.159399000000001</v>
      </c>
      <c r="M88" s="921">
        <f>'Comext annuel - EUROSTAT'!F131/10^4</f>
        <v>3.7823000000000002E-2</v>
      </c>
      <c r="N88" s="921">
        <f>'Comext annuel - EUROSTAT'!G131/10^4</f>
        <v>15.090285999999999</v>
      </c>
      <c r="O88" s="921">
        <f>'Comext annuel - EUROSTAT'!H131/10^4</f>
        <v>4.1204330000000002</v>
      </c>
    </row>
    <row r="89" spans="1:15">
      <c r="A89" t="s">
        <v>1037</v>
      </c>
      <c r="B89" s="1027"/>
      <c r="C89" t="str">
        <f>'Comext mensuel - EUROSTAT'!A111</f>
        <v>Huiles de navette ou de colza d'une teneur élevée en acide érucique "huiles fixes dont la teneur en acide érucique est &gt;= 2%" et huiles de moutarde, et leurs fractions, même raffinées, mais non chimiquement modifiées (à l'excl. des huiles brutes et des huiles destinées à des usages techniques ou industriels)</v>
      </c>
      <c r="D89" s="909">
        <f>SUM('Comext mensuel - EUROSTAT'!B111,'Comext mensuel - EUROSTAT'!D111,'Comext mensuel - EUROSTAT'!F111,'Comext mensuel - EUROSTAT'!H111,'Comext mensuel - EUROSTAT'!J111,'Comext mensuel - EUROSTAT'!L111,'Comext mensuel - EUROSTAT'!N111,'Comext mensuel - EUROSTAT'!P111,'Comext mensuel - EUROSTAT'!R111,'Comext mensuel - EUROSTAT'!T111,'Comext mensuel - EUROSTAT'!V111,'Comext mensuel - EUROSTAT'!X111)/10^4</f>
        <v>1.8575149999999998</v>
      </c>
      <c r="E89" s="909">
        <f>SUM('Comext mensuel - EUROSTAT'!C111,'Comext mensuel - EUROSTAT'!E111,'Comext mensuel - EUROSTAT'!G111,'Comext mensuel - EUROSTAT'!I111,'Comext mensuel - EUROSTAT'!K111,'Comext mensuel - EUROSTAT'!M111,'Comext mensuel - EUROSTAT'!O111,'Comext mensuel - EUROSTAT'!Q111,'Comext mensuel - EUROSTAT'!S111,'Comext mensuel - EUROSTAT'!U111,'Comext mensuel - EUROSTAT'!W111,'Comext mensuel - EUROSTAT'!Y111)/10^4</f>
        <v>38.520831000000001</v>
      </c>
      <c r="F89" s="909">
        <f>SUM('Comext mensuel - EUROSTAT'!Z111,'Comext mensuel - EUROSTAT'!AB111,'Comext mensuel - EUROSTAT'!AD111,'Comext mensuel - EUROSTAT'!AF111,'Comext mensuel - EUROSTAT'!AH111,'Comext mensuel - EUROSTAT'!AJ111,'Comext mensuel - EUROSTAT'!AL111,'Comext mensuel - EUROSTAT'!AN111,'Comext mensuel - EUROSTAT'!AP111,'Comext mensuel - EUROSTAT'!AR111,'Comext mensuel - EUROSTAT'!AT111,'Comext mensuel - EUROSTAT'!AV111)/10^4</f>
        <v>1.2036069999999999</v>
      </c>
      <c r="G89" s="909">
        <f>SUM('Comext mensuel - EUROSTAT'!AA111,'Comext mensuel - EUROSTAT'!AC111,'Comext mensuel - EUROSTAT'!AE111,'Comext mensuel - EUROSTAT'!AG111,'Comext mensuel - EUROSTAT'!AI111,'Comext mensuel - EUROSTAT'!AK111,'Comext mensuel - EUROSTAT'!AM111,'Comext mensuel - EUROSTAT'!AO111,'Comext mensuel - EUROSTAT'!AQ111,'Comext mensuel - EUROSTAT'!AS111,'Comext mensuel - EUROSTAT'!AU111,'Comext mensuel - EUROSTAT'!AW111)/10^4</f>
        <v>9.9081419999999998</v>
      </c>
      <c r="H89" s="909">
        <f>SUM('Comext mensuel - EUROSTAT'!AX111,'Comext mensuel - EUROSTAT'!AZ111,'Comext mensuel - EUROSTAT'!BB111,'Comext mensuel - EUROSTAT'!BD111,'Comext mensuel - EUROSTAT'!BF111,'Comext mensuel - EUROSTAT'!BH111,'Comext mensuel - EUROSTAT'!BJ111,'Comext mensuel - EUROSTAT'!BL111,'Comext mensuel - EUROSTAT'!BN111,'Comext mensuel - EUROSTAT'!BP111,'Comext mensuel - EUROSTAT'!BR111,'Comext mensuel - EUROSTAT'!BT111)/10^4</f>
        <v>4.2789560000000009</v>
      </c>
      <c r="I89" s="909">
        <f>SUM('Comext mensuel - EUROSTAT'!AY111,'Comext mensuel - EUROSTAT'!BA111,'Comext mensuel - EUROSTAT'!BC111,'Comext mensuel - EUROSTAT'!BE111,'Comext mensuel - EUROSTAT'!BG111,'Comext mensuel - EUROSTAT'!BI111,'Comext mensuel - EUROSTAT'!BK111,'Comext mensuel - EUROSTAT'!BM111,'Comext mensuel - EUROSTAT'!BO111,'Comext mensuel - EUROSTAT'!BQ111,'Comext mensuel - EUROSTAT'!BS111,'Comext mensuel - EUROSTAT'!BU111)/10^4</f>
        <v>12.148154</v>
      </c>
      <c r="J89" s="921">
        <f>'Comext annuel - EUROSTAT'!C132/10^4</f>
        <v>1.660836</v>
      </c>
      <c r="K89" s="921">
        <f>'Comext annuel - EUROSTAT'!D132/10^4</f>
        <v>38.254222999999996</v>
      </c>
      <c r="L89" s="921">
        <f>'Comext annuel - EUROSTAT'!E132/10^4</f>
        <v>1.0678860000000001</v>
      </c>
      <c r="M89" s="921">
        <f>'Comext annuel - EUROSTAT'!F132/10^4</f>
        <v>7.2935059999999998</v>
      </c>
      <c r="N89" s="921">
        <f>'Comext annuel - EUROSTAT'!G132/10^4</f>
        <v>4.4408449999999995</v>
      </c>
      <c r="O89" s="921">
        <f>'Comext annuel - EUROSTAT'!H132/10^4</f>
        <v>15.533942000000001</v>
      </c>
    </row>
    <row r="90" spans="1:15">
      <c r="A90" t="s">
        <v>1038</v>
      </c>
      <c r="B90" s="1027"/>
      <c r="C90" t="str">
        <f>'Comext mensuel - EUROSTAT'!A112</f>
        <v>Huile de lin, brute</v>
      </c>
      <c r="D90" s="909">
        <f>SUM('Comext mensuel - EUROSTAT'!B112,'Comext mensuel - EUROSTAT'!D112,'Comext mensuel - EUROSTAT'!F112,'Comext mensuel - EUROSTAT'!H112,'Comext mensuel - EUROSTAT'!J112,'Comext mensuel - EUROSTAT'!L112,'Comext mensuel - EUROSTAT'!N112,'Comext mensuel - EUROSTAT'!P112,'Comext mensuel - EUROSTAT'!R112,'Comext mensuel - EUROSTAT'!T112,'Comext mensuel - EUROSTAT'!V112,'Comext mensuel - EUROSTAT'!X112)/10^4</f>
        <v>3.1720420000000003</v>
      </c>
      <c r="E90" s="909">
        <f>SUM('Comext mensuel - EUROSTAT'!C112,'Comext mensuel - EUROSTAT'!E112,'Comext mensuel - EUROSTAT'!G112,'Comext mensuel - EUROSTAT'!I112,'Comext mensuel - EUROSTAT'!K112,'Comext mensuel - EUROSTAT'!M112,'Comext mensuel - EUROSTAT'!O112,'Comext mensuel - EUROSTAT'!Q112,'Comext mensuel - EUROSTAT'!S112,'Comext mensuel - EUROSTAT'!U112,'Comext mensuel - EUROSTAT'!W112,'Comext mensuel - EUROSTAT'!Y112)/10^4</f>
        <v>9.3127000000000001E-2</v>
      </c>
      <c r="F90" s="909">
        <f>SUM('Comext mensuel - EUROSTAT'!Z112,'Comext mensuel - EUROSTAT'!AB112,'Comext mensuel - EUROSTAT'!AD112,'Comext mensuel - EUROSTAT'!AF112,'Comext mensuel - EUROSTAT'!AH112,'Comext mensuel - EUROSTAT'!AJ112,'Comext mensuel - EUROSTAT'!AL112,'Comext mensuel - EUROSTAT'!AN112,'Comext mensuel - EUROSTAT'!AP112,'Comext mensuel - EUROSTAT'!AR112,'Comext mensuel - EUROSTAT'!AT112,'Comext mensuel - EUROSTAT'!AV112)/10^4</f>
        <v>7.7646909999999991</v>
      </c>
      <c r="G90" s="909">
        <f>SUM('Comext mensuel - EUROSTAT'!AA112,'Comext mensuel - EUROSTAT'!AC112,'Comext mensuel - EUROSTAT'!AE112,'Comext mensuel - EUROSTAT'!AG112,'Comext mensuel - EUROSTAT'!AI112,'Comext mensuel - EUROSTAT'!AK112,'Comext mensuel - EUROSTAT'!AM112,'Comext mensuel - EUROSTAT'!AO112,'Comext mensuel - EUROSTAT'!AQ112,'Comext mensuel - EUROSTAT'!AS112,'Comext mensuel - EUROSTAT'!AU112,'Comext mensuel - EUROSTAT'!AW112)/10^4</f>
        <v>0.27245000000000003</v>
      </c>
      <c r="H90" s="909">
        <f>SUM('Comext mensuel - EUROSTAT'!AX112,'Comext mensuel - EUROSTAT'!AZ112,'Comext mensuel - EUROSTAT'!BB112,'Comext mensuel - EUROSTAT'!BD112,'Comext mensuel - EUROSTAT'!BF112,'Comext mensuel - EUROSTAT'!BH112,'Comext mensuel - EUROSTAT'!BJ112,'Comext mensuel - EUROSTAT'!BL112,'Comext mensuel - EUROSTAT'!BN112,'Comext mensuel - EUROSTAT'!BP112,'Comext mensuel - EUROSTAT'!BR112,'Comext mensuel - EUROSTAT'!BT112)/10^4</f>
        <v>5.2990360000000001</v>
      </c>
      <c r="I90" s="909">
        <f>SUM('Comext mensuel - EUROSTAT'!AY112,'Comext mensuel - EUROSTAT'!BA112,'Comext mensuel - EUROSTAT'!BC112,'Comext mensuel - EUROSTAT'!BE112,'Comext mensuel - EUROSTAT'!BG112,'Comext mensuel - EUROSTAT'!BI112,'Comext mensuel - EUROSTAT'!BK112,'Comext mensuel - EUROSTAT'!BM112,'Comext mensuel - EUROSTAT'!BO112,'Comext mensuel - EUROSTAT'!BQ112,'Comext mensuel - EUROSTAT'!BS112,'Comext mensuel - EUROSTAT'!BU112)/10^4</f>
        <v>0.105307</v>
      </c>
      <c r="J90" s="921">
        <f>'Comext annuel - EUROSTAT'!C133/10^4</f>
        <v>2.7297849999999997</v>
      </c>
      <c r="K90" s="921">
        <f>'Comext annuel - EUROSTAT'!D133/10^4</f>
        <v>1.8568999999999999E-2</v>
      </c>
      <c r="L90" s="921">
        <f>'Comext annuel - EUROSTAT'!E133/10^4</f>
        <v>7.3694009999999999</v>
      </c>
      <c r="M90" s="921">
        <f>'Comext annuel - EUROSTAT'!F133/10^4</f>
        <v>0.23519299999999999</v>
      </c>
      <c r="N90" s="921">
        <f>'Comext annuel - EUROSTAT'!G133/10^4</f>
        <v>5.6891699999999998</v>
      </c>
      <c r="O90" s="921">
        <f>'Comext annuel - EUROSTAT'!H133/10^4</f>
        <v>0.10316500000000001</v>
      </c>
    </row>
    <row r="91" spans="1:15">
      <c r="A91" t="s">
        <v>1039</v>
      </c>
      <c r="B91" s="1027"/>
      <c r="C91" t="str">
        <f>'Comext mensuel - EUROSTAT'!A113</f>
        <v>Huile de lin et ses fractions, même raffinées, mais non chimiquement modifiées, destinées à des usages techniques ou industriels (à l'excl. de l'huile brute et de l'huile destinée à la fabrication de produits pour l'alimentation humaine)</v>
      </c>
      <c r="D91" s="909">
        <f>SUM('Comext mensuel - EUROSTAT'!B113,'Comext mensuel - EUROSTAT'!D113,'Comext mensuel - EUROSTAT'!F113,'Comext mensuel - EUROSTAT'!H113,'Comext mensuel - EUROSTAT'!J113,'Comext mensuel - EUROSTAT'!L113,'Comext mensuel - EUROSTAT'!N113,'Comext mensuel - EUROSTAT'!P113,'Comext mensuel - EUROSTAT'!R113,'Comext mensuel - EUROSTAT'!T113,'Comext mensuel - EUROSTAT'!V113,'Comext mensuel - EUROSTAT'!X113)/10^4</f>
        <v>0.400617</v>
      </c>
      <c r="E91" s="909">
        <f>SUM('Comext mensuel - EUROSTAT'!C113,'Comext mensuel - EUROSTAT'!E113,'Comext mensuel - EUROSTAT'!G113,'Comext mensuel - EUROSTAT'!I113,'Comext mensuel - EUROSTAT'!K113,'Comext mensuel - EUROSTAT'!M113,'Comext mensuel - EUROSTAT'!O113,'Comext mensuel - EUROSTAT'!Q113,'Comext mensuel - EUROSTAT'!S113,'Comext mensuel - EUROSTAT'!U113,'Comext mensuel - EUROSTAT'!W113,'Comext mensuel - EUROSTAT'!Y113)/10^4</f>
        <v>0.10906499999999998</v>
      </c>
      <c r="F91" s="909">
        <f>SUM('Comext mensuel - EUROSTAT'!Z113,'Comext mensuel - EUROSTAT'!AB113,'Comext mensuel - EUROSTAT'!AD113,'Comext mensuel - EUROSTAT'!AF113,'Comext mensuel - EUROSTAT'!AH113,'Comext mensuel - EUROSTAT'!AJ113,'Comext mensuel - EUROSTAT'!AL113,'Comext mensuel - EUROSTAT'!AN113,'Comext mensuel - EUROSTAT'!AP113,'Comext mensuel - EUROSTAT'!AR113,'Comext mensuel - EUROSTAT'!AT113,'Comext mensuel - EUROSTAT'!AV113)/10^4</f>
        <v>0.37464000000000003</v>
      </c>
      <c r="G91" s="909">
        <f>SUM('Comext mensuel - EUROSTAT'!AA113,'Comext mensuel - EUROSTAT'!AC113,'Comext mensuel - EUROSTAT'!AE113,'Comext mensuel - EUROSTAT'!AG113,'Comext mensuel - EUROSTAT'!AI113,'Comext mensuel - EUROSTAT'!AK113,'Comext mensuel - EUROSTAT'!AM113,'Comext mensuel - EUROSTAT'!AO113,'Comext mensuel - EUROSTAT'!AQ113,'Comext mensuel - EUROSTAT'!AS113,'Comext mensuel - EUROSTAT'!AU113,'Comext mensuel - EUROSTAT'!AW113)/10^4</f>
        <v>4.0030000000000003E-2</v>
      </c>
      <c r="H91" s="909">
        <f>SUM('Comext mensuel - EUROSTAT'!AX113,'Comext mensuel - EUROSTAT'!AZ113,'Comext mensuel - EUROSTAT'!BB113,'Comext mensuel - EUROSTAT'!BD113,'Comext mensuel - EUROSTAT'!BF113,'Comext mensuel - EUROSTAT'!BH113,'Comext mensuel - EUROSTAT'!BJ113,'Comext mensuel - EUROSTAT'!BL113,'Comext mensuel - EUROSTAT'!BN113,'Comext mensuel - EUROSTAT'!BP113,'Comext mensuel - EUROSTAT'!BR113,'Comext mensuel - EUROSTAT'!BT113)/10^4</f>
        <v>0.61439100000000002</v>
      </c>
      <c r="I91" s="909">
        <f>SUM('Comext mensuel - EUROSTAT'!AY113,'Comext mensuel - EUROSTAT'!BA113,'Comext mensuel - EUROSTAT'!BC113,'Comext mensuel - EUROSTAT'!BE113,'Comext mensuel - EUROSTAT'!BG113,'Comext mensuel - EUROSTAT'!BI113,'Comext mensuel - EUROSTAT'!BK113,'Comext mensuel - EUROSTAT'!BM113,'Comext mensuel - EUROSTAT'!BO113,'Comext mensuel - EUROSTAT'!BQ113,'Comext mensuel - EUROSTAT'!BS113,'Comext mensuel - EUROSTAT'!BU113)/10^4</f>
        <v>2.3836000000000003E-2</v>
      </c>
      <c r="J91" s="921">
        <f>'Comext annuel - EUROSTAT'!C134/10^4</f>
        <v>0.31148100000000001</v>
      </c>
      <c r="K91" s="921">
        <f>'Comext annuel - EUROSTAT'!D134/10^4</f>
        <v>8.7215000000000001E-2</v>
      </c>
      <c r="L91" s="921">
        <f>'Comext annuel - EUROSTAT'!E134/10^4</f>
        <v>0.40150399999999997</v>
      </c>
      <c r="M91" s="921">
        <f>'Comext annuel - EUROSTAT'!F134/10^4</f>
        <v>2.7663999999999998E-2</v>
      </c>
      <c r="N91" s="921">
        <f>'Comext annuel - EUROSTAT'!G134/10^4</f>
        <v>0.60361200000000004</v>
      </c>
      <c r="O91" s="921">
        <f>'Comext annuel - EUROSTAT'!H134/10^4</f>
        <v>2.2880999999999999E-2</v>
      </c>
    </row>
    <row r="92" spans="1:15">
      <c r="A92" t="s">
        <v>1039</v>
      </c>
      <c r="B92" s="1027"/>
      <c r="C92" t="str">
        <f>'Comext mensuel - EUROSTAT'!A114</f>
        <v>Huile de lin et ses fractions, même raffinées, mais non chimiquement modifiées (à l'excl. de l'huile brute et de l'huile destinée à des usages techniques ou industriels)</v>
      </c>
      <c r="D92" s="909">
        <f>SUM('Comext mensuel - EUROSTAT'!B114,'Comext mensuel - EUROSTAT'!D114,'Comext mensuel - EUROSTAT'!F114,'Comext mensuel - EUROSTAT'!H114,'Comext mensuel - EUROSTAT'!J114,'Comext mensuel - EUROSTAT'!L114,'Comext mensuel - EUROSTAT'!N114,'Comext mensuel - EUROSTAT'!P114,'Comext mensuel - EUROSTAT'!R114,'Comext mensuel - EUROSTAT'!T114,'Comext mensuel - EUROSTAT'!V114,'Comext mensuel - EUROSTAT'!X114)/10^4</f>
        <v>0.53453799999999996</v>
      </c>
      <c r="E92" s="909">
        <f>SUM('Comext mensuel - EUROSTAT'!C114,'Comext mensuel - EUROSTAT'!E114,'Comext mensuel - EUROSTAT'!G114,'Comext mensuel - EUROSTAT'!I114,'Comext mensuel - EUROSTAT'!K114,'Comext mensuel - EUROSTAT'!M114,'Comext mensuel - EUROSTAT'!O114,'Comext mensuel - EUROSTAT'!Q114,'Comext mensuel - EUROSTAT'!S114,'Comext mensuel - EUROSTAT'!U114,'Comext mensuel - EUROSTAT'!W114,'Comext mensuel - EUROSTAT'!Y114)/10^4</f>
        <v>0.25272599999999995</v>
      </c>
      <c r="F92" s="909">
        <f>SUM('Comext mensuel - EUROSTAT'!Z114,'Comext mensuel - EUROSTAT'!AB114,'Comext mensuel - EUROSTAT'!AD114,'Comext mensuel - EUROSTAT'!AF114,'Comext mensuel - EUROSTAT'!AH114,'Comext mensuel - EUROSTAT'!AJ114,'Comext mensuel - EUROSTAT'!AL114,'Comext mensuel - EUROSTAT'!AN114,'Comext mensuel - EUROSTAT'!AP114,'Comext mensuel - EUROSTAT'!AR114,'Comext mensuel - EUROSTAT'!AT114,'Comext mensuel - EUROSTAT'!AV114)/10^4</f>
        <v>0.64426300000000014</v>
      </c>
      <c r="G92" s="909">
        <f>SUM('Comext mensuel - EUROSTAT'!AA114,'Comext mensuel - EUROSTAT'!AC114,'Comext mensuel - EUROSTAT'!AE114,'Comext mensuel - EUROSTAT'!AG114,'Comext mensuel - EUROSTAT'!AI114,'Comext mensuel - EUROSTAT'!AK114,'Comext mensuel - EUROSTAT'!AM114,'Comext mensuel - EUROSTAT'!AO114,'Comext mensuel - EUROSTAT'!AQ114,'Comext mensuel - EUROSTAT'!AS114,'Comext mensuel - EUROSTAT'!AU114,'Comext mensuel - EUROSTAT'!AW114)/10^4</f>
        <v>0.70335899999999996</v>
      </c>
      <c r="H92" s="909">
        <f>SUM('Comext mensuel - EUROSTAT'!AX114,'Comext mensuel - EUROSTAT'!AZ114,'Comext mensuel - EUROSTAT'!BB114,'Comext mensuel - EUROSTAT'!BD114,'Comext mensuel - EUROSTAT'!BF114,'Comext mensuel - EUROSTAT'!BH114,'Comext mensuel - EUROSTAT'!BJ114,'Comext mensuel - EUROSTAT'!BL114,'Comext mensuel - EUROSTAT'!BN114,'Comext mensuel - EUROSTAT'!BP114,'Comext mensuel - EUROSTAT'!BR114,'Comext mensuel - EUROSTAT'!BT114)/10^4</f>
        <v>0.34571399999999997</v>
      </c>
      <c r="I92" s="909">
        <f>SUM('Comext mensuel - EUROSTAT'!AY114,'Comext mensuel - EUROSTAT'!BA114,'Comext mensuel - EUROSTAT'!BC114,'Comext mensuel - EUROSTAT'!BE114,'Comext mensuel - EUROSTAT'!BG114,'Comext mensuel - EUROSTAT'!BI114,'Comext mensuel - EUROSTAT'!BK114,'Comext mensuel - EUROSTAT'!BM114,'Comext mensuel - EUROSTAT'!BO114,'Comext mensuel - EUROSTAT'!BQ114,'Comext mensuel - EUROSTAT'!BS114,'Comext mensuel - EUROSTAT'!BU114)/10^4</f>
        <v>0.49549300000000002</v>
      </c>
      <c r="J92" s="921">
        <f>'Comext annuel - EUROSTAT'!C135/10^4</f>
        <v>0.67651700000000003</v>
      </c>
      <c r="K92" s="921">
        <f>'Comext annuel - EUROSTAT'!D135/10^4</f>
        <v>0.21337600000000001</v>
      </c>
      <c r="L92" s="921">
        <f>'Comext annuel - EUROSTAT'!E135/10^4</f>
        <v>0.58592</v>
      </c>
      <c r="M92" s="921">
        <f>'Comext annuel - EUROSTAT'!F135/10^4</f>
        <v>0.53134999999999999</v>
      </c>
      <c r="N92" s="921">
        <f>'Comext annuel - EUROSTAT'!G135/10^4</f>
        <v>0.31852800000000003</v>
      </c>
      <c r="O92" s="921">
        <f>'Comext annuel - EUROSTAT'!H135/10^4</f>
        <v>0.41342299999999993</v>
      </c>
    </row>
    <row r="93" spans="1:15">
      <c r="A93" t="s">
        <v>1040</v>
      </c>
      <c r="B93" s="1027"/>
      <c r="C93" t="str">
        <f>'Comext mensuel - EUROSTAT'!A115</f>
        <v>Huile de ricin et ses fractions, même raffinées, mais non chimiquement modifiées, destinées à la production de l'acide amino-undécanoïque pour la fabrication soit de fibres synthétiques, soit de matières plastiques</v>
      </c>
      <c r="D93" s="908">
        <f>SUM('Comext mensuel - EUROSTAT'!B115,'Comext mensuel - EUROSTAT'!D115,'Comext mensuel - EUROSTAT'!F115,'Comext mensuel - EUROSTAT'!H115,'Comext mensuel - EUROSTAT'!J115,'Comext mensuel - EUROSTAT'!L115,'Comext mensuel - EUROSTAT'!N115,'Comext mensuel - EUROSTAT'!P115,'Comext mensuel - EUROSTAT'!R115,'Comext mensuel - EUROSTAT'!T115,'Comext mensuel - EUROSTAT'!V115,'Comext mensuel - EUROSTAT'!X115)/10^4</f>
        <v>0.15504100000000001</v>
      </c>
      <c r="E93" s="908">
        <f>SUM('Comext mensuel - EUROSTAT'!C115,'Comext mensuel - EUROSTAT'!E115,'Comext mensuel - EUROSTAT'!G115,'Comext mensuel - EUROSTAT'!I115,'Comext mensuel - EUROSTAT'!K115,'Comext mensuel - EUROSTAT'!M115,'Comext mensuel - EUROSTAT'!O115,'Comext mensuel - EUROSTAT'!Q115,'Comext mensuel - EUROSTAT'!S115,'Comext mensuel - EUROSTAT'!U115,'Comext mensuel - EUROSTAT'!W115,'Comext mensuel - EUROSTAT'!Y115)/10^4</f>
        <v>3.7899999999999994E-4</v>
      </c>
      <c r="F93" s="908">
        <f>SUM('Comext mensuel - EUROSTAT'!Z115,'Comext mensuel - EUROSTAT'!AB115,'Comext mensuel - EUROSTAT'!AD115,'Comext mensuel - EUROSTAT'!AF115,'Comext mensuel - EUROSTAT'!AH115,'Comext mensuel - EUROSTAT'!AJ115,'Comext mensuel - EUROSTAT'!AL115,'Comext mensuel - EUROSTAT'!AN115,'Comext mensuel - EUROSTAT'!AP115,'Comext mensuel - EUROSTAT'!AR115,'Comext mensuel - EUROSTAT'!AT115,'Comext mensuel - EUROSTAT'!AV115)/10^4</f>
        <v>2.3261999999999994E-2</v>
      </c>
      <c r="G93" s="908">
        <f>SUM('Comext mensuel - EUROSTAT'!AA115,'Comext mensuel - EUROSTAT'!AC115,'Comext mensuel - EUROSTAT'!AE115,'Comext mensuel - EUROSTAT'!AG115,'Comext mensuel - EUROSTAT'!AI115,'Comext mensuel - EUROSTAT'!AK115,'Comext mensuel - EUROSTAT'!AM115,'Comext mensuel - EUROSTAT'!AO115,'Comext mensuel - EUROSTAT'!AQ115,'Comext mensuel - EUROSTAT'!AS115,'Comext mensuel - EUROSTAT'!AU115,'Comext mensuel - EUROSTAT'!AW115)/10^4</f>
        <v>2.3701999999999997E-2</v>
      </c>
      <c r="H93" s="908">
        <f>SUM('Comext mensuel - EUROSTAT'!AX115,'Comext mensuel - EUROSTAT'!AZ115,'Comext mensuel - EUROSTAT'!BB115,'Comext mensuel - EUROSTAT'!BD115,'Comext mensuel - EUROSTAT'!BF115,'Comext mensuel - EUROSTAT'!BH115,'Comext mensuel - EUROSTAT'!BJ115,'Comext mensuel - EUROSTAT'!BL115,'Comext mensuel - EUROSTAT'!BN115,'Comext mensuel - EUROSTAT'!BP115,'Comext mensuel - EUROSTAT'!BR115,'Comext mensuel - EUROSTAT'!BT115)/10^4</f>
        <v>35.386471</v>
      </c>
      <c r="I93" s="908">
        <f>SUM('Comext mensuel - EUROSTAT'!AY115,'Comext mensuel - EUROSTAT'!BA115,'Comext mensuel - EUROSTAT'!BC115,'Comext mensuel - EUROSTAT'!BE115,'Comext mensuel - EUROSTAT'!BG115,'Comext mensuel - EUROSTAT'!BI115,'Comext mensuel - EUROSTAT'!BK115,'Comext mensuel - EUROSTAT'!BM115,'Comext mensuel - EUROSTAT'!BO115,'Comext mensuel - EUROSTAT'!BQ115,'Comext mensuel - EUROSTAT'!BS115,'Comext mensuel - EUROSTAT'!BU115)/10^4</f>
        <v>1.2740000000000002E-3</v>
      </c>
      <c r="J93" s="911">
        <f>'Comext annuel - EUROSTAT'!C136/10^4</f>
        <v>5.5749E-2</v>
      </c>
      <c r="K93" s="911">
        <f>'Comext annuel - EUROSTAT'!D136/10^4</f>
        <v>5.3799999999999996E-4</v>
      </c>
      <c r="L93" s="911">
        <f>'Comext annuel - EUROSTAT'!E136/10^4</f>
        <v>2.0930000000000001E-2</v>
      </c>
      <c r="M93" s="911">
        <f>'Comext annuel - EUROSTAT'!F136/10^4</f>
        <v>3.0083999999999996E-2</v>
      </c>
      <c r="N93" s="911">
        <f>'Comext annuel - EUROSTAT'!G136/10^4</f>
        <v>38.752119999999998</v>
      </c>
      <c r="O93" s="911">
        <f>'Comext annuel - EUROSTAT'!H136/10^4</f>
        <v>4.3099999999999996E-4</v>
      </c>
    </row>
    <row r="94" spans="1:15">
      <c r="A94" t="s">
        <v>1040</v>
      </c>
      <c r="B94" s="1027"/>
      <c r="C94" t="str">
        <f>'Comext mensuel - EUROSTAT'!A116</f>
        <v>Huile de ricin et ses fractions, même raffinées, mais non chimiquement modifiées (à l'excl. de l'huile destinée à la production de l'acide amino-undécanoïque pour la fabrication soit de fibres synthétiques, soit de matières plastiques)</v>
      </c>
      <c r="D94" s="908">
        <f>SUM('Comext mensuel - EUROSTAT'!B116,'Comext mensuel - EUROSTAT'!D116,'Comext mensuel - EUROSTAT'!F116,'Comext mensuel - EUROSTAT'!H116,'Comext mensuel - EUROSTAT'!J116,'Comext mensuel - EUROSTAT'!L116,'Comext mensuel - EUROSTAT'!N116,'Comext mensuel - EUROSTAT'!P116,'Comext mensuel - EUROSTAT'!R116,'Comext mensuel - EUROSTAT'!T116,'Comext mensuel - EUROSTAT'!V116,'Comext mensuel - EUROSTAT'!X116)/10^4</f>
        <v>66.62089499999999</v>
      </c>
      <c r="E94" s="908">
        <f>SUM('Comext mensuel - EUROSTAT'!C116,'Comext mensuel - EUROSTAT'!E116,'Comext mensuel - EUROSTAT'!G116,'Comext mensuel - EUROSTAT'!I116,'Comext mensuel - EUROSTAT'!K116,'Comext mensuel - EUROSTAT'!M116,'Comext mensuel - EUROSTAT'!O116,'Comext mensuel - EUROSTAT'!Q116,'Comext mensuel - EUROSTAT'!S116,'Comext mensuel - EUROSTAT'!U116,'Comext mensuel - EUROSTAT'!W116,'Comext mensuel - EUROSTAT'!Y116)/10^4</f>
        <v>16.799305000000004</v>
      </c>
      <c r="F94" s="908">
        <f>SUM('Comext mensuel - EUROSTAT'!Z116,'Comext mensuel - EUROSTAT'!AB116,'Comext mensuel - EUROSTAT'!AD116,'Comext mensuel - EUROSTAT'!AF116,'Comext mensuel - EUROSTAT'!AH116,'Comext mensuel - EUROSTAT'!AJ116,'Comext mensuel - EUROSTAT'!AL116,'Comext mensuel - EUROSTAT'!AN116,'Comext mensuel - EUROSTAT'!AP116,'Comext mensuel - EUROSTAT'!AR116,'Comext mensuel - EUROSTAT'!AT116,'Comext mensuel - EUROSTAT'!AV116)/10^4</f>
        <v>62.08521799999999</v>
      </c>
      <c r="G94" s="908">
        <f>SUM('Comext mensuel - EUROSTAT'!AA116,'Comext mensuel - EUROSTAT'!AC116,'Comext mensuel - EUROSTAT'!AE116,'Comext mensuel - EUROSTAT'!AG116,'Comext mensuel - EUROSTAT'!AI116,'Comext mensuel - EUROSTAT'!AK116,'Comext mensuel - EUROSTAT'!AM116,'Comext mensuel - EUROSTAT'!AO116,'Comext mensuel - EUROSTAT'!AQ116,'Comext mensuel - EUROSTAT'!AS116,'Comext mensuel - EUROSTAT'!AU116,'Comext mensuel - EUROSTAT'!AW116)/10^4</f>
        <v>19.679168000000001</v>
      </c>
      <c r="H94" s="908">
        <f>SUM('Comext mensuel - EUROSTAT'!AX116,'Comext mensuel - EUROSTAT'!AZ116,'Comext mensuel - EUROSTAT'!BB116,'Comext mensuel - EUROSTAT'!BD116,'Comext mensuel - EUROSTAT'!BF116,'Comext mensuel - EUROSTAT'!BH116,'Comext mensuel - EUROSTAT'!BJ116,'Comext mensuel - EUROSTAT'!BL116,'Comext mensuel - EUROSTAT'!BN116,'Comext mensuel - EUROSTAT'!BP116,'Comext mensuel - EUROSTAT'!BR116,'Comext mensuel - EUROSTAT'!BT116)/10^4</f>
        <v>16.111336999999999</v>
      </c>
      <c r="I94" s="908">
        <f>SUM('Comext mensuel - EUROSTAT'!AY116,'Comext mensuel - EUROSTAT'!BA116,'Comext mensuel - EUROSTAT'!BC116,'Comext mensuel - EUROSTAT'!BE116,'Comext mensuel - EUROSTAT'!BG116,'Comext mensuel - EUROSTAT'!BI116,'Comext mensuel - EUROSTAT'!BK116,'Comext mensuel - EUROSTAT'!BM116,'Comext mensuel - EUROSTAT'!BO116,'Comext mensuel - EUROSTAT'!BQ116,'Comext mensuel - EUROSTAT'!BS116,'Comext mensuel - EUROSTAT'!BU116)/10^4</f>
        <v>12.932193999999999</v>
      </c>
      <c r="J94" s="911">
        <f>'Comext annuel - EUROSTAT'!C137/10^4</f>
        <v>67.660297</v>
      </c>
      <c r="K94" s="911">
        <f>'Comext annuel - EUROSTAT'!D137/10^4</f>
        <v>17.931851000000002</v>
      </c>
      <c r="L94" s="911">
        <f>'Comext annuel - EUROSTAT'!E137/10^4</f>
        <v>56.354728000000001</v>
      </c>
      <c r="M94" s="911">
        <f>'Comext annuel - EUROSTAT'!F137/10^4</f>
        <v>14.766482</v>
      </c>
      <c r="N94" s="911">
        <f>'Comext annuel - EUROSTAT'!G137/10^4</f>
        <v>18.741738000000002</v>
      </c>
      <c r="O94" s="911">
        <f>'Comext annuel - EUROSTAT'!H137/10^4</f>
        <v>14.982332000000001</v>
      </c>
    </row>
    <row r="95" spans="1:15">
      <c r="A95" t="s">
        <v>1041</v>
      </c>
      <c r="B95" s="1027"/>
      <c r="C95" t="str">
        <f>'Comext mensuel - EUROSTAT'!A118</f>
        <v>Huile de sésame, brute, destinée à des usages techniques ou industriels (autres que la fabrication de produits pour l'alimentation humaine)</v>
      </c>
      <c r="D95" s="908">
        <f>SUM('Comext mensuel - EUROSTAT'!B118,'Comext mensuel - EUROSTAT'!D118,'Comext mensuel - EUROSTAT'!F118,'Comext mensuel - EUROSTAT'!H118,'Comext mensuel - EUROSTAT'!J118,'Comext mensuel - EUROSTAT'!L118,'Comext mensuel - EUROSTAT'!N118,'Comext mensuel - EUROSTAT'!P118,'Comext mensuel - EUROSTAT'!R118,'Comext mensuel - EUROSTAT'!T118,'Comext mensuel - EUROSTAT'!V118,'Comext mensuel - EUROSTAT'!X118)/10^4</f>
        <v>6.0219000000000009E-2</v>
      </c>
      <c r="E95" s="908">
        <f>SUM('Comext mensuel - EUROSTAT'!C118,'Comext mensuel - EUROSTAT'!E118,'Comext mensuel - EUROSTAT'!G118,'Comext mensuel - EUROSTAT'!I118,'Comext mensuel - EUROSTAT'!K118,'Comext mensuel - EUROSTAT'!M118,'Comext mensuel - EUROSTAT'!O118,'Comext mensuel - EUROSTAT'!Q118,'Comext mensuel - EUROSTAT'!S118,'Comext mensuel - EUROSTAT'!U118,'Comext mensuel - EUROSTAT'!W118,'Comext mensuel - EUROSTAT'!Y118)/10^4</f>
        <v>0.15411399999999997</v>
      </c>
      <c r="F95" s="908">
        <f>SUM('Comext mensuel - EUROSTAT'!Z118,'Comext mensuel - EUROSTAT'!AB118,'Comext mensuel - EUROSTAT'!AD118,'Comext mensuel - EUROSTAT'!AF118,'Comext mensuel - EUROSTAT'!AH118,'Comext mensuel - EUROSTAT'!AJ118,'Comext mensuel - EUROSTAT'!AL118,'Comext mensuel - EUROSTAT'!AN118,'Comext mensuel - EUROSTAT'!AP118,'Comext mensuel - EUROSTAT'!AR118,'Comext mensuel - EUROSTAT'!AT118,'Comext mensuel - EUROSTAT'!AV118)/10^4</f>
        <v>6.6962999999999995E-2</v>
      </c>
      <c r="G95" s="908">
        <f>SUM('Comext mensuel - EUROSTAT'!AA118,'Comext mensuel - EUROSTAT'!AC118,'Comext mensuel - EUROSTAT'!AE118,'Comext mensuel - EUROSTAT'!AG118,'Comext mensuel - EUROSTAT'!AI118,'Comext mensuel - EUROSTAT'!AK118,'Comext mensuel - EUROSTAT'!AM118,'Comext mensuel - EUROSTAT'!AO118,'Comext mensuel - EUROSTAT'!AQ118,'Comext mensuel - EUROSTAT'!AS118,'Comext mensuel - EUROSTAT'!AU118,'Comext mensuel - EUROSTAT'!AW118)/10^4</f>
        <v>2.3408999999999996E-2</v>
      </c>
      <c r="H95" s="908">
        <f>SUM('Comext mensuel - EUROSTAT'!AX118,'Comext mensuel - EUROSTAT'!AZ118,'Comext mensuel - EUROSTAT'!BB118,'Comext mensuel - EUROSTAT'!BD118,'Comext mensuel - EUROSTAT'!BF118,'Comext mensuel - EUROSTAT'!BH118,'Comext mensuel - EUROSTAT'!BJ118,'Comext mensuel - EUROSTAT'!BL118,'Comext mensuel - EUROSTAT'!BN118,'Comext mensuel - EUROSTAT'!BP118,'Comext mensuel - EUROSTAT'!BR118,'Comext mensuel - EUROSTAT'!BT118)/10^4</f>
        <v>3.1552999999999998E-2</v>
      </c>
      <c r="I95" s="908">
        <f>SUM('Comext mensuel - EUROSTAT'!AY118,'Comext mensuel - EUROSTAT'!BA118,'Comext mensuel - EUROSTAT'!BC118,'Comext mensuel - EUROSTAT'!BE118,'Comext mensuel - EUROSTAT'!BG118,'Comext mensuel - EUROSTAT'!BI118,'Comext mensuel - EUROSTAT'!BK118,'Comext mensuel - EUROSTAT'!BM118,'Comext mensuel - EUROSTAT'!BO118,'Comext mensuel - EUROSTAT'!BQ118,'Comext mensuel - EUROSTAT'!BS118,'Comext mensuel - EUROSTAT'!BU118)/10^4</f>
        <v>3.2333000000000001E-2</v>
      </c>
      <c r="J95" s="911">
        <f>'Comext annuel - EUROSTAT'!C139/10^4</f>
        <v>5.6938000000000002E-2</v>
      </c>
      <c r="K95" s="911">
        <f>'Comext annuel - EUROSTAT'!D139/10^4</f>
        <v>0.14241600000000001</v>
      </c>
      <c r="L95" s="911">
        <f>'Comext annuel - EUROSTAT'!E139/10^4</f>
        <v>5.3408000000000004E-2</v>
      </c>
      <c r="M95" s="911">
        <f>'Comext annuel - EUROSTAT'!F139/10^4</f>
        <v>1.8251E-2</v>
      </c>
      <c r="N95" s="911">
        <f>'Comext annuel - EUROSTAT'!G139/10^4</f>
        <v>0.11596099999999999</v>
      </c>
      <c r="O95" s="911">
        <f>'Comext annuel - EUROSTAT'!H139/10^4</f>
        <v>2.2308000000000001E-2</v>
      </c>
    </row>
    <row r="96" spans="1:15">
      <c r="A96" t="s">
        <v>1041</v>
      </c>
      <c r="B96" s="1027"/>
      <c r="C96" t="str">
        <f>'Comext mensuel - EUROSTAT'!A119</f>
        <v>Huile de sésame, brute (à l'excl. de l'huile destinée à des usages techniques ou industriels)</v>
      </c>
      <c r="D96" s="908">
        <f>SUM('Comext mensuel - EUROSTAT'!B119,'Comext mensuel - EUROSTAT'!D119,'Comext mensuel - EUROSTAT'!F119,'Comext mensuel - EUROSTAT'!H119,'Comext mensuel - EUROSTAT'!J119,'Comext mensuel - EUROSTAT'!L119,'Comext mensuel - EUROSTAT'!N119,'Comext mensuel - EUROSTAT'!P119,'Comext mensuel - EUROSTAT'!R119,'Comext mensuel - EUROSTAT'!T119,'Comext mensuel - EUROSTAT'!V119,'Comext mensuel - EUROSTAT'!X119)/10^4</f>
        <v>0.43977899999999998</v>
      </c>
      <c r="E96" s="908">
        <f>SUM('Comext mensuel - EUROSTAT'!C119,'Comext mensuel - EUROSTAT'!E119,'Comext mensuel - EUROSTAT'!G119,'Comext mensuel - EUROSTAT'!I119,'Comext mensuel - EUROSTAT'!K119,'Comext mensuel - EUROSTAT'!M119,'Comext mensuel - EUROSTAT'!O119,'Comext mensuel - EUROSTAT'!Q119,'Comext mensuel - EUROSTAT'!S119,'Comext mensuel - EUROSTAT'!U119,'Comext mensuel - EUROSTAT'!W119,'Comext mensuel - EUROSTAT'!Y119)/10^4</f>
        <v>0.23146</v>
      </c>
      <c r="F96" s="908">
        <f>SUM('Comext mensuel - EUROSTAT'!Z119,'Comext mensuel - EUROSTAT'!AB119,'Comext mensuel - EUROSTAT'!AD119,'Comext mensuel - EUROSTAT'!AF119,'Comext mensuel - EUROSTAT'!AH119,'Comext mensuel - EUROSTAT'!AJ119,'Comext mensuel - EUROSTAT'!AL119,'Comext mensuel - EUROSTAT'!AN119,'Comext mensuel - EUROSTAT'!AP119,'Comext mensuel - EUROSTAT'!AR119,'Comext mensuel - EUROSTAT'!AT119,'Comext mensuel - EUROSTAT'!AV119)/10^4</f>
        <v>0.80647999999999997</v>
      </c>
      <c r="G96" s="908">
        <f>SUM('Comext mensuel - EUROSTAT'!AA119,'Comext mensuel - EUROSTAT'!AC119,'Comext mensuel - EUROSTAT'!AE119,'Comext mensuel - EUROSTAT'!AG119,'Comext mensuel - EUROSTAT'!AI119,'Comext mensuel - EUROSTAT'!AK119,'Comext mensuel - EUROSTAT'!AM119,'Comext mensuel - EUROSTAT'!AO119,'Comext mensuel - EUROSTAT'!AQ119,'Comext mensuel - EUROSTAT'!AS119,'Comext mensuel - EUROSTAT'!AU119,'Comext mensuel - EUROSTAT'!AW119)/10^4</f>
        <v>0.267928</v>
      </c>
      <c r="H96" s="908">
        <f>SUM('Comext mensuel - EUROSTAT'!AX119,'Comext mensuel - EUROSTAT'!AZ119,'Comext mensuel - EUROSTAT'!BB119,'Comext mensuel - EUROSTAT'!BD119,'Comext mensuel - EUROSTAT'!BF119,'Comext mensuel - EUROSTAT'!BH119,'Comext mensuel - EUROSTAT'!BJ119,'Comext mensuel - EUROSTAT'!BL119,'Comext mensuel - EUROSTAT'!BN119,'Comext mensuel - EUROSTAT'!BP119,'Comext mensuel - EUROSTAT'!BR119,'Comext mensuel - EUROSTAT'!BT119)/10^4</f>
        <v>1.0484449999999998</v>
      </c>
      <c r="I96" s="908">
        <f>SUM('Comext mensuel - EUROSTAT'!AY119,'Comext mensuel - EUROSTAT'!BA119,'Comext mensuel - EUROSTAT'!BC119,'Comext mensuel - EUROSTAT'!BE119,'Comext mensuel - EUROSTAT'!BG119,'Comext mensuel - EUROSTAT'!BI119,'Comext mensuel - EUROSTAT'!BK119,'Comext mensuel - EUROSTAT'!BM119,'Comext mensuel - EUROSTAT'!BO119,'Comext mensuel - EUROSTAT'!BQ119,'Comext mensuel - EUROSTAT'!BS119,'Comext mensuel - EUROSTAT'!BU119)/10^4</f>
        <v>0.24338999999999997</v>
      </c>
      <c r="J96" s="911">
        <f>'Comext annuel - EUROSTAT'!C140/10^4</f>
        <v>0.36605900000000002</v>
      </c>
      <c r="K96" s="911">
        <f>'Comext annuel - EUROSTAT'!D140/10^4</f>
        <v>0.21560799999999999</v>
      </c>
      <c r="L96" s="911">
        <f>'Comext annuel - EUROSTAT'!E140/10^4</f>
        <v>0.89265899999999998</v>
      </c>
      <c r="M96" s="911">
        <f>'Comext annuel - EUROSTAT'!F140/10^4</f>
        <v>0.32831100000000002</v>
      </c>
      <c r="N96" s="911">
        <f>'Comext annuel - EUROSTAT'!G140/10^4</f>
        <v>1.4357899999999999</v>
      </c>
      <c r="O96" s="911">
        <f>'Comext annuel - EUROSTAT'!H140/10^4</f>
        <v>0.198408</v>
      </c>
    </row>
    <row r="97" spans="1:15">
      <c r="A97" t="s">
        <v>1042</v>
      </c>
      <c r="B97" s="1027"/>
      <c r="C97" t="str">
        <f>'Comext mensuel - EUROSTAT'!A120</f>
        <v>Huile de sésame et ses fractions, même raffinées, mais non chimiquement modifiées, destinées à des usages techniques ou industriels (à l'excl. de l'huile brute)</v>
      </c>
      <c r="D97" s="908">
        <f>SUM('Comext mensuel - EUROSTAT'!B120,'Comext mensuel - EUROSTAT'!D120,'Comext mensuel - EUROSTAT'!F120,'Comext mensuel - EUROSTAT'!H120,'Comext mensuel - EUROSTAT'!J120,'Comext mensuel - EUROSTAT'!L120,'Comext mensuel - EUROSTAT'!N120,'Comext mensuel - EUROSTAT'!P120,'Comext mensuel - EUROSTAT'!R120,'Comext mensuel - EUROSTAT'!T120,'Comext mensuel - EUROSTAT'!V120,'Comext mensuel - EUROSTAT'!X120)/10^4</f>
        <v>0.4761470000000001</v>
      </c>
      <c r="E97" s="908">
        <f>SUM('Comext mensuel - EUROSTAT'!C120,'Comext mensuel - EUROSTAT'!E120,'Comext mensuel - EUROSTAT'!G120,'Comext mensuel - EUROSTAT'!I120,'Comext mensuel - EUROSTAT'!K120,'Comext mensuel - EUROSTAT'!M120,'Comext mensuel - EUROSTAT'!O120,'Comext mensuel - EUROSTAT'!Q120,'Comext mensuel - EUROSTAT'!S120,'Comext mensuel - EUROSTAT'!U120,'Comext mensuel - EUROSTAT'!W120,'Comext mensuel - EUROSTAT'!Y120)/10^4</f>
        <v>0.118828</v>
      </c>
      <c r="F97" s="908">
        <f>SUM('Comext mensuel - EUROSTAT'!Z120,'Comext mensuel - EUROSTAT'!AB120,'Comext mensuel - EUROSTAT'!AD120,'Comext mensuel - EUROSTAT'!AF120,'Comext mensuel - EUROSTAT'!AH120,'Comext mensuel - EUROSTAT'!AJ120,'Comext mensuel - EUROSTAT'!AL120,'Comext mensuel - EUROSTAT'!AN120,'Comext mensuel - EUROSTAT'!AP120,'Comext mensuel - EUROSTAT'!AR120,'Comext mensuel - EUROSTAT'!AT120,'Comext mensuel - EUROSTAT'!AV120)/10^4</f>
        <v>0.48857899999999999</v>
      </c>
      <c r="G97" s="908">
        <f>SUM('Comext mensuel - EUROSTAT'!AA120,'Comext mensuel - EUROSTAT'!AC120,'Comext mensuel - EUROSTAT'!AE120,'Comext mensuel - EUROSTAT'!AG120,'Comext mensuel - EUROSTAT'!AI120,'Comext mensuel - EUROSTAT'!AK120,'Comext mensuel - EUROSTAT'!AM120,'Comext mensuel - EUROSTAT'!AO120,'Comext mensuel - EUROSTAT'!AQ120,'Comext mensuel - EUROSTAT'!AS120,'Comext mensuel - EUROSTAT'!AU120,'Comext mensuel - EUROSTAT'!AW120)/10^4</f>
        <v>0.16400000000000003</v>
      </c>
      <c r="H97" s="908">
        <f>SUM('Comext mensuel - EUROSTAT'!AX120,'Comext mensuel - EUROSTAT'!AZ120,'Comext mensuel - EUROSTAT'!BB120,'Comext mensuel - EUROSTAT'!BD120,'Comext mensuel - EUROSTAT'!BF120,'Comext mensuel - EUROSTAT'!BH120,'Comext mensuel - EUROSTAT'!BJ120,'Comext mensuel - EUROSTAT'!BL120,'Comext mensuel - EUROSTAT'!BN120,'Comext mensuel - EUROSTAT'!BP120,'Comext mensuel - EUROSTAT'!BR120,'Comext mensuel - EUROSTAT'!BT120)/10^4</f>
        <v>0.80369899999999994</v>
      </c>
      <c r="I97" s="908">
        <f>SUM('Comext mensuel - EUROSTAT'!AY120,'Comext mensuel - EUROSTAT'!BA120,'Comext mensuel - EUROSTAT'!BC120,'Comext mensuel - EUROSTAT'!BE120,'Comext mensuel - EUROSTAT'!BG120,'Comext mensuel - EUROSTAT'!BI120,'Comext mensuel - EUROSTAT'!BK120,'Comext mensuel - EUROSTAT'!BM120,'Comext mensuel - EUROSTAT'!BO120,'Comext mensuel - EUROSTAT'!BQ120,'Comext mensuel - EUROSTAT'!BS120,'Comext mensuel - EUROSTAT'!BU120)/10^4</f>
        <v>0.33269399999999993</v>
      </c>
      <c r="J97" s="911">
        <f>'Comext annuel - EUROSTAT'!C141/10^4</f>
        <v>0.50751400000000002</v>
      </c>
      <c r="K97" s="911">
        <f>'Comext annuel - EUROSTAT'!D141/10^4</f>
        <v>0.12131500000000001</v>
      </c>
      <c r="L97" s="911">
        <f>'Comext annuel - EUROSTAT'!E141/10^4</f>
        <v>0.337088</v>
      </c>
      <c r="M97" s="911">
        <f>'Comext annuel - EUROSTAT'!F141/10^4</f>
        <v>0.11116600000000001</v>
      </c>
      <c r="N97" s="911">
        <f>'Comext annuel - EUROSTAT'!G141/10^4</f>
        <v>1.0091570000000001</v>
      </c>
      <c r="O97" s="911">
        <f>'Comext annuel - EUROSTAT'!H141/10^4</f>
        <v>0.15323900000000001</v>
      </c>
    </row>
    <row r="98" spans="1:15">
      <c r="A98" t="s">
        <v>1042</v>
      </c>
      <c r="B98" s="1027"/>
      <c r="C98" t="str">
        <f>'Comext mensuel - EUROSTAT'!A121</f>
        <v>Huile de sésame et ses fractions, même raffinées, mais non chimiquement modifiées (à l'excl. de l'huile brute et de l'huile destinée à des usages techniques ou industriels)</v>
      </c>
      <c r="D98" s="908">
        <f>SUM('Comext mensuel - EUROSTAT'!B121,'Comext mensuel - EUROSTAT'!D121,'Comext mensuel - EUROSTAT'!F121,'Comext mensuel - EUROSTAT'!H121,'Comext mensuel - EUROSTAT'!J121,'Comext mensuel - EUROSTAT'!L121,'Comext mensuel - EUROSTAT'!N121,'Comext mensuel - EUROSTAT'!P121,'Comext mensuel - EUROSTAT'!R121,'Comext mensuel - EUROSTAT'!T121,'Comext mensuel - EUROSTAT'!V121,'Comext mensuel - EUROSTAT'!X121)/10^4</f>
        <v>0.74142900000000012</v>
      </c>
      <c r="E98" s="908">
        <f>SUM('Comext mensuel - EUROSTAT'!C121,'Comext mensuel - EUROSTAT'!E121,'Comext mensuel - EUROSTAT'!G121,'Comext mensuel - EUROSTAT'!I121,'Comext mensuel - EUROSTAT'!K121,'Comext mensuel - EUROSTAT'!M121,'Comext mensuel - EUROSTAT'!O121,'Comext mensuel - EUROSTAT'!Q121,'Comext mensuel - EUROSTAT'!S121,'Comext mensuel - EUROSTAT'!U121,'Comext mensuel - EUROSTAT'!W121,'Comext mensuel - EUROSTAT'!Y121)/10^4</f>
        <v>0.50475200000000009</v>
      </c>
      <c r="F98" s="908">
        <f>SUM('Comext mensuel - EUROSTAT'!Z121,'Comext mensuel - EUROSTAT'!AB121,'Comext mensuel - EUROSTAT'!AD121,'Comext mensuel - EUROSTAT'!AF121,'Comext mensuel - EUROSTAT'!AH121,'Comext mensuel - EUROSTAT'!AJ121,'Comext mensuel - EUROSTAT'!AL121,'Comext mensuel - EUROSTAT'!AN121,'Comext mensuel - EUROSTAT'!AP121,'Comext mensuel - EUROSTAT'!AR121,'Comext mensuel - EUROSTAT'!AT121,'Comext mensuel - EUROSTAT'!AV121)/10^4</f>
        <v>1.08707</v>
      </c>
      <c r="G98" s="908">
        <f>SUM('Comext mensuel - EUROSTAT'!AA121,'Comext mensuel - EUROSTAT'!AC121,'Comext mensuel - EUROSTAT'!AE121,'Comext mensuel - EUROSTAT'!AG121,'Comext mensuel - EUROSTAT'!AI121,'Comext mensuel - EUROSTAT'!AK121,'Comext mensuel - EUROSTAT'!AM121,'Comext mensuel - EUROSTAT'!AO121,'Comext mensuel - EUROSTAT'!AQ121,'Comext mensuel - EUROSTAT'!AS121,'Comext mensuel - EUROSTAT'!AU121,'Comext mensuel - EUROSTAT'!AW121)/10^4</f>
        <v>0.45733400000000002</v>
      </c>
      <c r="H98" s="908">
        <f>SUM('Comext mensuel - EUROSTAT'!AX121,'Comext mensuel - EUROSTAT'!AZ121,'Comext mensuel - EUROSTAT'!BB121,'Comext mensuel - EUROSTAT'!BD121,'Comext mensuel - EUROSTAT'!BF121,'Comext mensuel - EUROSTAT'!BH121,'Comext mensuel - EUROSTAT'!BJ121,'Comext mensuel - EUROSTAT'!BL121,'Comext mensuel - EUROSTAT'!BN121,'Comext mensuel - EUROSTAT'!BP121,'Comext mensuel - EUROSTAT'!BR121,'Comext mensuel - EUROSTAT'!BT121)/10^4</f>
        <v>1.0967470000000001</v>
      </c>
      <c r="I98" s="908">
        <f>SUM('Comext mensuel - EUROSTAT'!AY121,'Comext mensuel - EUROSTAT'!BA121,'Comext mensuel - EUROSTAT'!BC121,'Comext mensuel - EUROSTAT'!BE121,'Comext mensuel - EUROSTAT'!BG121,'Comext mensuel - EUROSTAT'!BI121,'Comext mensuel - EUROSTAT'!BK121,'Comext mensuel - EUROSTAT'!BM121,'Comext mensuel - EUROSTAT'!BO121,'Comext mensuel - EUROSTAT'!BQ121,'Comext mensuel - EUROSTAT'!BS121,'Comext mensuel - EUROSTAT'!BU121)/10^4</f>
        <v>0.33397100000000002</v>
      </c>
      <c r="J98" s="911">
        <f>'Comext annuel - EUROSTAT'!C142/10^4</f>
        <v>0.77557100000000001</v>
      </c>
      <c r="K98" s="911">
        <f>'Comext annuel - EUROSTAT'!D142/10^4</f>
        <v>0.44690400000000002</v>
      </c>
      <c r="L98" s="911">
        <f>'Comext annuel - EUROSTAT'!E142/10^4</f>
        <v>1.0337700000000001</v>
      </c>
      <c r="M98" s="911">
        <f>'Comext annuel - EUROSTAT'!F142/10^4</f>
        <v>0.37285600000000002</v>
      </c>
      <c r="N98" s="911">
        <f>'Comext annuel - EUROSTAT'!G142/10^4</f>
        <v>1.1781549999999998</v>
      </c>
      <c r="O98" s="911">
        <f>'Comext annuel - EUROSTAT'!H142/10^4</f>
        <v>0.31962800000000002</v>
      </c>
    </row>
    <row r="99" spans="1:15">
      <c r="B99" s="1027"/>
      <c r="C99" t="str">
        <f>'Comext mensuel - EUROSTAT'!A124</f>
        <v>Huiles brutes d’origine microbienne, destinées à des usages techniques ou industriels (autres que la fabrication de denrées alimentaires)</v>
      </c>
      <c r="D99" s="908">
        <f>SUM('Comext mensuel - EUROSTAT'!B124,'Comext mensuel - EUROSTAT'!D124,'Comext mensuel - EUROSTAT'!F124,'Comext mensuel - EUROSTAT'!H124,'Comext mensuel - EUROSTAT'!J124,'Comext mensuel - EUROSTAT'!L124,'Comext mensuel - EUROSTAT'!N124,'Comext mensuel - EUROSTAT'!P124,'Comext mensuel - EUROSTAT'!R124,'Comext mensuel - EUROSTAT'!T124,'Comext mensuel - EUROSTAT'!V124,'Comext mensuel - EUROSTAT'!X124)/10^4</f>
        <v>0</v>
      </c>
      <c r="E99" s="908">
        <f>SUM('Comext mensuel - EUROSTAT'!C124,'Comext mensuel - EUROSTAT'!E124,'Comext mensuel - EUROSTAT'!G124,'Comext mensuel - EUROSTAT'!I124,'Comext mensuel - EUROSTAT'!K124,'Comext mensuel - EUROSTAT'!M124,'Comext mensuel - EUROSTAT'!O124,'Comext mensuel - EUROSTAT'!Q124,'Comext mensuel - EUROSTAT'!S124,'Comext mensuel - EUROSTAT'!U124,'Comext mensuel - EUROSTAT'!W124,'Comext mensuel - EUROSTAT'!Y124)/10^4</f>
        <v>0</v>
      </c>
      <c r="F99" s="908">
        <f>SUM('Comext mensuel - EUROSTAT'!Z124,'Comext mensuel - EUROSTAT'!AB124,'Comext mensuel - EUROSTAT'!AD124,'Comext mensuel - EUROSTAT'!AF124,'Comext mensuel - EUROSTAT'!AH124,'Comext mensuel - EUROSTAT'!AJ124,'Comext mensuel - EUROSTAT'!AL124,'Comext mensuel - EUROSTAT'!AN124,'Comext mensuel - EUROSTAT'!AP124,'Comext mensuel - EUROSTAT'!AR124,'Comext mensuel - EUROSTAT'!AT124,'Comext mensuel - EUROSTAT'!AV124)/10^4</f>
        <v>0</v>
      </c>
      <c r="G99" s="908">
        <f>SUM('Comext mensuel - EUROSTAT'!AA124,'Comext mensuel - EUROSTAT'!AC124,'Comext mensuel - EUROSTAT'!AE124,'Comext mensuel - EUROSTAT'!AG124,'Comext mensuel - EUROSTAT'!AI124,'Comext mensuel - EUROSTAT'!AK124,'Comext mensuel - EUROSTAT'!AM124,'Comext mensuel - EUROSTAT'!AO124,'Comext mensuel - EUROSTAT'!AQ124,'Comext mensuel - EUROSTAT'!AS124,'Comext mensuel - EUROSTAT'!AU124,'Comext mensuel - EUROSTAT'!AW124)/10^4</f>
        <v>0</v>
      </c>
      <c r="H99" s="908">
        <f>SUM('Comext mensuel - EUROSTAT'!AX124,'Comext mensuel - EUROSTAT'!AZ124,'Comext mensuel - EUROSTAT'!BB124,'Comext mensuel - EUROSTAT'!BD124,'Comext mensuel - EUROSTAT'!BF124,'Comext mensuel - EUROSTAT'!BH124,'Comext mensuel - EUROSTAT'!BJ124,'Comext mensuel - EUROSTAT'!BL124,'Comext mensuel - EUROSTAT'!BN124,'Comext mensuel - EUROSTAT'!BP124,'Comext mensuel - EUROSTAT'!BR124,'Comext mensuel - EUROSTAT'!BT124)/10^4</f>
        <v>1.4000000000000001E-5</v>
      </c>
      <c r="I99" s="908">
        <f>SUM('Comext mensuel - EUROSTAT'!AY124,'Comext mensuel - EUROSTAT'!BA124,'Comext mensuel - EUROSTAT'!BC124,'Comext mensuel - EUROSTAT'!BE124,'Comext mensuel - EUROSTAT'!BG124,'Comext mensuel - EUROSTAT'!BI124,'Comext mensuel - EUROSTAT'!BK124,'Comext mensuel - EUROSTAT'!BM124,'Comext mensuel - EUROSTAT'!BO124,'Comext mensuel - EUROSTAT'!BQ124,'Comext mensuel - EUROSTAT'!BS124,'Comext mensuel - EUROSTAT'!BU124)/10^4</f>
        <v>6.8999999999999997E-5</v>
      </c>
      <c r="J99" s="911" t="e">
        <f>'Comext annuel - EUROSTAT'!C145/10^4</f>
        <v>#VALUE!</v>
      </c>
      <c r="K99" s="911" t="e">
        <f>'Comext annuel - EUROSTAT'!D145/10^4</f>
        <v>#VALUE!</v>
      </c>
      <c r="L99" s="911" t="e">
        <f>'Comext annuel - EUROSTAT'!E145/10^4</f>
        <v>#VALUE!</v>
      </c>
      <c r="M99" s="911" t="e">
        <f>'Comext annuel - EUROSTAT'!F145/10^4</f>
        <v>#VALUE!</v>
      </c>
      <c r="N99" s="911">
        <f>'Comext annuel - EUROSTAT'!G145/10^4</f>
        <v>1.838E-3</v>
      </c>
      <c r="O99" s="911">
        <f>'Comext annuel - EUROSTAT'!H145/10^4</f>
        <v>1.9000000000000001E-5</v>
      </c>
    </row>
    <row r="100" spans="1:15">
      <c r="B100" s="1027"/>
      <c r="C100" t="str">
        <f>'Comext mensuel - EUROSTAT'!A125</f>
        <v>Huiles brutes d’origine microbienne, concrètes, présentées en emballages immédiats d’un contenu net ≤ 1 kg (à l’exclusion des huiles destinées à des usages techniques ou industriels)</v>
      </c>
      <c r="D100" s="908">
        <f>SUM('Comext mensuel - EUROSTAT'!B125,'Comext mensuel - EUROSTAT'!D125,'Comext mensuel - EUROSTAT'!F125,'Comext mensuel - EUROSTAT'!H125,'Comext mensuel - EUROSTAT'!J125,'Comext mensuel - EUROSTAT'!L125,'Comext mensuel - EUROSTAT'!N125,'Comext mensuel - EUROSTAT'!P125,'Comext mensuel - EUROSTAT'!R125,'Comext mensuel - EUROSTAT'!T125,'Comext mensuel - EUROSTAT'!V125,'Comext mensuel - EUROSTAT'!X125)/10^4</f>
        <v>0</v>
      </c>
      <c r="E100" s="908">
        <f>SUM('Comext mensuel - EUROSTAT'!C125,'Comext mensuel - EUROSTAT'!E125,'Comext mensuel - EUROSTAT'!G125,'Comext mensuel - EUROSTAT'!I125,'Comext mensuel - EUROSTAT'!K125,'Comext mensuel - EUROSTAT'!M125,'Comext mensuel - EUROSTAT'!O125,'Comext mensuel - EUROSTAT'!Q125,'Comext mensuel - EUROSTAT'!S125,'Comext mensuel - EUROSTAT'!U125,'Comext mensuel - EUROSTAT'!W125,'Comext mensuel - EUROSTAT'!Y125)/10^4</f>
        <v>0</v>
      </c>
      <c r="F100" s="908">
        <f>SUM('Comext mensuel - EUROSTAT'!Z125,'Comext mensuel - EUROSTAT'!AB125,'Comext mensuel - EUROSTAT'!AD125,'Comext mensuel - EUROSTAT'!AF125,'Comext mensuel - EUROSTAT'!AH125,'Comext mensuel - EUROSTAT'!AJ125,'Comext mensuel - EUROSTAT'!AL125,'Comext mensuel - EUROSTAT'!AN125,'Comext mensuel - EUROSTAT'!AP125,'Comext mensuel - EUROSTAT'!AR125,'Comext mensuel - EUROSTAT'!AT125,'Comext mensuel - EUROSTAT'!AV125)/10^4</f>
        <v>0</v>
      </c>
      <c r="G100" s="908">
        <f>SUM('Comext mensuel - EUROSTAT'!AA125,'Comext mensuel - EUROSTAT'!AC125,'Comext mensuel - EUROSTAT'!AE125,'Comext mensuel - EUROSTAT'!AG125,'Comext mensuel - EUROSTAT'!AI125,'Comext mensuel - EUROSTAT'!AK125,'Comext mensuel - EUROSTAT'!AM125,'Comext mensuel - EUROSTAT'!AO125,'Comext mensuel - EUROSTAT'!AQ125,'Comext mensuel - EUROSTAT'!AS125,'Comext mensuel - EUROSTAT'!AU125,'Comext mensuel - EUROSTAT'!AW125)/10^4</f>
        <v>0</v>
      </c>
      <c r="H100" s="908">
        <f>SUM('Comext mensuel - EUROSTAT'!AX125,'Comext mensuel - EUROSTAT'!AZ125,'Comext mensuel - EUROSTAT'!BB125,'Comext mensuel - EUROSTAT'!BD125,'Comext mensuel - EUROSTAT'!BF125,'Comext mensuel - EUROSTAT'!BH125,'Comext mensuel - EUROSTAT'!BJ125,'Comext mensuel - EUROSTAT'!BL125,'Comext mensuel - EUROSTAT'!BN125,'Comext mensuel - EUROSTAT'!BP125,'Comext mensuel - EUROSTAT'!BR125,'Comext mensuel - EUROSTAT'!BT125)/10^4</f>
        <v>1.35E-4</v>
      </c>
      <c r="I100" s="908">
        <f>SUM('Comext mensuel - EUROSTAT'!AY125,'Comext mensuel - EUROSTAT'!BA125,'Comext mensuel - EUROSTAT'!BC125,'Comext mensuel - EUROSTAT'!BE125,'Comext mensuel - EUROSTAT'!BG125,'Comext mensuel - EUROSTAT'!BI125,'Comext mensuel - EUROSTAT'!BK125,'Comext mensuel - EUROSTAT'!BM125,'Comext mensuel - EUROSTAT'!BO125,'Comext mensuel - EUROSTAT'!BQ125,'Comext mensuel - EUROSTAT'!BS125,'Comext mensuel - EUROSTAT'!BU125)/10^4</f>
        <v>0</v>
      </c>
      <c r="J100" s="911" t="e">
        <f>'Comext annuel - EUROSTAT'!C146/10^4</f>
        <v>#VALUE!</v>
      </c>
      <c r="K100" s="911" t="e">
        <f>'Comext annuel - EUROSTAT'!D146/10^4</f>
        <v>#VALUE!</v>
      </c>
      <c r="L100" s="911" t="e">
        <f>'Comext annuel - EUROSTAT'!E146/10^4</f>
        <v>#VALUE!</v>
      </c>
      <c r="M100" s="911" t="e">
        <f>'Comext annuel - EUROSTAT'!F146/10^4</f>
        <v>#VALUE!</v>
      </c>
      <c r="N100" s="911">
        <f>'Comext annuel - EUROSTAT'!G146/10^4</f>
        <v>1.35E-4</v>
      </c>
      <c r="O100" s="911" t="e">
        <f>'Comext annuel - EUROSTAT'!H146/10^4</f>
        <v>#VALUE!</v>
      </c>
    </row>
    <row r="101" spans="1:15">
      <c r="B101" s="1027"/>
      <c r="C101" t="str">
        <f>'Comext mensuel - EUROSTAT'!A126</f>
        <v>Huiles brutes d’origine microbienne, concrètes, présentées en emballages immédiats d’un contenu net &gt; 1 kg (à l’exclusion des huiles destinées à des usages techniques ou industriels)</v>
      </c>
      <c r="D101" s="908">
        <f>SUM('Comext mensuel - EUROSTAT'!B126,'Comext mensuel - EUROSTAT'!D126,'Comext mensuel - EUROSTAT'!F126,'Comext mensuel - EUROSTAT'!H126,'Comext mensuel - EUROSTAT'!J126,'Comext mensuel - EUROSTAT'!L126,'Comext mensuel - EUROSTAT'!N126,'Comext mensuel - EUROSTAT'!P126,'Comext mensuel - EUROSTAT'!R126,'Comext mensuel - EUROSTAT'!T126,'Comext mensuel - EUROSTAT'!V126,'Comext mensuel - EUROSTAT'!X126)/10^4</f>
        <v>0</v>
      </c>
      <c r="E101" s="908">
        <f>SUM('Comext mensuel - EUROSTAT'!C126,'Comext mensuel - EUROSTAT'!E126,'Comext mensuel - EUROSTAT'!G126,'Comext mensuel - EUROSTAT'!I126,'Comext mensuel - EUROSTAT'!K126,'Comext mensuel - EUROSTAT'!M126,'Comext mensuel - EUROSTAT'!O126,'Comext mensuel - EUROSTAT'!Q126,'Comext mensuel - EUROSTAT'!S126,'Comext mensuel - EUROSTAT'!U126,'Comext mensuel - EUROSTAT'!W126,'Comext mensuel - EUROSTAT'!Y126)/10^4</f>
        <v>0</v>
      </c>
      <c r="F101" s="908">
        <f>SUM('Comext mensuel - EUROSTAT'!Z126,'Comext mensuel - EUROSTAT'!AB126,'Comext mensuel - EUROSTAT'!AD126,'Comext mensuel - EUROSTAT'!AF126,'Comext mensuel - EUROSTAT'!AH126,'Comext mensuel - EUROSTAT'!AJ126,'Comext mensuel - EUROSTAT'!AL126,'Comext mensuel - EUROSTAT'!AN126,'Comext mensuel - EUROSTAT'!AP126,'Comext mensuel - EUROSTAT'!AR126,'Comext mensuel - EUROSTAT'!AT126,'Comext mensuel - EUROSTAT'!AV126)/10^4</f>
        <v>0</v>
      </c>
      <c r="G101" s="908">
        <f>SUM('Comext mensuel - EUROSTAT'!AA126,'Comext mensuel - EUROSTAT'!AC126,'Comext mensuel - EUROSTAT'!AE126,'Comext mensuel - EUROSTAT'!AG126,'Comext mensuel - EUROSTAT'!AI126,'Comext mensuel - EUROSTAT'!AK126,'Comext mensuel - EUROSTAT'!AM126,'Comext mensuel - EUROSTAT'!AO126,'Comext mensuel - EUROSTAT'!AQ126,'Comext mensuel - EUROSTAT'!AS126,'Comext mensuel - EUROSTAT'!AU126,'Comext mensuel - EUROSTAT'!AW126)/10^4</f>
        <v>0</v>
      </c>
      <c r="H101" s="908">
        <f>SUM('Comext mensuel - EUROSTAT'!AX126,'Comext mensuel - EUROSTAT'!AZ126,'Comext mensuel - EUROSTAT'!BB126,'Comext mensuel - EUROSTAT'!BD126,'Comext mensuel - EUROSTAT'!BF126,'Comext mensuel - EUROSTAT'!BH126,'Comext mensuel - EUROSTAT'!BJ126,'Comext mensuel - EUROSTAT'!BL126,'Comext mensuel - EUROSTAT'!BN126,'Comext mensuel - EUROSTAT'!BP126,'Comext mensuel - EUROSTAT'!BR126,'Comext mensuel - EUROSTAT'!BT126)/10^4</f>
        <v>6.4683999999999992E-2</v>
      </c>
      <c r="I101" s="908">
        <f>SUM('Comext mensuel - EUROSTAT'!AY126,'Comext mensuel - EUROSTAT'!BA126,'Comext mensuel - EUROSTAT'!BC126,'Comext mensuel - EUROSTAT'!BE126,'Comext mensuel - EUROSTAT'!BG126,'Comext mensuel - EUROSTAT'!BI126,'Comext mensuel - EUROSTAT'!BK126,'Comext mensuel - EUROSTAT'!BM126,'Comext mensuel - EUROSTAT'!BO126,'Comext mensuel - EUROSTAT'!BQ126,'Comext mensuel - EUROSTAT'!BS126,'Comext mensuel - EUROSTAT'!BU126)/10^4</f>
        <v>0.23543800000000001</v>
      </c>
      <c r="J101" s="911" t="e">
        <f>'Comext annuel - EUROSTAT'!C147/10^4</f>
        <v>#VALUE!</v>
      </c>
      <c r="K101" s="911" t="e">
        <f>'Comext annuel - EUROSTAT'!D147/10^4</f>
        <v>#VALUE!</v>
      </c>
      <c r="L101" s="911" t="e">
        <f>'Comext annuel - EUROSTAT'!E147/10^4</f>
        <v>#VALUE!</v>
      </c>
      <c r="M101" s="911" t="e">
        <f>'Comext annuel - EUROSTAT'!F147/10^4</f>
        <v>#VALUE!</v>
      </c>
      <c r="N101" s="911">
        <f>'Comext annuel - EUROSTAT'!G147/10^4</f>
        <v>5.6715999999999996E-2</v>
      </c>
      <c r="O101" s="911">
        <f>'Comext annuel - EUROSTAT'!H147/10^4</f>
        <v>8.2910999999999999E-2</v>
      </c>
    </row>
    <row r="102" spans="1:15">
      <c r="B102" s="1027"/>
      <c r="C102" t="str">
        <f>'Comext mensuel - EUROSTAT'!A127</f>
        <v>Graisses et huiles d’origine microbienne et leurs fractions, même raffinées, mais non chimiquement modifiées, destinées à des usages techniques ou industriels (à l’exclusion des graisses et huiles destinées à la fabrication de denrées alimentaires, ainsi que des huiles brutes)</v>
      </c>
      <c r="D102" s="908">
        <f>SUM('Comext mensuel - EUROSTAT'!B127,'Comext mensuel - EUROSTAT'!D127,'Comext mensuel - EUROSTAT'!F127,'Comext mensuel - EUROSTAT'!H127,'Comext mensuel - EUROSTAT'!J127,'Comext mensuel - EUROSTAT'!L127,'Comext mensuel - EUROSTAT'!N127,'Comext mensuel - EUROSTAT'!P127,'Comext mensuel - EUROSTAT'!R127,'Comext mensuel - EUROSTAT'!T127,'Comext mensuel - EUROSTAT'!V127,'Comext mensuel - EUROSTAT'!X127)/10^4</f>
        <v>0</v>
      </c>
      <c r="E102" s="908">
        <f>SUM('Comext mensuel - EUROSTAT'!C127,'Comext mensuel - EUROSTAT'!E127,'Comext mensuel - EUROSTAT'!G127,'Comext mensuel - EUROSTAT'!I127,'Comext mensuel - EUROSTAT'!K127,'Comext mensuel - EUROSTAT'!M127,'Comext mensuel - EUROSTAT'!O127,'Comext mensuel - EUROSTAT'!Q127,'Comext mensuel - EUROSTAT'!S127,'Comext mensuel - EUROSTAT'!U127,'Comext mensuel - EUROSTAT'!W127,'Comext mensuel - EUROSTAT'!Y127)/10^4</f>
        <v>0</v>
      </c>
      <c r="F102" s="908">
        <f>SUM('Comext mensuel - EUROSTAT'!Z127,'Comext mensuel - EUROSTAT'!AB127,'Comext mensuel - EUROSTAT'!AD127,'Comext mensuel - EUROSTAT'!AF127,'Comext mensuel - EUROSTAT'!AH127,'Comext mensuel - EUROSTAT'!AJ127,'Comext mensuel - EUROSTAT'!AL127,'Comext mensuel - EUROSTAT'!AN127,'Comext mensuel - EUROSTAT'!AP127,'Comext mensuel - EUROSTAT'!AR127,'Comext mensuel - EUROSTAT'!AT127,'Comext mensuel - EUROSTAT'!AV127)/10^4</f>
        <v>0</v>
      </c>
      <c r="G102" s="908">
        <f>SUM('Comext mensuel - EUROSTAT'!AA127,'Comext mensuel - EUROSTAT'!AC127,'Comext mensuel - EUROSTAT'!AE127,'Comext mensuel - EUROSTAT'!AG127,'Comext mensuel - EUROSTAT'!AI127,'Comext mensuel - EUROSTAT'!AK127,'Comext mensuel - EUROSTAT'!AM127,'Comext mensuel - EUROSTAT'!AO127,'Comext mensuel - EUROSTAT'!AQ127,'Comext mensuel - EUROSTAT'!AS127,'Comext mensuel - EUROSTAT'!AU127,'Comext mensuel - EUROSTAT'!AW127)/10^4</f>
        <v>0</v>
      </c>
      <c r="H102" s="908">
        <f>SUM('Comext mensuel - EUROSTAT'!AX127,'Comext mensuel - EUROSTAT'!AZ127,'Comext mensuel - EUROSTAT'!BB127,'Comext mensuel - EUROSTAT'!BD127,'Comext mensuel - EUROSTAT'!BF127,'Comext mensuel - EUROSTAT'!BH127,'Comext mensuel - EUROSTAT'!BJ127,'Comext mensuel - EUROSTAT'!BL127,'Comext mensuel - EUROSTAT'!BN127,'Comext mensuel - EUROSTAT'!BP127,'Comext mensuel - EUROSTAT'!BR127,'Comext mensuel - EUROSTAT'!BT127)/10^4</f>
        <v>1.2E-5</v>
      </c>
      <c r="I102" s="908">
        <f>SUM('Comext mensuel - EUROSTAT'!AY127,'Comext mensuel - EUROSTAT'!BA127,'Comext mensuel - EUROSTAT'!BC127,'Comext mensuel - EUROSTAT'!BE127,'Comext mensuel - EUROSTAT'!BG127,'Comext mensuel - EUROSTAT'!BI127,'Comext mensuel - EUROSTAT'!BK127,'Comext mensuel - EUROSTAT'!BM127,'Comext mensuel - EUROSTAT'!BO127,'Comext mensuel - EUROSTAT'!BQ127,'Comext mensuel - EUROSTAT'!BS127,'Comext mensuel - EUROSTAT'!BU127)/10^4</f>
        <v>0</v>
      </c>
      <c r="J102" s="911" t="e">
        <f>'Comext annuel - EUROSTAT'!C148/10^4</f>
        <v>#VALUE!</v>
      </c>
      <c r="K102" s="911" t="e">
        <f>'Comext annuel - EUROSTAT'!D148/10^4</f>
        <v>#VALUE!</v>
      </c>
      <c r="L102" s="911" t="e">
        <f>'Comext annuel - EUROSTAT'!E148/10^4</f>
        <v>#VALUE!</v>
      </c>
      <c r="M102" s="911" t="e">
        <f>'Comext annuel - EUROSTAT'!F148/10^4</f>
        <v>#VALUE!</v>
      </c>
      <c r="N102" s="911">
        <f>'Comext annuel - EUROSTAT'!G148/10^4</f>
        <v>1.1E-5</v>
      </c>
      <c r="O102" s="911">
        <f>'Comext annuel - EUROSTAT'!H148/10^4</f>
        <v>1.9999999999999999E-6</v>
      </c>
    </row>
    <row r="103" spans="1:15">
      <c r="B103" s="1027"/>
      <c r="C103" t="str">
        <f>'Comext mensuel - EUROSTAT'!A129</f>
        <v>Graisses et huiles d’origine microbienne et leurs fractions, même raffinées, mais non chimiquement modifiées, concrètes, présentées en emballages immédiats d’un contenu net ≤ 1 kg, (à l’exclusion des graisses et huiles destinées à des usages techniques ou industriels, ainsi que des huiles brutes)</v>
      </c>
      <c r="D103" s="908">
        <f>SUM('Comext mensuel - EUROSTAT'!B129,'Comext mensuel - EUROSTAT'!D129,'Comext mensuel - EUROSTAT'!F129,'Comext mensuel - EUROSTAT'!H129,'Comext mensuel - EUROSTAT'!J129,'Comext mensuel - EUROSTAT'!L129,'Comext mensuel - EUROSTAT'!N129,'Comext mensuel - EUROSTAT'!P129,'Comext mensuel - EUROSTAT'!R129,'Comext mensuel - EUROSTAT'!T129,'Comext mensuel - EUROSTAT'!V129,'Comext mensuel - EUROSTAT'!X129)/10^4</f>
        <v>0</v>
      </c>
      <c r="E103" s="908">
        <f>SUM('Comext mensuel - EUROSTAT'!C129,'Comext mensuel - EUROSTAT'!E129,'Comext mensuel - EUROSTAT'!G129,'Comext mensuel - EUROSTAT'!I129,'Comext mensuel - EUROSTAT'!K129,'Comext mensuel - EUROSTAT'!M129,'Comext mensuel - EUROSTAT'!O129,'Comext mensuel - EUROSTAT'!Q129,'Comext mensuel - EUROSTAT'!S129,'Comext mensuel - EUROSTAT'!U129,'Comext mensuel - EUROSTAT'!W129,'Comext mensuel - EUROSTAT'!Y129)/10^4</f>
        <v>0</v>
      </c>
      <c r="F103" s="908">
        <f>SUM('Comext mensuel - EUROSTAT'!Z129,'Comext mensuel - EUROSTAT'!AB129,'Comext mensuel - EUROSTAT'!AD129,'Comext mensuel - EUROSTAT'!AF129,'Comext mensuel - EUROSTAT'!AH129,'Comext mensuel - EUROSTAT'!AJ129,'Comext mensuel - EUROSTAT'!AL129,'Comext mensuel - EUROSTAT'!AN129,'Comext mensuel - EUROSTAT'!AP129,'Comext mensuel - EUROSTAT'!AR129,'Comext mensuel - EUROSTAT'!AT129,'Comext mensuel - EUROSTAT'!AV129)/10^4</f>
        <v>0</v>
      </c>
      <c r="G103" s="908">
        <f>SUM('Comext mensuel - EUROSTAT'!AA129,'Comext mensuel - EUROSTAT'!AC129,'Comext mensuel - EUROSTAT'!AE129,'Comext mensuel - EUROSTAT'!AG129,'Comext mensuel - EUROSTAT'!AI129,'Comext mensuel - EUROSTAT'!AK129,'Comext mensuel - EUROSTAT'!AM129,'Comext mensuel - EUROSTAT'!AO129,'Comext mensuel - EUROSTAT'!AQ129,'Comext mensuel - EUROSTAT'!AS129,'Comext mensuel - EUROSTAT'!AU129,'Comext mensuel - EUROSTAT'!AW129)/10^4</f>
        <v>0</v>
      </c>
      <c r="H103" s="908">
        <f>SUM('Comext mensuel - EUROSTAT'!AX129,'Comext mensuel - EUROSTAT'!AZ129,'Comext mensuel - EUROSTAT'!BB129,'Comext mensuel - EUROSTAT'!BD129,'Comext mensuel - EUROSTAT'!BF129,'Comext mensuel - EUROSTAT'!BH129,'Comext mensuel - EUROSTAT'!BJ129,'Comext mensuel - EUROSTAT'!BL129,'Comext mensuel - EUROSTAT'!BN129,'Comext mensuel - EUROSTAT'!BP129,'Comext mensuel - EUROSTAT'!BR129,'Comext mensuel - EUROSTAT'!BT129)/10^4</f>
        <v>4.7679999999999997E-3</v>
      </c>
      <c r="I103" s="908">
        <f>SUM('Comext mensuel - EUROSTAT'!AY129,'Comext mensuel - EUROSTAT'!BA129,'Comext mensuel - EUROSTAT'!BC129,'Comext mensuel - EUROSTAT'!BE129,'Comext mensuel - EUROSTAT'!BG129,'Comext mensuel - EUROSTAT'!BI129,'Comext mensuel - EUROSTAT'!BK129,'Comext mensuel - EUROSTAT'!BM129,'Comext mensuel - EUROSTAT'!BO129,'Comext mensuel - EUROSTAT'!BQ129,'Comext mensuel - EUROSTAT'!BS129,'Comext mensuel - EUROSTAT'!BU129)/10^4</f>
        <v>4.7299999999999995E-4</v>
      </c>
      <c r="J103" s="911" t="e">
        <f>'Comext annuel - EUROSTAT'!C150/10^4</f>
        <v>#VALUE!</v>
      </c>
      <c r="K103" s="911" t="e">
        <f>'Comext annuel - EUROSTAT'!D150/10^4</f>
        <v>#VALUE!</v>
      </c>
      <c r="L103" s="911" t="e">
        <f>'Comext annuel - EUROSTAT'!E150/10^4</f>
        <v>#VALUE!</v>
      </c>
      <c r="M103" s="911" t="e">
        <f>'Comext annuel - EUROSTAT'!F150/10^4</f>
        <v>#VALUE!</v>
      </c>
      <c r="N103" s="911">
        <f>'Comext annuel - EUROSTAT'!G150/10^4</f>
        <v>1.093E-3</v>
      </c>
      <c r="O103" s="911">
        <f>'Comext annuel - EUROSTAT'!H150/10^4</f>
        <v>5.2699999999999991E-4</v>
      </c>
    </row>
    <row r="104" spans="1:15">
      <c r="B104" s="1027"/>
      <c r="C104" t="str">
        <f>'Comext mensuel - EUROSTAT'!A130</f>
        <v>Graisses et huiles d’origine microbienne et leurs fractions, même raffinées, mais non chimiquement modifiées, concrètes, présentées en emballages immédiats d’un contenu net &gt; 1 kg, et liquides (à l’exclusion des graisses et huiles destinées à des usages techniques ou industriels, ainsi que des huiles brutes)</v>
      </c>
      <c r="D104" s="908">
        <f>SUM('Comext mensuel - EUROSTAT'!B130,'Comext mensuel - EUROSTAT'!D130,'Comext mensuel - EUROSTAT'!F130,'Comext mensuel - EUROSTAT'!H130,'Comext mensuel - EUROSTAT'!J130,'Comext mensuel - EUROSTAT'!L130,'Comext mensuel - EUROSTAT'!N130,'Comext mensuel - EUROSTAT'!P130,'Comext mensuel - EUROSTAT'!R130,'Comext mensuel - EUROSTAT'!T130,'Comext mensuel - EUROSTAT'!V130,'Comext mensuel - EUROSTAT'!X130)/10^4</f>
        <v>0</v>
      </c>
      <c r="E104" s="908">
        <f>SUM('Comext mensuel - EUROSTAT'!C130,'Comext mensuel - EUROSTAT'!E130,'Comext mensuel - EUROSTAT'!G130,'Comext mensuel - EUROSTAT'!I130,'Comext mensuel - EUROSTAT'!K130,'Comext mensuel - EUROSTAT'!M130,'Comext mensuel - EUROSTAT'!O130,'Comext mensuel - EUROSTAT'!Q130,'Comext mensuel - EUROSTAT'!S130,'Comext mensuel - EUROSTAT'!U130,'Comext mensuel - EUROSTAT'!W130,'Comext mensuel - EUROSTAT'!Y130)/10^4</f>
        <v>0</v>
      </c>
      <c r="F104" s="908">
        <f>SUM('Comext mensuel - EUROSTAT'!Z130,'Comext mensuel - EUROSTAT'!AB130,'Comext mensuel - EUROSTAT'!AD130,'Comext mensuel - EUROSTAT'!AF130,'Comext mensuel - EUROSTAT'!AH130,'Comext mensuel - EUROSTAT'!AJ130,'Comext mensuel - EUROSTAT'!AL130,'Comext mensuel - EUROSTAT'!AN130,'Comext mensuel - EUROSTAT'!AP130,'Comext mensuel - EUROSTAT'!AR130,'Comext mensuel - EUROSTAT'!AT130,'Comext mensuel - EUROSTAT'!AV130)/10^4</f>
        <v>0</v>
      </c>
      <c r="G104" s="908">
        <f>SUM('Comext mensuel - EUROSTAT'!AA130,'Comext mensuel - EUROSTAT'!AC130,'Comext mensuel - EUROSTAT'!AE130,'Comext mensuel - EUROSTAT'!AG130,'Comext mensuel - EUROSTAT'!AI130,'Comext mensuel - EUROSTAT'!AK130,'Comext mensuel - EUROSTAT'!AM130,'Comext mensuel - EUROSTAT'!AO130,'Comext mensuel - EUROSTAT'!AQ130,'Comext mensuel - EUROSTAT'!AS130,'Comext mensuel - EUROSTAT'!AU130,'Comext mensuel - EUROSTAT'!AW130)/10^4</f>
        <v>0</v>
      </c>
      <c r="H104" s="908">
        <f>SUM('Comext mensuel - EUROSTAT'!AX130,'Comext mensuel - EUROSTAT'!AZ130,'Comext mensuel - EUROSTAT'!BB130,'Comext mensuel - EUROSTAT'!BD130,'Comext mensuel - EUROSTAT'!BF130,'Comext mensuel - EUROSTAT'!BH130,'Comext mensuel - EUROSTAT'!BJ130,'Comext mensuel - EUROSTAT'!BL130,'Comext mensuel - EUROSTAT'!BN130,'Comext mensuel - EUROSTAT'!BP130,'Comext mensuel - EUROSTAT'!BR130,'Comext mensuel - EUROSTAT'!BT130)/10^4</f>
        <v>9.2474000000000001E-2</v>
      </c>
      <c r="I104" s="908">
        <f>SUM('Comext mensuel - EUROSTAT'!AY130,'Comext mensuel - EUROSTAT'!BA130,'Comext mensuel - EUROSTAT'!BC130,'Comext mensuel - EUROSTAT'!BE130,'Comext mensuel - EUROSTAT'!BG130,'Comext mensuel - EUROSTAT'!BI130,'Comext mensuel - EUROSTAT'!BK130,'Comext mensuel - EUROSTAT'!BM130,'Comext mensuel - EUROSTAT'!BO130,'Comext mensuel - EUROSTAT'!BQ130,'Comext mensuel - EUROSTAT'!BS130,'Comext mensuel - EUROSTAT'!BU130)/10^4</f>
        <v>4.7259999999999996E-2</v>
      </c>
      <c r="J104" s="911" t="e">
        <f>'Comext annuel - EUROSTAT'!C151/10^4</f>
        <v>#VALUE!</v>
      </c>
      <c r="K104" s="911" t="e">
        <f>'Comext annuel - EUROSTAT'!D151/10^4</f>
        <v>#VALUE!</v>
      </c>
      <c r="L104" s="911" t="e">
        <f>'Comext annuel - EUROSTAT'!E151/10^4</f>
        <v>#VALUE!</v>
      </c>
      <c r="M104" s="911" t="e">
        <f>'Comext annuel - EUROSTAT'!F151/10^4</f>
        <v>#VALUE!</v>
      </c>
      <c r="N104" s="911">
        <f>'Comext annuel - EUROSTAT'!G151/10^4</f>
        <v>1.4041999999999999E-2</v>
      </c>
      <c r="O104" s="911">
        <f>'Comext annuel - EUROSTAT'!H151/10^4</f>
        <v>2.5749999999999999E-2</v>
      </c>
    </row>
    <row r="105" spans="1:15">
      <c r="B105" s="1027"/>
      <c r="C105" t="str">
        <f>'Comext mensuel - EUROSTAT'!A132</f>
        <v>Huiles de tung {abrasin}, de jojoba et d'oïticica et cires de myrica et du Japon et leurs fractions, même raffinées, mais non chimiquement modifiées</v>
      </c>
      <c r="D105" s="908">
        <f>SUM('Comext mensuel - EUROSTAT'!B132,'Comext mensuel - EUROSTAT'!D132,'Comext mensuel - EUROSTAT'!F132,'Comext mensuel - EUROSTAT'!H132,'Comext mensuel - EUROSTAT'!J132,'Comext mensuel - EUROSTAT'!L132,'Comext mensuel - EUROSTAT'!N132,'Comext mensuel - EUROSTAT'!P132,'Comext mensuel - EUROSTAT'!R132,'Comext mensuel - EUROSTAT'!T132,'Comext mensuel - EUROSTAT'!V132,'Comext mensuel - EUROSTAT'!X132)/10^4</f>
        <v>0.80790600000000001</v>
      </c>
      <c r="E105" s="908">
        <f>SUM('Comext mensuel - EUROSTAT'!C132,'Comext mensuel - EUROSTAT'!E132,'Comext mensuel - EUROSTAT'!G132,'Comext mensuel - EUROSTAT'!I132,'Comext mensuel - EUROSTAT'!K132,'Comext mensuel - EUROSTAT'!M132,'Comext mensuel - EUROSTAT'!O132,'Comext mensuel - EUROSTAT'!Q132,'Comext mensuel - EUROSTAT'!S132,'Comext mensuel - EUROSTAT'!U132,'Comext mensuel - EUROSTAT'!W132,'Comext mensuel - EUROSTAT'!Y132)/10^4</f>
        <v>0.16215599999999999</v>
      </c>
      <c r="F105" s="908">
        <f>SUM('Comext mensuel - EUROSTAT'!Z132,'Comext mensuel - EUROSTAT'!AB132,'Comext mensuel - EUROSTAT'!AD132,'Comext mensuel - EUROSTAT'!AF132,'Comext mensuel - EUROSTAT'!AH132,'Comext mensuel - EUROSTAT'!AJ132,'Comext mensuel - EUROSTAT'!AL132,'Comext mensuel - EUROSTAT'!AN132,'Comext mensuel - EUROSTAT'!AP132,'Comext mensuel - EUROSTAT'!AR132,'Comext mensuel - EUROSTAT'!AT132,'Comext mensuel - EUROSTAT'!AV132)/10^4</f>
        <v>0.82763799999999987</v>
      </c>
      <c r="G105" s="908">
        <f>SUM('Comext mensuel - EUROSTAT'!AA132,'Comext mensuel - EUROSTAT'!AC132,'Comext mensuel - EUROSTAT'!AE132,'Comext mensuel - EUROSTAT'!AG132,'Comext mensuel - EUROSTAT'!AI132,'Comext mensuel - EUROSTAT'!AK132,'Comext mensuel - EUROSTAT'!AM132,'Comext mensuel - EUROSTAT'!AO132,'Comext mensuel - EUROSTAT'!AQ132,'Comext mensuel - EUROSTAT'!AS132,'Comext mensuel - EUROSTAT'!AU132,'Comext mensuel - EUROSTAT'!AW132)/10^4</f>
        <v>0.20105899999999999</v>
      </c>
      <c r="H105" s="908">
        <f>SUM('Comext mensuel - EUROSTAT'!AX132,'Comext mensuel - EUROSTAT'!AZ132,'Comext mensuel - EUROSTAT'!BB132,'Comext mensuel - EUROSTAT'!BD132,'Comext mensuel - EUROSTAT'!BF132,'Comext mensuel - EUROSTAT'!BH132,'Comext mensuel - EUROSTAT'!BJ132,'Comext mensuel - EUROSTAT'!BL132,'Comext mensuel - EUROSTAT'!BN132,'Comext mensuel - EUROSTAT'!BP132,'Comext mensuel - EUROSTAT'!BR132,'Comext mensuel - EUROSTAT'!BT132)/10^4</f>
        <v>0.8474219999999999</v>
      </c>
      <c r="I105" s="908">
        <f>SUM('Comext mensuel - EUROSTAT'!AY132,'Comext mensuel - EUROSTAT'!BA132,'Comext mensuel - EUROSTAT'!BC132,'Comext mensuel - EUROSTAT'!BE132,'Comext mensuel - EUROSTAT'!BG132,'Comext mensuel - EUROSTAT'!BI132,'Comext mensuel - EUROSTAT'!BK132,'Comext mensuel - EUROSTAT'!BM132,'Comext mensuel - EUROSTAT'!BO132,'Comext mensuel - EUROSTAT'!BQ132,'Comext mensuel - EUROSTAT'!BS132,'Comext mensuel - EUROSTAT'!BU132)/10^4</f>
        <v>0.25484699999999999</v>
      </c>
      <c r="J105" s="911">
        <f>'Comext annuel - EUROSTAT'!C153/10^4</f>
        <v>0.71155299999999999</v>
      </c>
      <c r="K105" s="911">
        <f>'Comext annuel - EUROSTAT'!D153/10^4</f>
        <v>0.15243900000000002</v>
      </c>
      <c r="L105" s="911">
        <f>'Comext annuel - EUROSTAT'!E153/10^4</f>
        <v>0.77996999999999994</v>
      </c>
      <c r="M105" s="911">
        <f>'Comext annuel - EUROSTAT'!F153/10^4</f>
        <v>0.187412</v>
      </c>
      <c r="N105" s="911">
        <f>'Comext annuel - EUROSTAT'!G153/10^4</f>
        <v>0.69139399999999995</v>
      </c>
      <c r="O105" s="911">
        <f>'Comext annuel - EUROSTAT'!H153/10^4</f>
        <v>0.25112800000000002</v>
      </c>
    </row>
    <row r="106" spans="1:15">
      <c r="B106" s="1027"/>
      <c r="C106" t="str">
        <f>'Comext mensuel - EUROSTAT'!A133</f>
        <v>Huiles de jojoba et d'oïticica et cires de myrica et du Japon et leurs fractions, même raffinées, mais non chimiquement modifiées</v>
      </c>
      <c r="D106" s="908">
        <f>SUM('Comext mensuel - EUROSTAT'!B133,'Comext mensuel - EUROSTAT'!D133,'Comext mensuel - EUROSTAT'!F133,'Comext mensuel - EUROSTAT'!H133,'Comext mensuel - EUROSTAT'!J133,'Comext mensuel - EUROSTAT'!L133,'Comext mensuel - EUROSTAT'!N133,'Comext mensuel - EUROSTAT'!P133,'Comext mensuel - EUROSTAT'!R133,'Comext mensuel - EUROSTAT'!T133,'Comext mensuel - EUROSTAT'!V133,'Comext mensuel - EUROSTAT'!X133)/10^4</f>
        <v>0</v>
      </c>
      <c r="E106" s="908">
        <f>SUM('Comext mensuel - EUROSTAT'!C133,'Comext mensuel - EUROSTAT'!E133,'Comext mensuel - EUROSTAT'!G133,'Comext mensuel - EUROSTAT'!I133,'Comext mensuel - EUROSTAT'!K133,'Comext mensuel - EUROSTAT'!M133,'Comext mensuel - EUROSTAT'!O133,'Comext mensuel - EUROSTAT'!Q133,'Comext mensuel - EUROSTAT'!S133,'Comext mensuel - EUROSTAT'!U133,'Comext mensuel - EUROSTAT'!W133,'Comext mensuel - EUROSTAT'!Y133)/10^4</f>
        <v>0</v>
      </c>
      <c r="F106" s="908">
        <f>SUM('Comext mensuel - EUROSTAT'!Z133,'Comext mensuel - EUROSTAT'!AB133,'Comext mensuel - EUROSTAT'!AD133,'Comext mensuel - EUROSTAT'!AF133,'Comext mensuel - EUROSTAT'!AH133,'Comext mensuel - EUROSTAT'!AJ133,'Comext mensuel - EUROSTAT'!AL133,'Comext mensuel - EUROSTAT'!AN133,'Comext mensuel - EUROSTAT'!AP133,'Comext mensuel - EUROSTAT'!AR133,'Comext mensuel - EUROSTAT'!AT133,'Comext mensuel - EUROSTAT'!AV133)/10^4</f>
        <v>0</v>
      </c>
      <c r="G106" s="908">
        <f>SUM('Comext mensuel - EUROSTAT'!AA133,'Comext mensuel - EUROSTAT'!AC133,'Comext mensuel - EUROSTAT'!AE133,'Comext mensuel - EUROSTAT'!AG133,'Comext mensuel - EUROSTAT'!AI133,'Comext mensuel - EUROSTAT'!AK133,'Comext mensuel - EUROSTAT'!AM133,'Comext mensuel - EUROSTAT'!AO133,'Comext mensuel - EUROSTAT'!AQ133,'Comext mensuel - EUROSTAT'!AS133,'Comext mensuel - EUROSTAT'!AU133,'Comext mensuel - EUROSTAT'!AW133)/10^4</f>
        <v>0</v>
      </c>
      <c r="H106" s="908">
        <f>SUM('Comext mensuel - EUROSTAT'!AX133,'Comext mensuel - EUROSTAT'!AZ133,'Comext mensuel - EUROSTAT'!BB133,'Comext mensuel - EUROSTAT'!BD133,'Comext mensuel - EUROSTAT'!BF133,'Comext mensuel - EUROSTAT'!BH133,'Comext mensuel - EUROSTAT'!BJ133,'Comext mensuel - EUROSTAT'!BL133,'Comext mensuel - EUROSTAT'!BN133,'Comext mensuel - EUROSTAT'!BP133,'Comext mensuel - EUROSTAT'!BR133,'Comext mensuel - EUROSTAT'!BT133)/10^4</f>
        <v>0</v>
      </c>
      <c r="I106" s="908">
        <f>SUM('Comext mensuel - EUROSTAT'!AY133,'Comext mensuel - EUROSTAT'!BA133,'Comext mensuel - EUROSTAT'!BC133,'Comext mensuel - EUROSTAT'!BE133,'Comext mensuel - EUROSTAT'!BG133,'Comext mensuel - EUROSTAT'!BI133,'Comext mensuel - EUROSTAT'!BK133,'Comext mensuel - EUROSTAT'!BM133,'Comext mensuel - EUROSTAT'!BO133,'Comext mensuel - EUROSTAT'!BQ133,'Comext mensuel - EUROSTAT'!BS133,'Comext mensuel - EUROSTAT'!BU133)/10^4</f>
        <v>0</v>
      </c>
      <c r="J106" s="911" t="e">
        <f>'Comext annuel - EUROSTAT'!C154/10^4</f>
        <v>#VALUE!</v>
      </c>
      <c r="K106" s="911" t="e">
        <f>'Comext annuel - EUROSTAT'!D154/10^4</f>
        <v>#VALUE!</v>
      </c>
      <c r="L106" s="911" t="e">
        <f>'Comext annuel - EUROSTAT'!E154/10^4</f>
        <v>#VALUE!</v>
      </c>
      <c r="M106" s="911" t="e">
        <f>'Comext annuel - EUROSTAT'!F154/10^4</f>
        <v>#VALUE!</v>
      </c>
      <c r="N106" s="911" t="e">
        <f>'Comext annuel - EUROSTAT'!G154/10^4</f>
        <v>#VALUE!</v>
      </c>
      <c r="O106" s="911" t="e">
        <f>'Comext annuel - EUROSTAT'!H154/10^4</f>
        <v>#VALUE!</v>
      </c>
    </row>
    <row r="107" spans="1:15">
      <c r="B107" s="1027"/>
      <c r="C107" t="str">
        <f>'Comext mensuel - EUROSTAT'!A134</f>
        <v>Huile de graines de tabac, brute, destinée à des usages techniques ou industriels (autres que la fabrication de produits pour l'alimentation humaine)</v>
      </c>
      <c r="D107" s="908">
        <f>SUM('Comext mensuel - EUROSTAT'!B134,'Comext mensuel - EUROSTAT'!D134,'Comext mensuel - EUROSTAT'!F134,'Comext mensuel - EUROSTAT'!H134,'Comext mensuel - EUROSTAT'!J134,'Comext mensuel - EUROSTAT'!L134,'Comext mensuel - EUROSTAT'!N134,'Comext mensuel - EUROSTAT'!P134,'Comext mensuel - EUROSTAT'!R134,'Comext mensuel - EUROSTAT'!T134,'Comext mensuel - EUROSTAT'!V134,'Comext mensuel - EUROSTAT'!X134)/10^4</f>
        <v>3.39E-4</v>
      </c>
      <c r="E107" s="908">
        <f>SUM('Comext mensuel - EUROSTAT'!C134,'Comext mensuel - EUROSTAT'!E134,'Comext mensuel - EUROSTAT'!G134,'Comext mensuel - EUROSTAT'!I134,'Comext mensuel - EUROSTAT'!K134,'Comext mensuel - EUROSTAT'!M134,'Comext mensuel - EUROSTAT'!O134,'Comext mensuel - EUROSTAT'!Q134,'Comext mensuel - EUROSTAT'!S134,'Comext mensuel - EUROSTAT'!U134,'Comext mensuel - EUROSTAT'!W134,'Comext mensuel - EUROSTAT'!Y134)/10^4</f>
        <v>0</v>
      </c>
      <c r="F107" s="908">
        <f>SUM('Comext mensuel - EUROSTAT'!Z134,'Comext mensuel - EUROSTAT'!AB134,'Comext mensuel - EUROSTAT'!AD134,'Comext mensuel - EUROSTAT'!AF134,'Comext mensuel - EUROSTAT'!AH134,'Comext mensuel - EUROSTAT'!AJ134,'Comext mensuel - EUROSTAT'!AL134,'Comext mensuel - EUROSTAT'!AN134,'Comext mensuel - EUROSTAT'!AP134,'Comext mensuel - EUROSTAT'!AR134,'Comext mensuel - EUROSTAT'!AT134,'Comext mensuel - EUROSTAT'!AV134)/10^4</f>
        <v>8.3859999999999994E-3</v>
      </c>
      <c r="G107" s="908">
        <f>SUM('Comext mensuel - EUROSTAT'!AA134,'Comext mensuel - EUROSTAT'!AC134,'Comext mensuel - EUROSTAT'!AE134,'Comext mensuel - EUROSTAT'!AG134,'Comext mensuel - EUROSTAT'!AI134,'Comext mensuel - EUROSTAT'!AK134,'Comext mensuel - EUROSTAT'!AM134,'Comext mensuel - EUROSTAT'!AO134,'Comext mensuel - EUROSTAT'!AQ134,'Comext mensuel - EUROSTAT'!AS134,'Comext mensuel - EUROSTAT'!AU134,'Comext mensuel - EUROSTAT'!AW134)/10^4</f>
        <v>3.5641999999999993E-2</v>
      </c>
      <c r="H107" s="908">
        <f>SUM('Comext mensuel - EUROSTAT'!AX134,'Comext mensuel - EUROSTAT'!AZ134,'Comext mensuel - EUROSTAT'!BB134,'Comext mensuel - EUROSTAT'!BD134,'Comext mensuel - EUROSTAT'!BF134,'Comext mensuel - EUROSTAT'!BH134,'Comext mensuel - EUROSTAT'!BJ134,'Comext mensuel - EUROSTAT'!BL134,'Comext mensuel - EUROSTAT'!BN134,'Comext mensuel - EUROSTAT'!BP134,'Comext mensuel - EUROSTAT'!BR134,'Comext mensuel - EUROSTAT'!BT134)/10^4</f>
        <v>9.419999999999998E-4</v>
      </c>
      <c r="I107" s="908">
        <f>SUM('Comext mensuel - EUROSTAT'!AY134,'Comext mensuel - EUROSTAT'!BA134,'Comext mensuel - EUROSTAT'!BC134,'Comext mensuel - EUROSTAT'!BE134,'Comext mensuel - EUROSTAT'!BG134,'Comext mensuel - EUROSTAT'!BI134,'Comext mensuel - EUROSTAT'!BK134,'Comext mensuel - EUROSTAT'!BM134,'Comext mensuel - EUROSTAT'!BO134,'Comext mensuel - EUROSTAT'!BQ134,'Comext mensuel - EUROSTAT'!BS134,'Comext mensuel - EUROSTAT'!BU134)/10^4</f>
        <v>1.554E-3</v>
      </c>
      <c r="J107" s="911">
        <f>'Comext annuel - EUROSTAT'!C155/10^4</f>
        <v>1.1100000000000001E-4</v>
      </c>
      <c r="K107" s="911" t="e">
        <f>'Comext annuel - EUROSTAT'!D155/10^4</f>
        <v>#VALUE!</v>
      </c>
      <c r="L107" s="911">
        <f>'Comext annuel - EUROSTAT'!E155/10^4</f>
        <v>6.6600000000000003E-4</v>
      </c>
      <c r="M107" s="911">
        <f>'Comext annuel - EUROSTAT'!F155/10^4</f>
        <v>1.8016000000000001E-2</v>
      </c>
      <c r="N107" s="911">
        <f>'Comext annuel - EUROSTAT'!G155/10^4</f>
        <v>8.0500000000000005E-4</v>
      </c>
      <c r="O107" s="911">
        <f>'Comext annuel - EUROSTAT'!H155/10^4</f>
        <v>9.01E-4</v>
      </c>
    </row>
    <row r="108" spans="1:15">
      <c r="B108" s="1027"/>
      <c r="C108" t="str">
        <f>'Comext mensuel - EUROSTAT'!A135</f>
        <v>Huile de graines de tabac, brute (à l'excl. de l'huile destinée à des usages techniques ou industriels)</v>
      </c>
      <c r="D108" s="908">
        <f>SUM('Comext mensuel - EUROSTAT'!B135,'Comext mensuel - EUROSTAT'!D135,'Comext mensuel - EUROSTAT'!F135,'Comext mensuel - EUROSTAT'!H135,'Comext mensuel - EUROSTAT'!J135,'Comext mensuel - EUROSTAT'!L135,'Comext mensuel - EUROSTAT'!N135,'Comext mensuel - EUROSTAT'!P135,'Comext mensuel - EUROSTAT'!R135,'Comext mensuel - EUROSTAT'!T135,'Comext mensuel - EUROSTAT'!V135,'Comext mensuel - EUROSTAT'!X135)/10^4</f>
        <v>2.4879999999999998E-3</v>
      </c>
      <c r="E108" s="908">
        <f>SUM('Comext mensuel - EUROSTAT'!C135,'Comext mensuel - EUROSTAT'!E135,'Comext mensuel - EUROSTAT'!G135,'Comext mensuel - EUROSTAT'!I135,'Comext mensuel - EUROSTAT'!K135,'Comext mensuel - EUROSTAT'!M135,'Comext mensuel - EUROSTAT'!O135,'Comext mensuel - EUROSTAT'!Q135,'Comext mensuel - EUROSTAT'!S135,'Comext mensuel - EUROSTAT'!U135,'Comext mensuel - EUROSTAT'!W135,'Comext mensuel - EUROSTAT'!Y135)/10^4</f>
        <v>6.2199999999999998E-3</v>
      </c>
      <c r="F108" s="908">
        <f>SUM('Comext mensuel - EUROSTAT'!Z135,'Comext mensuel - EUROSTAT'!AB135,'Comext mensuel - EUROSTAT'!AD135,'Comext mensuel - EUROSTAT'!AF135,'Comext mensuel - EUROSTAT'!AH135,'Comext mensuel - EUROSTAT'!AJ135,'Comext mensuel - EUROSTAT'!AL135,'Comext mensuel - EUROSTAT'!AN135,'Comext mensuel - EUROSTAT'!AP135,'Comext mensuel - EUROSTAT'!AR135,'Comext mensuel - EUROSTAT'!AT135,'Comext mensuel - EUROSTAT'!AV135)/10^4</f>
        <v>2.4365000000000001E-2</v>
      </c>
      <c r="G108" s="908">
        <f>SUM('Comext mensuel - EUROSTAT'!AA135,'Comext mensuel - EUROSTAT'!AC135,'Comext mensuel - EUROSTAT'!AE135,'Comext mensuel - EUROSTAT'!AG135,'Comext mensuel - EUROSTAT'!AI135,'Comext mensuel - EUROSTAT'!AK135,'Comext mensuel - EUROSTAT'!AM135,'Comext mensuel - EUROSTAT'!AO135,'Comext mensuel - EUROSTAT'!AQ135,'Comext mensuel - EUROSTAT'!AS135,'Comext mensuel - EUROSTAT'!AU135,'Comext mensuel - EUROSTAT'!AW135)/10^4</f>
        <v>1.1800000000000002E-4</v>
      </c>
      <c r="H108" s="908">
        <f>SUM('Comext mensuel - EUROSTAT'!AX135,'Comext mensuel - EUROSTAT'!AZ135,'Comext mensuel - EUROSTAT'!BB135,'Comext mensuel - EUROSTAT'!BD135,'Comext mensuel - EUROSTAT'!BF135,'Comext mensuel - EUROSTAT'!BH135,'Comext mensuel - EUROSTAT'!BJ135,'Comext mensuel - EUROSTAT'!BL135,'Comext mensuel - EUROSTAT'!BN135,'Comext mensuel - EUROSTAT'!BP135,'Comext mensuel - EUROSTAT'!BR135,'Comext mensuel - EUROSTAT'!BT135)/10^4</f>
        <v>2.8108999999999999E-2</v>
      </c>
      <c r="I108" s="908">
        <f>SUM('Comext mensuel - EUROSTAT'!AY135,'Comext mensuel - EUROSTAT'!BA135,'Comext mensuel - EUROSTAT'!BC135,'Comext mensuel - EUROSTAT'!BE135,'Comext mensuel - EUROSTAT'!BG135,'Comext mensuel - EUROSTAT'!BI135,'Comext mensuel - EUROSTAT'!BK135,'Comext mensuel - EUROSTAT'!BM135,'Comext mensuel - EUROSTAT'!BO135,'Comext mensuel - EUROSTAT'!BQ135,'Comext mensuel - EUROSTAT'!BS135,'Comext mensuel - EUROSTAT'!BU135)/10^4</f>
        <v>5.4600000000000004E-4</v>
      </c>
      <c r="J108" s="911">
        <f>'Comext annuel - EUROSTAT'!C156/10^4</f>
        <v>4.9360000000000003E-3</v>
      </c>
      <c r="K108" s="911">
        <f>'Comext annuel - EUROSTAT'!D156/10^4</f>
        <v>8.8090000000000009E-3</v>
      </c>
      <c r="L108" s="911">
        <f>'Comext annuel - EUROSTAT'!E156/10^4</f>
        <v>2.4228E-2</v>
      </c>
      <c r="M108" s="911">
        <f>'Comext annuel - EUROSTAT'!F156/10^4</f>
        <v>2.0699999999999999E-4</v>
      </c>
      <c r="N108" s="911">
        <f>'Comext annuel - EUROSTAT'!G156/10^4</f>
        <v>1.5373E-2</v>
      </c>
      <c r="O108" s="911">
        <f>'Comext annuel - EUROSTAT'!H156/10^4</f>
        <v>3.1258000000000001E-2</v>
      </c>
    </row>
    <row r="109" spans="1:15">
      <c r="B109" s="1027"/>
      <c r="C109" t="str">
        <f>'Comext mensuel - EUROSTAT'!A136</f>
        <v>Huile de graines de tabac et ses fractions, même raffinées, mais non chimiquement modifiées, destinées à des usages techniques ou industriels (à l'excl. de l'huile brute et de l'huile destinée à la fabrication de produits pour l'alimentation humaine)</v>
      </c>
      <c r="D109" s="908">
        <f>SUM('Comext mensuel - EUROSTAT'!B136,'Comext mensuel - EUROSTAT'!D136,'Comext mensuel - EUROSTAT'!F136,'Comext mensuel - EUROSTAT'!H136,'Comext mensuel - EUROSTAT'!J136,'Comext mensuel - EUROSTAT'!L136,'Comext mensuel - EUROSTAT'!N136,'Comext mensuel - EUROSTAT'!P136,'Comext mensuel - EUROSTAT'!R136,'Comext mensuel - EUROSTAT'!T136,'Comext mensuel - EUROSTAT'!V136,'Comext mensuel - EUROSTAT'!X136)/10^4</f>
        <v>0</v>
      </c>
      <c r="E109" s="908">
        <f>SUM('Comext mensuel - EUROSTAT'!C136,'Comext mensuel - EUROSTAT'!E136,'Comext mensuel - EUROSTAT'!G136,'Comext mensuel - EUROSTAT'!I136,'Comext mensuel - EUROSTAT'!K136,'Comext mensuel - EUROSTAT'!M136,'Comext mensuel - EUROSTAT'!O136,'Comext mensuel - EUROSTAT'!Q136,'Comext mensuel - EUROSTAT'!S136,'Comext mensuel - EUROSTAT'!U136,'Comext mensuel - EUROSTAT'!W136,'Comext mensuel - EUROSTAT'!Y136)/10^4</f>
        <v>0</v>
      </c>
      <c r="F109" s="908">
        <f>SUM('Comext mensuel - EUROSTAT'!Z136,'Comext mensuel - EUROSTAT'!AB136,'Comext mensuel - EUROSTAT'!AD136,'Comext mensuel - EUROSTAT'!AF136,'Comext mensuel - EUROSTAT'!AH136,'Comext mensuel - EUROSTAT'!AJ136,'Comext mensuel - EUROSTAT'!AL136,'Comext mensuel - EUROSTAT'!AN136,'Comext mensuel - EUROSTAT'!AP136,'Comext mensuel - EUROSTAT'!AR136,'Comext mensuel - EUROSTAT'!AT136,'Comext mensuel - EUROSTAT'!AV136)/10^4</f>
        <v>3.215E-3</v>
      </c>
      <c r="G109" s="908">
        <f>SUM('Comext mensuel - EUROSTAT'!AA136,'Comext mensuel - EUROSTAT'!AC136,'Comext mensuel - EUROSTAT'!AE136,'Comext mensuel - EUROSTAT'!AG136,'Comext mensuel - EUROSTAT'!AI136,'Comext mensuel - EUROSTAT'!AK136,'Comext mensuel - EUROSTAT'!AM136,'Comext mensuel - EUROSTAT'!AO136,'Comext mensuel - EUROSTAT'!AQ136,'Comext mensuel - EUROSTAT'!AS136,'Comext mensuel - EUROSTAT'!AU136,'Comext mensuel - EUROSTAT'!AW136)/10^4</f>
        <v>0</v>
      </c>
      <c r="H109" s="908">
        <f>SUM('Comext mensuel - EUROSTAT'!AX136,'Comext mensuel - EUROSTAT'!AZ136,'Comext mensuel - EUROSTAT'!BB136,'Comext mensuel - EUROSTAT'!BD136,'Comext mensuel - EUROSTAT'!BF136,'Comext mensuel - EUROSTAT'!BH136,'Comext mensuel - EUROSTAT'!BJ136,'Comext mensuel - EUROSTAT'!BL136,'Comext mensuel - EUROSTAT'!BN136,'Comext mensuel - EUROSTAT'!BP136,'Comext mensuel - EUROSTAT'!BR136,'Comext mensuel - EUROSTAT'!BT136)/10^4</f>
        <v>1.204E-3</v>
      </c>
      <c r="I109" s="908">
        <f>SUM('Comext mensuel - EUROSTAT'!AY136,'Comext mensuel - EUROSTAT'!BA136,'Comext mensuel - EUROSTAT'!BC136,'Comext mensuel - EUROSTAT'!BE136,'Comext mensuel - EUROSTAT'!BG136,'Comext mensuel - EUROSTAT'!BI136,'Comext mensuel - EUROSTAT'!BK136,'Comext mensuel - EUROSTAT'!BM136,'Comext mensuel - EUROSTAT'!BO136,'Comext mensuel - EUROSTAT'!BQ136,'Comext mensuel - EUROSTAT'!BS136,'Comext mensuel - EUROSTAT'!BU136)/10^4</f>
        <v>0</v>
      </c>
      <c r="J109" s="911" t="e">
        <f>'Comext annuel - EUROSTAT'!C157/10^4</f>
        <v>#VALUE!</v>
      </c>
      <c r="K109" s="911">
        <f>'Comext annuel - EUROSTAT'!D157/10^4</f>
        <v>1E-4</v>
      </c>
      <c r="L109" s="911">
        <f>'Comext annuel - EUROSTAT'!E157/10^4</f>
        <v>2.9530000000000003E-3</v>
      </c>
      <c r="M109" s="911">
        <f>'Comext annuel - EUROSTAT'!F157/10^4</f>
        <v>0</v>
      </c>
      <c r="N109" s="911">
        <f>'Comext annuel - EUROSTAT'!G157/10^4</f>
        <v>1.7109999999999998E-3</v>
      </c>
      <c r="O109" s="911">
        <f>'Comext annuel - EUROSTAT'!H157/10^4</f>
        <v>2.9500000000000001E-4</v>
      </c>
    </row>
    <row r="110" spans="1:15">
      <c r="B110" s="1027"/>
      <c r="C110" t="str">
        <f>'Comext mensuel - EUROSTAT'!A137</f>
        <v>Huile de graines de tabac et ses fractions, même raffinées, mais non chimiquement modifiées (à l'excl. de l'huile brute et de l'huile destinée à des usages techniques ou industriels)</v>
      </c>
      <c r="D110" s="908">
        <f>SUM('Comext mensuel - EUROSTAT'!B137,'Comext mensuel - EUROSTAT'!D137,'Comext mensuel - EUROSTAT'!F137,'Comext mensuel - EUROSTAT'!H137,'Comext mensuel - EUROSTAT'!J137,'Comext mensuel - EUROSTAT'!L137,'Comext mensuel - EUROSTAT'!N137,'Comext mensuel - EUROSTAT'!P137,'Comext mensuel - EUROSTAT'!R137,'Comext mensuel - EUROSTAT'!T137,'Comext mensuel - EUROSTAT'!V137,'Comext mensuel - EUROSTAT'!X137)/10^4</f>
        <v>3.068E-3</v>
      </c>
      <c r="E110" s="908">
        <f>SUM('Comext mensuel - EUROSTAT'!C137,'Comext mensuel - EUROSTAT'!E137,'Comext mensuel - EUROSTAT'!G137,'Comext mensuel - EUROSTAT'!I137,'Comext mensuel - EUROSTAT'!K137,'Comext mensuel - EUROSTAT'!M137,'Comext mensuel - EUROSTAT'!O137,'Comext mensuel - EUROSTAT'!Q137,'Comext mensuel - EUROSTAT'!S137,'Comext mensuel - EUROSTAT'!U137,'Comext mensuel - EUROSTAT'!W137,'Comext mensuel - EUROSTAT'!Y137)/10^4</f>
        <v>4.7800000000000002E-4</v>
      </c>
      <c r="F110" s="908">
        <f>SUM('Comext mensuel - EUROSTAT'!Z137,'Comext mensuel - EUROSTAT'!AB137,'Comext mensuel - EUROSTAT'!AD137,'Comext mensuel - EUROSTAT'!AF137,'Comext mensuel - EUROSTAT'!AH137,'Comext mensuel - EUROSTAT'!AJ137,'Comext mensuel - EUROSTAT'!AL137,'Comext mensuel - EUROSTAT'!AN137,'Comext mensuel - EUROSTAT'!AP137,'Comext mensuel - EUROSTAT'!AR137,'Comext mensuel - EUROSTAT'!AT137,'Comext mensuel - EUROSTAT'!AV137)/10^4</f>
        <v>5.5203000000000009E-2</v>
      </c>
      <c r="G110" s="908">
        <f>SUM('Comext mensuel - EUROSTAT'!AA137,'Comext mensuel - EUROSTAT'!AC137,'Comext mensuel - EUROSTAT'!AE137,'Comext mensuel - EUROSTAT'!AG137,'Comext mensuel - EUROSTAT'!AI137,'Comext mensuel - EUROSTAT'!AK137,'Comext mensuel - EUROSTAT'!AM137,'Comext mensuel - EUROSTAT'!AO137,'Comext mensuel - EUROSTAT'!AQ137,'Comext mensuel - EUROSTAT'!AS137,'Comext mensuel - EUROSTAT'!AU137,'Comext mensuel - EUROSTAT'!AW137)/10^4</f>
        <v>7.9799999999999999E-4</v>
      </c>
      <c r="H110" s="908">
        <f>SUM('Comext mensuel - EUROSTAT'!AX137,'Comext mensuel - EUROSTAT'!AZ137,'Comext mensuel - EUROSTAT'!BB137,'Comext mensuel - EUROSTAT'!BD137,'Comext mensuel - EUROSTAT'!BF137,'Comext mensuel - EUROSTAT'!BH137,'Comext mensuel - EUROSTAT'!BJ137,'Comext mensuel - EUROSTAT'!BL137,'Comext mensuel - EUROSTAT'!BN137,'Comext mensuel - EUROSTAT'!BP137,'Comext mensuel - EUROSTAT'!BR137,'Comext mensuel - EUROSTAT'!BT137)/10^4</f>
        <v>1.8516000000000001E-2</v>
      </c>
      <c r="I110" s="908">
        <f>SUM('Comext mensuel - EUROSTAT'!AY137,'Comext mensuel - EUROSTAT'!BA137,'Comext mensuel - EUROSTAT'!BC137,'Comext mensuel - EUROSTAT'!BE137,'Comext mensuel - EUROSTAT'!BG137,'Comext mensuel - EUROSTAT'!BI137,'Comext mensuel - EUROSTAT'!BK137,'Comext mensuel - EUROSTAT'!BM137,'Comext mensuel - EUROSTAT'!BO137,'Comext mensuel - EUROSTAT'!BQ137,'Comext mensuel - EUROSTAT'!BS137,'Comext mensuel - EUROSTAT'!BU137)/10^4</f>
        <v>1.093E-3</v>
      </c>
      <c r="J110" s="911">
        <f>'Comext annuel - EUROSTAT'!C158/10^4</f>
        <v>2.2789999999999998E-3</v>
      </c>
      <c r="K110" s="911">
        <f>'Comext annuel - EUROSTAT'!D158/10^4</f>
        <v>4.5399999999999998E-4</v>
      </c>
      <c r="L110" s="911">
        <f>'Comext annuel - EUROSTAT'!E158/10^4</f>
        <v>6.9878999999999997E-2</v>
      </c>
      <c r="M110" s="911">
        <f>'Comext annuel - EUROSTAT'!F158/10^4</f>
        <v>3.8400000000000001E-4</v>
      </c>
      <c r="N110" s="911">
        <f>'Comext annuel - EUROSTAT'!G158/10^4</f>
        <v>6.9064E-2</v>
      </c>
      <c r="O110" s="911">
        <f>'Comext annuel - EUROSTAT'!H158/10^4</f>
        <v>1.9920000000000003E-3</v>
      </c>
    </row>
    <row r="111" spans="1:15">
      <c r="B111" s="1027"/>
      <c r="C111" t="str">
        <f>'Comext mensuel - EUROSTAT'!A138</f>
        <v>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Japon)(2022-2500);Graisses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Japon)(1988-2021)</v>
      </c>
      <c r="D111" s="908">
        <f>SUM('Comext mensuel - EUROSTAT'!B138,'Comext mensuel - EUROSTAT'!D138,'Comext mensuel - EUROSTAT'!F138,'Comext mensuel - EUROSTAT'!H138,'Comext mensuel - EUROSTAT'!J138,'Comext mensuel - EUROSTAT'!L138,'Comext mensuel - EUROSTAT'!N138,'Comext mensuel - EUROSTAT'!P138,'Comext mensuel - EUROSTAT'!R138,'Comext mensuel - EUROSTAT'!T138,'Comext mensuel - EUROSTAT'!V138,'Comext mensuel - EUROSTAT'!X138)/10^4</f>
        <v>2.6979519999999999</v>
      </c>
      <c r="E111" s="908">
        <f>SUM('Comext mensuel - EUROSTAT'!C138,'Comext mensuel - EUROSTAT'!E138,'Comext mensuel - EUROSTAT'!G138,'Comext mensuel - EUROSTAT'!I138,'Comext mensuel - EUROSTAT'!K138,'Comext mensuel - EUROSTAT'!M138,'Comext mensuel - EUROSTAT'!O138,'Comext mensuel - EUROSTAT'!Q138,'Comext mensuel - EUROSTAT'!S138,'Comext mensuel - EUROSTAT'!U138,'Comext mensuel - EUROSTAT'!W138,'Comext mensuel - EUROSTAT'!Y138)/10^4</f>
        <v>1.4784750000000002</v>
      </c>
      <c r="F111" s="908">
        <f>SUM('Comext mensuel - EUROSTAT'!Z138,'Comext mensuel - EUROSTAT'!AB138,'Comext mensuel - EUROSTAT'!AD138,'Comext mensuel - EUROSTAT'!AF138,'Comext mensuel - EUROSTAT'!AH138,'Comext mensuel - EUROSTAT'!AJ138,'Comext mensuel - EUROSTAT'!AL138,'Comext mensuel - EUROSTAT'!AN138,'Comext mensuel - EUROSTAT'!AP138,'Comext mensuel - EUROSTAT'!AR138,'Comext mensuel - EUROSTAT'!AT138,'Comext mensuel - EUROSTAT'!AV138)/10^4</f>
        <v>1.797814</v>
      </c>
      <c r="G111" s="908">
        <f>SUM('Comext mensuel - EUROSTAT'!AA138,'Comext mensuel - EUROSTAT'!AC138,'Comext mensuel - EUROSTAT'!AE138,'Comext mensuel - EUROSTAT'!AG138,'Comext mensuel - EUROSTAT'!AI138,'Comext mensuel - EUROSTAT'!AK138,'Comext mensuel - EUROSTAT'!AM138,'Comext mensuel - EUROSTAT'!AO138,'Comext mensuel - EUROSTAT'!AQ138,'Comext mensuel - EUROSTAT'!AS138,'Comext mensuel - EUROSTAT'!AU138,'Comext mensuel - EUROSTAT'!AW138)/10^4</f>
        <v>1.4636310000000001</v>
      </c>
      <c r="H111" s="908">
        <f>SUM('Comext mensuel - EUROSTAT'!AX138,'Comext mensuel - EUROSTAT'!AZ138,'Comext mensuel - EUROSTAT'!BB138,'Comext mensuel - EUROSTAT'!BD138,'Comext mensuel - EUROSTAT'!BF138,'Comext mensuel - EUROSTAT'!BH138,'Comext mensuel - EUROSTAT'!BJ138,'Comext mensuel - EUROSTAT'!BL138,'Comext mensuel - EUROSTAT'!BN138,'Comext mensuel - EUROSTAT'!BP138,'Comext mensuel - EUROSTAT'!BR138,'Comext mensuel - EUROSTAT'!BT138)/10^4</f>
        <v>0.83322099999999988</v>
      </c>
      <c r="I111" s="908">
        <f>SUM('Comext mensuel - EUROSTAT'!AY138,'Comext mensuel - EUROSTAT'!BA138,'Comext mensuel - EUROSTAT'!BC138,'Comext mensuel - EUROSTAT'!BE138,'Comext mensuel - EUROSTAT'!BG138,'Comext mensuel - EUROSTAT'!BI138,'Comext mensuel - EUROSTAT'!BK138,'Comext mensuel - EUROSTAT'!BM138,'Comext mensuel - EUROSTAT'!BO138,'Comext mensuel - EUROSTAT'!BQ138,'Comext mensuel - EUROSTAT'!BS138,'Comext mensuel - EUROSTAT'!BU138)/10^4</f>
        <v>0.20191300000000001</v>
      </c>
      <c r="J111" s="911">
        <f>'Comext annuel - EUROSTAT'!C159/10^4</f>
        <v>2.5901669999999997</v>
      </c>
      <c r="K111" s="911">
        <f>'Comext annuel - EUROSTAT'!D159/10^4</f>
        <v>1.1508459999999998</v>
      </c>
      <c r="L111" s="911">
        <f>'Comext annuel - EUROSTAT'!E159/10^4</f>
        <v>2.3046519999999999</v>
      </c>
      <c r="M111" s="911">
        <f>'Comext annuel - EUROSTAT'!F159/10^4</f>
        <v>2.645804</v>
      </c>
      <c r="N111" s="911">
        <f>'Comext annuel - EUROSTAT'!G159/10^4</f>
        <v>0.94946200000000003</v>
      </c>
      <c r="O111" s="911">
        <f>'Comext annuel - EUROSTAT'!H159/10^4</f>
        <v>0.17547000000000001</v>
      </c>
    </row>
    <row r="112" spans="1:15">
      <c r="B112" s="1027"/>
      <c r="C112" t="str">
        <f>'Comext mensuel - EUROSTAT'!A139</f>
        <v>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Japon)(2022-2500);Graisses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Japon)(1988-2021)</v>
      </c>
      <c r="D112" s="908">
        <f>SUM('Comext mensuel - EUROSTAT'!B139,'Comext mensuel - EUROSTAT'!D139,'Comext mensuel - EUROSTAT'!F139,'Comext mensuel - EUROSTAT'!H139,'Comext mensuel - EUROSTAT'!J139,'Comext mensuel - EUROSTAT'!L139,'Comext mensuel - EUROSTAT'!N139,'Comext mensuel - EUROSTAT'!P139,'Comext mensuel - EUROSTAT'!R139,'Comext mensuel - EUROSTAT'!T139,'Comext mensuel - EUROSTAT'!V139,'Comext mensuel - EUROSTAT'!X139)/10^4</f>
        <v>3.6215999999999998E-2</v>
      </c>
      <c r="E112" s="908">
        <f>SUM('Comext mensuel - EUROSTAT'!C139,'Comext mensuel - EUROSTAT'!E139,'Comext mensuel - EUROSTAT'!G139,'Comext mensuel - EUROSTAT'!I139,'Comext mensuel - EUROSTAT'!K139,'Comext mensuel - EUROSTAT'!M139,'Comext mensuel - EUROSTAT'!O139,'Comext mensuel - EUROSTAT'!Q139,'Comext mensuel - EUROSTAT'!S139,'Comext mensuel - EUROSTAT'!U139,'Comext mensuel - EUROSTAT'!W139,'Comext mensuel - EUROSTAT'!Y139)/10^4</f>
        <v>3.0813E-2</v>
      </c>
      <c r="F112" s="908">
        <f>SUM('Comext mensuel - EUROSTAT'!Z139,'Comext mensuel - EUROSTAT'!AB139,'Comext mensuel - EUROSTAT'!AD139,'Comext mensuel - EUROSTAT'!AF139,'Comext mensuel - EUROSTAT'!AH139,'Comext mensuel - EUROSTAT'!AJ139,'Comext mensuel - EUROSTAT'!AL139,'Comext mensuel - EUROSTAT'!AN139,'Comext mensuel - EUROSTAT'!AP139,'Comext mensuel - EUROSTAT'!AR139,'Comext mensuel - EUROSTAT'!AT139,'Comext mensuel - EUROSTAT'!AV139)/10^4</f>
        <v>3.7068000000000004E-2</v>
      </c>
      <c r="G112" s="908">
        <f>SUM('Comext mensuel - EUROSTAT'!AA139,'Comext mensuel - EUROSTAT'!AC139,'Comext mensuel - EUROSTAT'!AE139,'Comext mensuel - EUROSTAT'!AG139,'Comext mensuel - EUROSTAT'!AI139,'Comext mensuel - EUROSTAT'!AK139,'Comext mensuel - EUROSTAT'!AM139,'Comext mensuel - EUROSTAT'!AO139,'Comext mensuel - EUROSTAT'!AQ139,'Comext mensuel - EUROSTAT'!AS139,'Comext mensuel - EUROSTAT'!AU139,'Comext mensuel - EUROSTAT'!AW139)/10^4</f>
        <v>2.5593000000000001E-2</v>
      </c>
      <c r="H112" s="908">
        <f>SUM('Comext mensuel - EUROSTAT'!AX139,'Comext mensuel - EUROSTAT'!AZ139,'Comext mensuel - EUROSTAT'!BB139,'Comext mensuel - EUROSTAT'!BD139,'Comext mensuel - EUROSTAT'!BF139,'Comext mensuel - EUROSTAT'!BH139,'Comext mensuel - EUROSTAT'!BJ139,'Comext mensuel - EUROSTAT'!BL139,'Comext mensuel - EUROSTAT'!BN139,'Comext mensuel - EUROSTAT'!BP139,'Comext mensuel - EUROSTAT'!BR139,'Comext mensuel - EUROSTAT'!BT139)/10^4</f>
        <v>0.66168400000000005</v>
      </c>
      <c r="I112" s="908">
        <f>SUM('Comext mensuel - EUROSTAT'!AY139,'Comext mensuel - EUROSTAT'!BA139,'Comext mensuel - EUROSTAT'!BC139,'Comext mensuel - EUROSTAT'!BE139,'Comext mensuel - EUROSTAT'!BG139,'Comext mensuel - EUROSTAT'!BI139,'Comext mensuel - EUROSTAT'!BK139,'Comext mensuel - EUROSTAT'!BM139,'Comext mensuel - EUROSTAT'!BO139,'Comext mensuel - EUROSTAT'!BQ139,'Comext mensuel - EUROSTAT'!BS139,'Comext mensuel - EUROSTAT'!BU139)/10^4</f>
        <v>2.9803000000000003E-2</v>
      </c>
      <c r="J112" s="911">
        <f>'Comext annuel - EUROSTAT'!C160/10^4</f>
        <v>3.9801999999999997E-2</v>
      </c>
      <c r="K112" s="911">
        <f>'Comext annuel - EUROSTAT'!D160/10^4</f>
        <v>3.2480000000000002E-2</v>
      </c>
      <c r="L112" s="911">
        <f>'Comext annuel - EUROSTAT'!E160/10^4</f>
        <v>9.4351999999999991E-2</v>
      </c>
      <c r="M112" s="911">
        <f>'Comext annuel - EUROSTAT'!F160/10^4</f>
        <v>2.7529000000000001E-2</v>
      </c>
      <c r="N112" s="911">
        <f>'Comext annuel - EUROSTAT'!G160/10^4</f>
        <v>0.67824600000000002</v>
      </c>
      <c r="O112" s="911">
        <f>'Comext annuel - EUROSTAT'!H160/10^4</f>
        <v>3.5890999999999999E-2</v>
      </c>
    </row>
    <row r="113" spans="1:15">
      <c r="B113" s="1027"/>
      <c r="C113" t="str">
        <f>'Comext mensuel - EUROSTAT'!A140</f>
        <v>Graisses et huiles végétales fixes, brutes, concrètes, présentées en emballages immédiats d'un contenu net &gt; 1 kg, et graisses et huiles végétales fixes, brutes, fluides (sauf produits destinés à usages techniques ou industriels; cires de myrica ou du Japon; huiles reprises entre le n°1507 et le n° 1515 90 39)(2022-2500);Graisses et huiles végétales fixes, brutes, concrètes, présentées en emballages immédiats d'un contenu net &gt; 1 kg, et graisses et huiles végétales fixes, brutes, fluides (sauf produits destinés à usages techniques ou industriels; cires de myrica ou du Japon; huiles reprises entre le n°1507 et le n° 1515 90 39)(1988-2021)</v>
      </c>
      <c r="D113" s="908">
        <f>SUM('Comext mensuel - EUROSTAT'!B140,'Comext mensuel - EUROSTAT'!D140,'Comext mensuel - EUROSTAT'!F140,'Comext mensuel - EUROSTAT'!H140,'Comext mensuel - EUROSTAT'!J140,'Comext mensuel - EUROSTAT'!L140,'Comext mensuel - EUROSTAT'!N140,'Comext mensuel - EUROSTAT'!P140,'Comext mensuel - EUROSTAT'!R140,'Comext mensuel - EUROSTAT'!T140,'Comext mensuel - EUROSTAT'!V140,'Comext mensuel - EUROSTAT'!X140)/10^4</f>
        <v>7.8639809999999999</v>
      </c>
      <c r="E113" s="908">
        <f>SUM('Comext mensuel - EUROSTAT'!C140,'Comext mensuel - EUROSTAT'!E140,'Comext mensuel - EUROSTAT'!G140,'Comext mensuel - EUROSTAT'!I140,'Comext mensuel - EUROSTAT'!K140,'Comext mensuel - EUROSTAT'!M140,'Comext mensuel - EUROSTAT'!O140,'Comext mensuel - EUROSTAT'!Q140,'Comext mensuel - EUROSTAT'!S140,'Comext mensuel - EUROSTAT'!U140,'Comext mensuel - EUROSTAT'!W140,'Comext mensuel - EUROSTAT'!Y140)/10^4</f>
        <v>3.2637800000000001</v>
      </c>
      <c r="F113" s="908">
        <f>SUM('Comext mensuel - EUROSTAT'!Z140,'Comext mensuel - EUROSTAT'!AB140,'Comext mensuel - EUROSTAT'!AD140,'Comext mensuel - EUROSTAT'!AF140,'Comext mensuel - EUROSTAT'!AH140,'Comext mensuel - EUROSTAT'!AJ140,'Comext mensuel - EUROSTAT'!AL140,'Comext mensuel - EUROSTAT'!AN140,'Comext mensuel - EUROSTAT'!AP140,'Comext mensuel - EUROSTAT'!AR140,'Comext mensuel - EUROSTAT'!AT140,'Comext mensuel - EUROSTAT'!AV140)/10^4</f>
        <v>14.752385999999998</v>
      </c>
      <c r="G113" s="908">
        <f>SUM('Comext mensuel - EUROSTAT'!AA140,'Comext mensuel - EUROSTAT'!AC140,'Comext mensuel - EUROSTAT'!AE140,'Comext mensuel - EUROSTAT'!AG140,'Comext mensuel - EUROSTAT'!AI140,'Comext mensuel - EUROSTAT'!AK140,'Comext mensuel - EUROSTAT'!AM140,'Comext mensuel - EUROSTAT'!AO140,'Comext mensuel - EUROSTAT'!AQ140,'Comext mensuel - EUROSTAT'!AS140,'Comext mensuel - EUROSTAT'!AU140,'Comext mensuel - EUROSTAT'!AW140)/10^4</f>
        <v>2.0653080000000004</v>
      </c>
      <c r="H113" s="908">
        <f>SUM('Comext mensuel - EUROSTAT'!AX140,'Comext mensuel - EUROSTAT'!AZ140,'Comext mensuel - EUROSTAT'!BB140,'Comext mensuel - EUROSTAT'!BD140,'Comext mensuel - EUROSTAT'!BF140,'Comext mensuel - EUROSTAT'!BH140,'Comext mensuel - EUROSTAT'!BJ140,'Comext mensuel - EUROSTAT'!BL140,'Comext mensuel - EUROSTAT'!BN140,'Comext mensuel - EUROSTAT'!BP140,'Comext mensuel - EUROSTAT'!BR140,'Comext mensuel - EUROSTAT'!BT140)/10^4</f>
        <v>14.490604999999999</v>
      </c>
      <c r="I113" s="908">
        <f>SUM('Comext mensuel - EUROSTAT'!AY140,'Comext mensuel - EUROSTAT'!BA140,'Comext mensuel - EUROSTAT'!BC140,'Comext mensuel - EUROSTAT'!BE140,'Comext mensuel - EUROSTAT'!BG140,'Comext mensuel - EUROSTAT'!BI140,'Comext mensuel - EUROSTAT'!BK140,'Comext mensuel - EUROSTAT'!BM140,'Comext mensuel - EUROSTAT'!BO140,'Comext mensuel - EUROSTAT'!BQ140,'Comext mensuel - EUROSTAT'!BS140,'Comext mensuel - EUROSTAT'!BU140)/10^4</f>
        <v>1.7323930000000001</v>
      </c>
      <c r="J113" s="911">
        <f>'Comext annuel - EUROSTAT'!C161/10^4</f>
        <v>7.851102</v>
      </c>
      <c r="K113" s="911">
        <f>'Comext annuel - EUROSTAT'!D161/10^4</f>
        <v>3.7334160000000005</v>
      </c>
      <c r="L113" s="911">
        <f>'Comext annuel - EUROSTAT'!E161/10^4</f>
        <v>14.431360999999999</v>
      </c>
      <c r="M113" s="911">
        <f>'Comext annuel - EUROSTAT'!F161/10^4</f>
        <v>2.2066910000000002</v>
      </c>
      <c r="N113" s="911">
        <f>'Comext annuel - EUROSTAT'!G161/10^4</f>
        <v>13.698456</v>
      </c>
      <c r="O113" s="911">
        <f>'Comext annuel - EUROSTAT'!H161/10^4</f>
        <v>1.6853490000000002</v>
      </c>
    </row>
    <row r="114" spans="1:15">
      <c r="B114" s="1027"/>
      <c r="C114" t="str">
        <f>'Comext mensuel - EUROSTAT'!A141</f>
        <v>Graisses et huiles végétales et leurs fractions, fixes, même raffinées, mais non chimiquement modifiées, destinées à des usages techniques ou industriels (sauf produits destinés à la fabrication de produits pour l'alimentation humaine; graisses et huiles brutes; des huiles de soja, d'arachide, d'olive, de palme, de babassu, de navette, de colza, de moutarde, de lin, de maïs, de ricin, de tung {abrasin}, de sésame, de jojoba, d'oïticica ou de graines de tabac ainsi que des cires de myrica et du Japon)(2022-2500);Graisses et huiles végétales et leurs fractions, fixes, même raffinées, mais non chimiquement modifiées, destinées à des usages techniques ou industriels (sauf produits destinés à la fabrication de produits pour l'alimentation humaine; graisses et huiles brutes; des huiles de soja, d'arachide, d'olive, de palme, de babassu, de navette, de colza, de moutarde, de lin, de maïs, de ricin, de tung {abrasin}, de sésame, de jojoba, d'oïticica ou de graines de tabac ainsi que des cires de myrica et du Japon)(1988-2021)</v>
      </c>
      <c r="D114" s="908">
        <f>SUM('Comext mensuel - EUROSTAT'!B141,'Comext mensuel - EUROSTAT'!D141,'Comext mensuel - EUROSTAT'!F141,'Comext mensuel - EUROSTAT'!H141,'Comext mensuel - EUROSTAT'!J141,'Comext mensuel - EUROSTAT'!L141,'Comext mensuel - EUROSTAT'!N141,'Comext mensuel - EUROSTAT'!P141,'Comext mensuel - EUROSTAT'!R141,'Comext mensuel - EUROSTAT'!T141,'Comext mensuel - EUROSTAT'!V141,'Comext mensuel - EUROSTAT'!X141)/10^4</f>
        <v>3.0402339999999999</v>
      </c>
      <c r="E114" s="908">
        <f>SUM('Comext mensuel - EUROSTAT'!C141,'Comext mensuel - EUROSTAT'!E141,'Comext mensuel - EUROSTAT'!G141,'Comext mensuel - EUROSTAT'!I141,'Comext mensuel - EUROSTAT'!K141,'Comext mensuel - EUROSTAT'!M141,'Comext mensuel - EUROSTAT'!O141,'Comext mensuel - EUROSTAT'!Q141,'Comext mensuel - EUROSTAT'!S141,'Comext mensuel - EUROSTAT'!U141,'Comext mensuel - EUROSTAT'!W141,'Comext mensuel - EUROSTAT'!Y141)/10^4</f>
        <v>3.0011000000000001</v>
      </c>
      <c r="F114" s="908">
        <f>SUM('Comext mensuel - EUROSTAT'!Z141,'Comext mensuel - EUROSTAT'!AB141,'Comext mensuel - EUROSTAT'!AD141,'Comext mensuel - EUROSTAT'!AF141,'Comext mensuel - EUROSTAT'!AH141,'Comext mensuel - EUROSTAT'!AJ141,'Comext mensuel - EUROSTAT'!AL141,'Comext mensuel - EUROSTAT'!AN141,'Comext mensuel - EUROSTAT'!AP141,'Comext mensuel - EUROSTAT'!AR141,'Comext mensuel - EUROSTAT'!AT141,'Comext mensuel - EUROSTAT'!AV141)/10^4</f>
        <v>1.8483520000000004</v>
      </c>
      <c r="G114" s="908">
        <f>SUM('Comext mensuel - EUROSTAT'!AA141,'Comext mensuel - EUROSTAT'!AC141,'Comext mensuel - EUROSTAT'!AE141,'Comext mensuel - EUROSTAT'!AG141,'Comext mensuel - EUROSTAT'!AI141,'Comext mensuel - EUROSTAT'!AK141,'Comext mensuel - EUROSTAT'!AM141,'Comext mensuel - EUROSTAT'!AO141,'Comext mensuel - EUROSTAT'!AQ141,'Comext mensuel - EUROSTAT'!AS141,'Comext mensuel - EUROSTAT'!AU141,'Comext mensuel - EUROSTAT'!AW141)/10^4</f>
        <v>3.0188809999999999</v>
      </c>
      <c r="H114" s="908">
        <f>SUM('Comext mensuel - EUROSTAT'!AX141,'Comext mensuel - EUROSTAT'!AZ141,'Comext mensuel - EUROSTAT'!BB141,'Comext mensuel - EUROSTAT'!BD141,'Comext mensuel - EUROSTAT'!BF141,'Comext mensuel - EUROSTAT'!BH141,'Comext mensuel - EUROSTAT'!BJ141,'Comext mensuel - EUROSTAT'!BL141,'Comext mensuel - EUROSTAT'!BN141,'Comext mensuel - EUROSTAT'!BP141,'Comext mensuel - EUROSTAT'!BR141,'Comext mensuel - EUROSTAT'!BT141)/10^4</f>
        <v>5.117907999999999</v>
      </c>
      <c r="I114" s="908">
        <f>SUM('Comext mensuel - EUROSTAT'!AY141,'Comext mensuel - EUROSTAT'!BA141,'Comext mensuel - EUROSTAT'!BC141,'Comext mensuel - EUROSTAT'!BE141,'Comext mensuel - EUROSTAT'!BG141,'Comext mensuel - EUROSTAT'!BI141,'Comext mensuel - EUROSTAT'!BK141,'Comext mensuel - EUROSTAT'!BM141,'Comext mensuel - EUROSTAT'!BO141,'Comext mensuel - EUROSTAT'!BQ141,'Comext mensuel - EUROSTAT'!BS141,'Comext mensuel - EUROSTAT'!BU141)/10^4</f>
        <v>3.2205840000000001</v>
      </c>
      <c r="J114" s="911">
        <f>'Comext annuel - EUROSTAT'!C162/10^4</f>
        <v>2.7867649999999999</v>
      </c>
      <c r="K114" s="911">
        <f>'Comext annuel - EUROSTAT'!D162/10^4</f>
        <v>2.7242280000000001</v>
      </c>
      <c r="L114" s="911">
        <f>'Comext annuel - EUROSTAT'!E162/10^4</f>
        <v>2.0199380000000002</v>
      </c>
      <c r="M114" s="911">
        <f>'Comext annuel - EUROSTAT'!F162/10^4</f>
        <v>2.7582110000000002</v>
      </c>
      <c r="N114" s="911">
        <f>'Comext annuel - EUROSTAT'!G162/10^4</f>
        <v>6.6925699999999999</v>
      </c>
      <c r="O114" s="911">
        <f>'Comext annuel - EUROSTAT'!H162/10^4</f>
        <v>2.5564089999999999</v>
      </c>
    </row>
    <row r="115" spans="1:15">
      <c r="B115" s="1027"/>
      <c r="C115" t="str">
        <f>'Comext mensuel - EUROSTAT'!A142</f>
        <v>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industriels)(2022-2500);Graisses et huiles végétales fixes et leurs fractions, même raffinées, mais non chimiquement modifiées, concrètes, présentées en emballages immédiats d'un contenu net &lt;= 1 kg, n.d.a. (à l'excl. des graisses et huiles brutes ainsi que des graisses et huiles destinées à des usages techniques ou industriels)(1988-2021)</v>
      </c>
      <c r="D115" s="908">
        <f>SUM('Comext mensuel - EUROSTAT'!B142,'Comext mensuel - EUROSTAT'!D142,'Comext mensuel - EUROSTAT'!F142,'Comext mensuel - EUROSTAT'!H142,'Comext mensuel - EUROSTAT'!J142,'Comext mensuel - EUROSTAT'!L142,'Comext mensuel - EUROSTAT'!N142,'Comext mensuel - EUROSTAT'!P142,'Comext mensuel - EUROSTAT'!R142,'Comext mensuel - EUROSTAT'!T142,'Comext mensuel - EUROSTAT'!V142,'Comext mensuel - EUROSTAT'!X142)/10^4</f>
        <v>1.8510820000000003</v>
      </c>
      <c r="E115" s="908">
        <f>SUM('Comext mensuel - EUROSTAT'!C142,'Comext mensuel - EUROSTAT'!E142,'Comext mensuel - EUROSTAT'!G142,'Comext mensuel - EUROSTAT'!I142,'Comext mensuel - EUROSTAT'!K142,'Comext mensuel - EUROSTAT'!M142,'Comext mensuel - EUROSTAT'!O142,'Comext mensuel - EUROSTAT'!Q142,'Comext mensuel - EUROSTAT'!S142,'Comext mensuel - EUROSTAT'!U142,'Comext mensuel - EUROSTAT'!W142,'Comext mensuel - EUROSTAT'!Y142)/10^4</f>
        <v>0.626556</v>
      </c>
      <c r="F115" s="908">
        <f>SUM('Comext mensuel - EUROSTAT'!Z142,'Comext mensuel - EUROSTAT'!AB142,'Comext mensuel - EUROSTAT'!AD142,'Comext mensuel - EUROSTAT'!AF142,'Comext mensuel - EUROSTAT'!AH142,'Comext mensuel - EUROSTAT'!AJ142,'Comext mensuel - EUROSTAT'!AL142,'Comext mensuel - EUROSTAT'!AN142,'Comext mensuel - EUROSTAT'!AP142,'Comext mensuel - EUROSTAT'!AR142,'Comext mensuel - EUROSTAT'!AT142,'Comext mensuel - EUROSTAT'!AV142)/10^4</f>
        <v>2.1873549999999997</v>
      </c>
      <c r="G115" s="908">
        <f>SUM('Comext mensuel - EUROSTAT'!AA142,'Comext mensuel - EUROSTAT'!AC142,'Comext mensuel - EUROSTAT'!AE142,'Comext mensuel - EUROSTAT'!AG142,'Comext mensuel - EUROSTAT'!AI142,'Comext mensuel - EUROSTAT'!AK142,'Comext mensuel - EUROSTAT'!AM142,'Comext mensuel - EUROSTAT'!AO142,'Comext mensuel - EUROSTAT'!AQ142,'Comext mensuel - EUROSTAT'!AS142,'Comext mensuel - EUROSTAT'!AU142,'Comext mensuel - EUROSTAT'!AW142)/10^4</f>
        <v>0.95096100000000006</v>
      </c>
      <c r="H115" s="908">
        <f>SUM('Comext mensuel - EUROSTAT'!AX142,'Comext mensuel - EUROSTAT'!AZ142,'Comext mensuel - EUROSTAT'!BB142,'Comext mensuel - EUROSTAT'!BD142,'Comext mensuel - EUROSTAT'!BF142,'Comext mensuel - EUROSTAT'!BH142,'Comext mensuel - EUROSTAT'!BJ142,'Comext mensuel - EUROSTAT'!BL142,'Comext mensuel - EUROSTAT'!BN142,'Comext mensuel - EUROSTAT'!BP142,'Comext mensuel - EUROSTAT'!BR142,'Comext mensuel - EUROSTAT'!BT142)/10^4</f>
        <v>4.3195249999999996</v>
      </c>
      <c r="I115" s="908">
        <f>SUM('Comext mensuel - EUROSTAT'!AY142,'Comext mensuel - EUROSTAT'!BA142,'Comext mensuel - EUROSTAT'!BC142,'Comext mensuel - EUROSTAT'!BE142,'Comext mensuel - EUROSTAT'!BG142,'Comext mensuel - EUROSTAT'!BI142,'Comext mensuel - EUROSTAT'!BK142,'Comext mensuel - EUROSTAT'!BM142,'Comext mensuel - EUROSTAT'!BO142,'Comext mensuel - EUROSTAT'!BQ142,'Comext mensuel - EUROSTAT'!BS142,'Comext mensuel - EUROSTAT'!BU142)/10^4</f>
        <v>1.126932</v>
      </c>
      <c r="J115" s="911">
        <f>'Comext annuel - EUROSTAT'!C163/10^4</f>
        <v>2.1807110000000001</v>
      </c>
      <c r="K115" s="911">
        <f>'Comext annuel - EUROSTAT'!D163/10^4</f>
        <v>0.77030699999999996</v>
      </c>
      <c r="L115" s="911">
        <f>'Comext annuel - EUROSTAT'!E163/10^4</f>
        <v>1.8842419999999998</v>
      </c>
      <c r="M115" s="911">
        <f>'Comext annuel - EUROSTAT'!F163/10^4</f>
        <v>1.4577280000000001</v>
      </c>
      <c r="N115" s="911">
        <f>'Comext annuel - EUROSTAT'!G163/10^4</f>
        <v>6.3593190000000002</v>
      </c>
      <c r="O115" s="911">
        <f>'Comext annuel - EUROSTAT'!H163/10^4</f>
        <v>0.97520400000000007</v>
      </c>
    </row>
    <row r="116" spans="1:15">
      <c r="B116" s="1027"/>
      <c r="C116" t="str">
        <f>'Comext mensuel - EUROSTAT'!A143</f>
        <v>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industriels)(2022-2500);Graisses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industriels)(1988-2021)</v>
      </c>
      <c r="D116" s="908">
        <f>SUM('Comext mensuel - EUROSTAT'!B143,'Comext mensuel - EUROSTAT'!D143,'Comext mensuel - EUROSTAT'!F143,'Comext mensuel - EUROSTAT'!H143,'Comext mensuel - EUROSTAT'!J143,'Comext mensuel - EUROSTAT'!L143,'Comext mensuel - EUROSTAT'!N143,'Comext mensuel - EUROSTAT'!P143,'Comext mensuel - EUROSTAT'!R143,'Comext mensuel - EUROSTAT'!T143,'Comext mensuel - EUROSTAT'!V143,'Comext mensuel - EUROSTAT'!X143)/10^4</f>
        <v>42.77712600000001</v>
      </c>
      <c r="E116" s="908">
        <f>SUM('Comext mensuel - EUROSTAT'!C143,'Comext mensuel - EUROSTAT'!E143,'Comext mensuel - EUROSTAT'!G143,'Comext mensuel - EUROSTAT'!I143,'Comext mensuel - EUROSTAT'!K143,'Comext mensuel - EUROSTAT'!M143,'Comext mensuel - EUROSTAT'!O143,'Comext mensuel - EUROSTAT'!Q143,'Comext mensuel - EUROSTAT'!S143,'Comext mensuel - EUROSTAT'!U143,'Comext mensuel - EUROSTAT'!W143,'Comext mensuel - EUROSTAT'!Y143)/10^4</f>
        <v>16.496528999999999</v>
      </c>
      <c r="F116" s="908">
        <f>SUM('Comext mensuel - EUROSTAT'!Z143,'Comext mensuel - EUROSTAT'!AB143,'Comext mensuel - EUROSTAT'!AD143,'Comext mensuel - EUROSTAT'!AF143,'Comext mensuel - EUROSTAT'!AH143,'Comext mensuel - EUROSTAT'!AJ143,'Comext mensuel - EUROSTAT'!AL143,'Comext mensuel - EUROSTAT'!AN143,'Comext mensuel - EUROSTAT'!AP143,'Comext mensuel - EUROSTAT'!AR143,'Comext mensuel - EUROSTAT'!AT143,'Comext mensuel - EUROSTAT'!AV143)/10^4</f>
        <v>41.693040000000003</v>
      </c>
      <c r="G116" s="908">
        <f>SUM('Comext mensuel - EUROSTAT'!AA143,'Comext mensuel - EUROSTAT'!AC143,'Comext mensuel - EUROSTAT'!AE143,'Comext mensuel - EUROSTAT'!AG143,'Comext mensuel - EUROSTAT'!AI143,'Comext mensuel - EUROSTAT'!AK143,'Comext mensuel - EUROSTAT'!AM143,'Comext mensuel - EUROSTAT'!AO143,'Comext mensuel - EUROSTAT'!AQ143,'Comext mensuel - EUROSTAT'!AS143,'Comext mensuel - EUROSTAT'!AU143,'Comext mensuel - EUROSTAT'!AW143)/10^4</f>
        <v>14.194419999999997</v>
      </c>
      <c r="H116" s="908">
        <f>SUM('Comext mensuel - EUROSTAT'!AX143,'Comext mensuel - EUROSTAT'!AZ143,'Comext mensuel - EUROSTAT'!BB143,'Comext mensuel - EUROSTAT'!BD143,'Comext mensuel - EUROSTAT'!BF143,'Comext mensuel - EUROSTAT'!BH143,'Comext mensuel - EUROSTAT'!BJ143,'Comext mensuel - EUROSTAT'!BL143,'Comext mensuel - EUROSTAT'!BN143,'Comext mensuel - EUROSTAT'!BP143,'Comext mensuel - EUROSTAT'!BR143,'Comext mensuel - EUROSTAT'!BT143)/10^4</f>
        <v>43.242488000000002</v>
      </c>
      <c r="I116" s="908">
        <f>SUM('Comext mensuel - EUROSTAT'!AY143,'Comext mensuel - EUROSTAT'!BA143,'Comext mensuel - EUROSTAT'!BC143,'Comext mensuel - EUROSTAT'!BE143,'Comext mensuel - EUROSTAT'!BG143,'Comext mensuel - EUROSTAT'!BI143,'Comext mensuel - EUROSTAT'!BK143,'Comext mensuel - EUROSTAT'!BM143,'Comext mensuel - EUROSTAT'!BO143,'Comext mensuel - EUROSTAT'!BQ143,'Comext mensuel - EUROSTAT'!BS143,'Comext mensuel - EUROSTAT'!BU143)/10^4</f>
        <v>17.218756000000003</v>
      </c>
      <c r="J116" s="911">
        <f>'Comext annuel - EUROSTAT'!C164/10^4</f>
        <v>40.225815000000004</v>
      </c>
      <c r="K116" s="911">
        <f>'Comext annuel - EUROSTAT'!D164/10^4</f>
        <v>16.804017999999999</v>
      </c>
      <c r="L116" s="911">
        <f>'Comext annuel - EUROSTAT'!E164/10^4</f>
        <v>48.864131999999998</v>
      </c>
      <c r="M116" s="911">
        <f>'Comext annuel - EUROSTAT'!F164/10^4</f>
        <v>13.964425</v>
      </c>
      <c r="N116" s="911">
        <f>'Comext annuel - EUROSTAT'!G164/10^4</f>
        <v>43.174495</v>
      </c>
      <c r="O116" s="911">
        <f>'Comext annuel - EUROSTAT'!H164/10^4</f>
        <v>15.412625</v>
      </c>
    </row>
    <row r="117" spans="1:15">
      <c r="B117" s="1027"/>
      <c r="C117" t="str">
        <f>'Comext mensuel - EUROSTAT'!A144</f>
        <v>Huiles de ricin hydrogénées, dites 'opalwax'</v>
      </c>
      <c r="D117" s="908">
        <f>SUM('Comext mensuel - EUROSTAT'!B144,'Comext mensuel - EUROSTAT'!D144,'Comext mensuel - EUROSTAT'!F144,'Comext mensuel - EUROSTAT'!H144,'Comext mensuel - EUROSTAT'!J144,'Comext mensuel - EUROSTAT'!L144,'Comext mensuel - EUROSTAT'!N144,'Comext mensuel - EUROSTAT'!P144,'Comext mensuel - EUROSTAT'!R144,'Comext mensuel - EUROSTAT'!T144,'Comext mensuel - EUROSTAT'!V144,'Comext mensuel - EUROSTAT'!X144)/10^4</f>
        <v>2.8182080000000007</v>
      </c>
      <c r="E117" s="908">
        <f>SUM('Comext mensuel - EUROSTAT'!C144,'Comext mensuel - EUROSTAT'!E144,'Comext mensuel - EUROSTAT'!G144,'Comext mensuel - EUROSTAT'!I144,'Comext mensuel - EUROSTAT'!K144,'Comext mensuel - EUROSTAT'!M144,'Comext mensuel - EUROSTAT'!O144,'Comext mensuel - EUROSTAT'!Q144,'Comext mensuel - EUROSTAT'!S144,'Comext mensuel - EUROSTAT'!U144,'Comext mensuel - EUROSTAT'!W144,'Comext mensuel - EUROSTAT'!Y144)/10^4</f>
        <v>1.1940499999999998</v>
      </c>
      <c r="F117" s="908">
        <f>SUM('Comext mensuel - EUROSTAT'!Z144,'Comext mensuel - EUROSTAT'!AB144,'Comext mensuel - EUROSTAT'!AD144,'Comext mensuel - EUROSTAT'!AF144,'Comext mensuel - EUROSTAT'!AH144,'Comext mensuel - EUROSTAT'!AJ144,'Comext mensuel - EUROSTAT'!AL144,'Comext mensuel - EUROSTAT'!AN144,'Comext mensuel - EUROSTAT'!AP144,'Comext mensuel - EUROSTAT'!AR144,'Comext mensuel - EUROSTAT'!AT144,'Comext mensuel - EUROSTAT'!AV144)/10^4</f>
        <v>2.1340819999999998</v>
      </c>
      <c r="G117" s="908">
        <f>SUM('Comext mensuel - EUROSTAT'!AA144,'Comext mensuel - EUROSTAT'!AC144,'Comext mensuel - EUROSTAT'!AE144,'Comext mensuel - EUROSTAT'!AG144,'Comext mensuel - EUROSTAT'!AI144,'Comext mensuel - EUROSTAT'!AK144,'Comext mensuel - EUROSTAT'!AM144,'Comext mensuel - EUROSTAT'!AO144,'Comext mensuel - EUROSTAT'!AQ144,'Comext mensuel - EUROSTAT'!AS144,'Comext mensuel - EUROSTAT'!AU144,'Comext mensuel - EUROSTAT'!AW144)/10^4</f>
        <v>0.93909300000000007</v>
      </c>
      <c r="H117" s="908">
        <f>SUM('Comext mensuel - EUROSTAT'!AX144,'Comext mensuel - EUROSTAT'!AZ144,'Comext mensuel - EUROSTAT'!BB144,'Comext mensuel - EUROSTAT'!BD144,'Comext mensuel - EUROSTAT'!BF144,'Comext mensuel - EUROSTAT'!BH144,'Comext mensuel - EUROSTAT'!BJ144,'Comext mensuel - EUROSTAT'!BL144,'Comext mensuel - EUROSTAT'!BN144,'Comext mensuel - EUROSTAT'!BP144,'Comext mensuel - EUROSTAT'!BR144,'Comext mensuel - EUROSTAT'!BT144)/10^4</f>
        <v>1.9988710000000003</v>
      </c>
      <c r="I117" s="908">
        <f>SUM('Comext mensuel - EUROSTAT'!AY144,'Comext mensuel - EUROSTAT'!BA144,'Comext mensuel - EUROSTAT'!BC144,'Comext mensuel - EUROSTAT'!BE144,'Comext mensuel - EUROSTAT'!BG144,'Comext mensuel - EUROSTAT'!BI144,'Comext mensuel - EUROSTAT'!BK144,'Comext mensuel - EUROSTAT'!BM144,'Comext mensuel - EUROSTAT'!BO144,'Comext mensuel - EUROSTAT'!BQ144,'Comext mensuel - EUROSTAT'!BS144,'Comext mensuel - EUROSTAT'!BU144)/10^4</f>
        <v>0.86538699999999991</v>
      </c>
      <c r="J117" s="911">
        <f>'Comext annuel - EUROSTAT'!C165/10^4</f>
        <v>3.0293969999999999</v>
      </c>
      <c r="K117" s="911">
        <f>'Comext annuel - EUROSTAT'!D165/10^4</f>
        <v>1.1144620000000001</v>
      </c>
      <c r="L117" s="911">
        <f>'Comext annuel - EUROSTAT'!E165/10^4</f>
        <v>1.905918</v>
      </c>
      <c r="M117" s="911">
        <f>'Comext annuel - EUROSTAT'!F165/10^4</f>
        <v>0.90682900000000011</v>
      </c>
      <c r="N117" s="911">
        <f>'Comext annuel - EUROSTAT'!G165/10^4</f>
        <v>1.543377</v>
      </c>
      <c r="O117" s="911">
        <f>'Comext annuel - EUROSTAT'!H165/10^4</f>
        <v>0.56918800000000003</v>
      </c>
    </row>
    <row r="118" spans="1:15">
      <c r="B118" s="1027"/>
      <c r="C118" t="str">
        <f>'Comext mensuel - EUROSTAT'!A145</f>
        <v>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hydrogénées)(2022-2500);Graisses et huiles végétales et leurs fractions, partiellement ou totalement hydrogénées, interestérifiées, réestérifiées ou élaïdinisées, même raffinées, mais non autrement préparées, présentées en emballages immédiats d'un contenu net &lt;= 1 kg (à l'excl. des huiles de ricin hydrogénées)(1988-2021)</v>
      </c>
      <c r="D118" s="908">
        <f>SUM('Comext mensuel - EUROSTAT'!B145,'Comext mensuel - EUROSTAT'!D145,'Comext mensuel - EUROSTAT'!F145,'Comext mensuel - EUROSTAT'!H145,'Comext mensuel - EUROSTAT'!J145,'Comext mensuel - EUROSTAT'!L145,'Comext mensuel - EUROSTAT'!N145,'Comext mensuel - EUROSTAT'!P145,'Comext mensuel - EUROSTAT'!R145,'Comext mensuel - EUROSTAT'!T145,'Comext mensuel - EUROSTAT'!V145,'Comext mensuel - EUROSTAT'!X145)/10^4</f>
        <v>5.5433739999999991</v>
      </c>
      <c r="E118" s="908">
        <f>SUM('Comext mensuel - EUROSTAT'!C145,'Comext mensuel - EUROSTAT'!E145,'Comext mensuel - EUROSTAT'!G145,'Comext mensuel - EUROSTAT'!I145,'Comext mensuel - EUROSTAT'!K145,'Comext mensuel - EUROSTAT'!M145,'Comext mensuel - EUROSTAT'!O145,'Comext mensuel - EUROSTAT'!Q145,'Comext mensuel - EUROSTAT'!S145,'Comext mensuel - EUROSTAT'!U145,'Comext mensuel - EUROSTAT'!W145,'Comext mensuel - EUROSTAT'!Y145)/10^4</f>
        <v>4.3661999999999999E-2</v>
      </c>
      <c r="F118" s="908">
        <f>SUM('Comext mensuel - EUROSTAT'!Z145,'Comext mensuel - EUROSTAT'!AB145,'Comext mensuel - EUROSTAT'!AD145,'Comext mensuel - EUROSTAT'!AF145,'Comext mensuel - EUROSTAT'!AH145,'Comext mensuel - EUROSTAT'!AJ145,'Comext mensuel - EUROSTAT'!AL145,'Comext mensuel - EUROSTAT'!AN145,'Comext mensuel - EUROSTAT'!AP145,'Comext mensuel - EUROSTAT'!AR145,'Comext mensuel - EUROSTAT'!AT145,'Comext mensuel - EUROSTAT'!AV145)/10^4</f>
        <v>3.9708980000000005</v>
      </c>
      <c r="G118" s="908">
        <f>SUM('Comext mensuel - EUROSTAT'!AA145,'Comext mensuel - EUROSTAT'!AC145,'Comext mensuel - EUROSTAT'!AE145,'Comext mensuel - EUROSTAT'!AG145,'Comext mensuel - EUROSTAT'!AI145,'Comext mensuel - EUROSTAT'!AK145,'Comext mensuel - EUROSTAT'!AM145,'Comext mensuel - EUROSTAT'!AO145,'Comext mensuel - EUROSTAT'!AQ145,'Comext mensuel - EUROSTAT'!AS145,'Comext mensuel - EUROSTAT'!AU145,'Comext mensuel - EUROSTAT'!AW145)/10^4</f>
        <v>1.1683000000000001E-2</v>
      </c>
      <c r="H118" s="908">
        <f>SUM('Comext mensuel - EUROSTAT'!AX145,'Comext mensuel - EUROSTAT'!AZ145,'Comext mensuel - EUROSTAT'!BB145,'Comext mensuel - EUROSTAT'!BD145,'Comext mensuel - EUROSTAT'!BF145,'Comext mensuel - EUROSTAT'!BH145,'Comext mensuel - EUROSTAT'!BJ145,'Comext mensuel - EUROSTAT'!BL145,'Comext mensuel - EUROSTAT'!BN145,'Comext mensuel - EUROSTAT'!BP145,'Comext mensuel - EUROSTAT'!BR145,'Comext mensuel - EUROSTAT'!BT145)/10^4</f>
        <v>2.9365629999999996</v>
      </c>
      <c r="I118" s="908">
        <f>SUM('Comext mensuel - EUROSTAT'!AY145,'Comext mensuel - EUROSTAT'!BA145,'Comext mensuel - EUROSTAT'!BC145,'Comext mensuel - EUROSTAT'!BE145,'Comext mensuel - EUROSTAT'!BG145,'Comext mensuel - EUROSTAT'!BI145,'Comext mensuel - EUROSTAT'!BK145,'Comext mensuel - EUROSTAT'!BM145,'Comext mensuel - EUROSTAT'!BO145,'Comext mensuel - EUROSTAT'!BQ145,'Comext mensuel - EUROSTAT'!BS145,'Comext mensuel - EUROSTAT'!BU145)/10^4</f>
        <v>3.7573000000000002E-2</v>
      </c>
      <c r="J118" s="911">
        <f>'Comext annuel - EUROSTAT'!C166/10^4</f>
        <v>5.9496799999999999</v>
      </c>
      <c r="K118" s="911">
        <f>'Comext annuel - EUROSTAT'!D166/10^4</f>
        <v>3.5865000000000001E-2</v>
      </c>
      <c r="L118" s="911">
        <f>'Comext annuel - EUROSTAT'!E166/10^4</f>
        <v>3.853243</v>
      </c>
      <c r="M118" s="911">
        <f>'Comext annuel - EUROSTAT'!F166/10^4</f>
        <v>1.3061000000000001E-2</v>
      </c>
      <c r="N118" s="911">
        <f>'Comext annuel - EUROSTAT'!G166/10^4</f>
        <v>4.0399839999999996</v>
      </c>
      <c r="O118" s="911">
        <f>'Comext annuel - EUROSTAT'!H166/10^4</f>
        <v>3.8254000000000003E-2</v>
      </c>
    </row>
    <row r="119" spans="1:15">
      <c r="B119" s="1027"/>
      <c r="C119" t="str">
        <f>'Comext mensuel - EUROSTAT'!A146</f>
        <v>Huiles d'arachide, de coton, de soja ou de tournesol ainsi que leurs fractions (à l'excl. des produits du nº 1516 20 95); autres huiles ainsi que leurs fractions d'une teneur en acides gras libres &lt; 50% en poids, en emballages immédiats d'un contenu net &gt; 1 kg ou autrement présentées (à l'excl. des huiles de palmiste, d'illipé, de coco, de navette, de colza ou de copaïba ainsi que des huiles du nº 1516 20 95)</v>
      </c>
      <c r="D119" s="908">
        <f>SUM('Comext mensuel - EUROSTAT'!B146,'Comext mensuel - EUROSTAT'!D146,'Comext mensuel - EUROSTAT'!F146,'Comext mensuel - EUROSTAT'!H146,'Comext mensuel - EUROSTAT'!J146,'Comext mensuel - EUROSTAT'!L146,'Comext mensuel - EUROSTAT'!N146,'Comext mensuel - EUROSTAT'!P146,'Comext mensuel - EUROSTAT'!R146,'Comext mensuel - EUROSTAT'!T146,'Comext mensuel - EUROSTAT'!V146,'Comext mensuel - EUROSTAT'!X146)/10^4</f>
        <v>8.5601779999999987</v>
      </c>
      <c r="E119" s="908">
        <f>SUM('Comext mensuel - EUROSTAT'!C146,'Comext mensuel - EUROSTAT'!E146,'Comext mensuel - EUROSTAT'!G146,'Comext mensuel - EUROSTAT'!I146,'Comext mensuel - EUROSTAT'!K146,'Comext mensuel - EUROSTAT'!M146,'Comext mensuel - EUROSTAT'!O146,'Comext mensuel - EUROSTAT'!Q146,'Comext mensuel - EUROSTAT'!S146,'Comext mensuel - EUROSTAT'!U146,'Comext mensuel - EUROSTAT'!W146,'Comext mensuel - EUROSTAT'!Y146)/10^4</f>
        <v>0.7724049999999999</v>
      </c>
      <c r="F119" s="908">
        <f>SUM('Comext mensuel - EUROSTAT'!Z146,'Comext mensuel - EUROSTAT'!AB146,'Comext mensuel - EUROSTAT'!AD146,'Comext mensuel - EUROSTAT'!AF146,'Comext mensuel - EUROSTAT'!AH146,'Comext mensuel - EUROSTAT'!AJ146,'Comext mensuel - EUROSTAT'!AL146,'Comext mensuel - EUROSTAT'!AN146,'Comext mensuel - EUROSTAT'!AP146,'Comext mensuel - EUROSTAT'!AR146,'Comext mensuel - EUROSTAT'!AT146,'Comext mensuel - EUROSTAT'!AV146)/10^4</f>
        <v>8.1283019999999997</v>
      </c>
      <c r="G119" s="908">
        <f>SUM('Comext mensuel - EUROSTAT'!AA146,'Comext mensuel - EUROSTAT'!AC146,'Comext mensuel - EUROSTAT'!AE146,'Comext mensuel - EUROSTAT'!AG146,'Comext mensuel - EUROSTAT'!AI146,'Comext mensuel - EUROSTAT'!AK146,'Comext mensuel - EUROSTAT'!AM146,'Comext mensuel - EUROSTAT'!AO146,'Comext mensuel - EUROSTAT'!AQ146,'Comext mensuel - EUROSTAT'!AS146,'Comext mensuel - EUROSTAT'!AU146,'Comext mensuel - EUROSTAT'!AW146)/10^4</f>
        <v>0.71210099999999998</v>
      </c>
      <c r="H119" s="908">
        <f>SUM('Comext mensuel - EUROSTAT'!AX146,'Comext mensuel - EUROSTAT'!AZ146,'Comext mensuel - EUROSTAT'!BB146,'Comext mensuel - EUROSTAT'!BD146,'Comext mensuel - EUROSTAT'!BF146,'Comext mensuel - EUROSTAT'!BH146,'Comext mensuel - EUROSTAT'!BJ146,'Comext mensuel - EUROSTAT'!BL146,'Comext mensuel - EUROSTAT'!BN146,'Comext mensuel - EUROSTAT'!BP146,'Comext mensuel - EUROSTAT'!BR146,'Comext mensuel - EUROSTAT'!BT146)/10^4</f>
        <v>8.2050640000000019</v>
      </c>
      <c r="I119" s="908">
        <f>SUM('Comext mensuel - EUROSTAT'!AY146,'Comext mensuel - EUROSTAT'!BA146,'Comext mensuel - EUROSTAT'!BC146,'Comext mensuel - EUROSTAT'!BE146,'Comext mensuel - EUROSTAT'!BG146,'Comext mensuel - EUROSTAT'!BI146,'Comext mensuel - EUROSTAT'!BK146,'Comext mensuel - EUROSTAT'!BM146,'Comext mensuel - EUROSTAT'!BO146,'Comext mensuel - EUROSTAT'!BQ146,'Comext mensuel - EUROSTAT'!BS146,'Comext mensuel - EUROSTAT'!BU146)/10^4</f>
        <v>1.214979</v>
      </c>
      <c r="J119" s="911">
        <f>'Comext annuel - EUROSTAT'!C168/10^4</f>
        <v>8.8561519999999998</v>
      </c>
      <c r="K119" s="911">
        <f>'Comext annuel - EUROSTAT'!D168/10^4</f>
        <v>0.71784999999999999</v>
      </c>
      <c r="L119" s="911">
        <f>'Comext annuel - EUROSTAT'!E168/10^4</f>
        <v>7.5923050000000005</v>
      </c>
      <c r="M119" s="911">
        <f>'Comext annuel - EUROSTAT'!F168/10^4</f>
        <v>0.59810399999999997</v>
      </c>
      <c r="N119" s="911">
        <f>'Comext annuel - EUROSTAT'!G168/10^4</f>
        <v>7.8066550000000001</v>
      </c>
      <c r="O119" s="911">
        <f>'Comext annuel - EUROSTAT'!H168/10^4</f>
        <v>1.2624850000000001</v>
      </c>
    </row>
    <row r="120" spans="1:15">
      <c r="B120" s="1027"/>
      <c r="C120" t="str">
        <f>'Comext mensuel - EUROSTAT'!A147</f>
        <v>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1516.20.96)(2022-2500);Graisses et huiles végétales et leurs fractions, partiellement ou totalement hydrogénées, interestérifiées, réestérifiées ou élaïdinisées, même raffinées, présentées en emballages immédiats d'un contenu net &gt; 1 kg ou autrement présentées (à l'excl. des graisses, huiles et leurs fractions autrement préparées, des huiles de ricin hydrogénées et des huiles du n° 1516.20.95 et 1516.20.96)(1995-2021)</v>
      </c>
      <c r="D120" s="908">
        <f>SUM('Comext mensuel - EUROSTAT'!B147,'Comext mensuel - EUROSTAT'!D147,'Comext mensuel - EUROSTAT'!F147,'Comext mensuel - EUROSTAT'!H147,'Comext mensuel - EUROSTAT'!J147,'Comext mensuel - EUROSTAT'!L147,'Comext mensuel - EUROSTAT'!N147,'Comext mensuel - EUROSTAT'!P147,'Comext mensuel - EUROSTAT'!R147,'Comext mensuel - EUROSTAT'!T147,'Comext mensuel - EUROSTAT'!V147,'Comext mensuel - EUROSTAT'!X147)/10^4</f>
        <v>31.416210999999997</v>
      </c>
      <c r="E120" s="908">
        <f>SUM('Comext mensuel - EUROSTAT'!C147,'Comext mensuel - EUROSTAT'!E147,'Comext mensuel - EUROSTAT'!G147,'Comext mensuel - EUROSTAT'!I147,'Comext mensuel - EUROSTAT'!K147,'Comext mensuel - EUROSTAT'!M147,'Comext mensuel - EUROSTAT'!O147,'Comext mensuel - EUROSTAT'!Q147,'Comext mensuel - EUROSTAT'!S147,'Comext mensuel - EUROSTAT'!U147,'Comext mensuel - EUROSTAT'!W147,'Comext mensuel - EUROSTAT'!Y147)/10^4</f>
        <v>7.4650430000000005</v>
      </c>
      <c r="F120" s="908">
        <f>SUM('Comext mensuel - EUROSTAT'!Z147,'Comext mensuel - EUROSTAT'!AB147,'Comext mensuel - EUROSTAT'!AD147,'Comext mensuel - EUROSTAT'!AF147,'Comext mensuel - EUROSTAT'!AH147,'Comext mensuel - EUROSTAT'!AJ147,'Comext mensuel - EUROSTAT'!AL147,'Comext mensuel - EUROSTAT'!AN147,'Comext mensuel - EUROSTAT'!AP147,'Comext mensuel - EUROSTAT'!AR147,'Comext mensuel - EUROSTAT'!AT147,'Comext mensuel - EUROSTAT'!AV147)/10^4</f>
        <v>23.948319000000001</v>
      </c>
      <c r="G120" s="908">
        <f>SUM('Comext mensuel - EUROSTAT'!AA147,'Comext mensuel - EUROSTAT'!AC147,'Comext mensuel - EUROSTAT'!AE147,'Comext mensuel - EUROSTAT'!AG147,'Comext mensuel - EUROSTAT'!AI147,'Comext mensuel - EUROSTAT'!AK147,'Comext mensuel - EUROSTAT'!AM147,'Comext mensuel - EUROSTAT'!AO147,'Comext mensuel - EUROSTAT'!AQ147,'Comext mensuel - EUROSTAT'!AS147,'Comext mensuel - EUROSTAT'!AU147,'Comext mensuel - EUROSTAT'!AW147)/10^4</f>
        <v>10.349022</v>
      </c>
      <c r="H120" s="908">
        <f>SUM('Comext mensuel - EUROSTAT'!AX147,'Comext mensuel - EUROSTAT'!AZ147,'Comext mensuel - EUROSTAT'!BB147,'Comext mensuel - EUROSTAT'!BD147,'Comext mensuel - EUROSTAT'!BF147,'Comext mensuel - EUROSTAT'!BH147,'Comext mensuel - EUROSTAT'!BJ147,'Comext mensuel - EUROSTAT'!BL147,'Comext mensuel - EUROSTAT'!BN147,'Comext mensuel - EUROSTAT'!BP147,'Comext mensuel - EUROSTAT'!BR147,'Comext mensuel - EUROSTAT'!BT147)/10^4</f>
        <v>26.639734000000004</v>
      </c>
      <c r="I120" s="908">
        <f>SUM('Comext mensuel - EUROSTAT'!AY147,'Comext mensuel - EUROSTAT'!BA147,'Comext mensuel - EUROSTAT'!BC147,'Comext mensuel - EUROSTAT'!BE147,'Comext mensuel - EUROSTAT'!BG147,'Comext mensuel - EUROSTAT'!BI147,'Comext mensuel - EUROSTAT'!BK147,'Comext mensuel - EUROSTAT'!BM147,'Comext mensuel - EUROSTAT'!BO147,'Comext mensuel - EUROSTAT'!BQ147,'Comext mensuel - EUROSTAT'!BS147,'Comext mensuel - EUROSTAT'!BU147)/10^4</f>
        <v>9.2266490000000001</v>
      </c>
      <c r="J120" s="911">
        <f>'Comext annuel - EUROSTAT'!C169/10^4</f>
        <v>30.736257000000002</v>
      </c>
      <c r="K120" s="911">
        <f>'Comext annuel - EUROSTAT'!D169/10^4</f>
        <v>8.1980330000000006</v>
      </c>
      <c r="L120" s="911">
        <f>'Comext annuel - EUROSTAT'!E169/10^4</f>
        <v>25.00647</v>
      </c>
      <c r="M120" s="911">
        <f>'Comext annuel - EUROSTAT'!F169/10^4</f>
        <v>10.097526</v>
      </c>
      <c r="N120" s="911">
        <f>'Comext annuel - EUROSTAT'!G169/10^4</f>
        <v>25.930354999999999</v>
      </c>
      <c r="O120" s="911">
        <f>'Comext annuel - EUROSTAT'!H169/10^4</f>
        <v>8.6552539999999993</v>
      </c>
    </row>
    <row r="121" spans="1:15">
      <c r="A121" t="s">
        <v>1012</v>
      </c>
      <c r="B121" s="1027" t="s">
        <v>1014</v>
      </c>
      <c r="C121" t="str">
        <f>'Comext mensuel - EUROSTAT'!A149</f>
        <v>Olives, préparées ou conservées au vinaigre ou à l'acide acétique</v>
      </c>
      <c r="D121" s="909">
        <f>SUM('Comext mensuel - EUROSTAT'!B149,'Comext mensuel - EUROSTAT'!D149,'Comext mensuel - EUROSTAT'!F149,'Comext mensuel - EUROSTAT'!H149,'Comext mensuel - EUROSTAT'!J149,'Comext mensuel - EUROSTAT'!L149,'Comext mensuel - EUROSTAT'!N149,'Comext mensuel - EUROSTAT'!P149,'Comext mensuel - EUROSTAT'!R149,'Comext mensuel - EUROSTAT'!T149,'Comext mensuel - EUROSTAT'!V149,'Comext mensuel - EUROSTAT'!X149)/10^4</f>
        <v>2.7586360000000005</v>
      </c>
      <c r="E121" s="909">
        <f>SUM('Comext mensuel - EUROSTAT'!C149,'Comext mensuel - EUROSTAT'!E149,'Comext mensuel - EUROSTAT'!G149,'Comext mensuel - EUROSTAT'!I149,'Comext mensuel - EUROSTAT'!K149,'Comext mensuel - EUROSTAT'!M149,'Comext mensuel - EUROSTAT'!O149,'Comext mensuel - EUROSTAT'!Q149,'Comext mensuel - EUROSTAT'!S149,'Comext mensuel - EUROSTAT'!U149,'Comext mensuel - EUROSTAT'!W149,'Comext mensuel - EUROSTAT'!Y149)/10^4</f>
        <v>0.29800800000000005</v>
      </c>
      <c r="F121" s="909">
        <f>SUM('Comext mensuel - EUROSTAT'!Z149,'Comext mensuel - EUROSTAT'!AB149,'Comext mensuel - EUROSTAT'!AD149,'Comext mensuel - EUROSTAT'!AF149,'Comext mensuel - EUROSTAT'!AH149,'Comext mensuel - EUROSTAT'!AJ149,'Comext mensuel - EUROSTAT'!AL149,'Comext mensuel - EUROSTAT'!AN149,'Comext mensuel - EUROSTAT'!AP149,'Comext mensuel - EUROSTAT'!AR149,'Comext mensuel - EUROSTAT'!AT149,'Comext mensuel - EUROSTAT'!AV149)/10^4</f>
        <v>3.4239570000000001</v>
      </c>
      <c r="G121" s="909">
        <f>SUM('Comext mensuel - EUROSTAT'!AA149,'Comext mensuel - EUROSTAT'!AC149,'Comext mensuel - EUROSTAT'!AE149,'Comext mensuel - EUROSTAT'!AG149,'Comext mensuel - EUROSTAT'!AI149,'Comext mensuel - EUROSTAT'!AK149,'Comext mensuel - EUROSTAT'!AM149,'Comext mensuel - EUROSTAT'!AO149,'Comext mensuel - EUROSTAT'!AQ149,'Comext mensuel - EUROSTAT'!AS149,'Comext mensuel - EUROSTAT'!AU149,'Comext mensuel - EUROSTAT'!AW149)/10^4</f>
        <v>0.20406400000000002</v>
      </c>
      <c r="H121" s="909">
        <f>SUM('Comext mensuel - EUROSTAT'!AX149,'Comext mensuel - EUROSTAT'!AZ149,'Comext mensuel - EUROSTAT'!BB149,'Comext mensuel - EUROSTAT'!BD149,'Comext mensuel - EUROSTAT'!BF149,'Comext mensuel - EUROSTAT'!BH149,'Comext mensuel - EUROSTAT'!BJ149,'Comext mensuel - EUROSTAT'!BL149,'Comext mensuel - EUROSTAT'!BN149,'Comext mensuel - EUROSTAT'!BP149,'Comext mensuel - EUROSTAT'!BR149,'Comext mensuel - EUROSTAT'!BT149)/10^4</f>
        <v>3.7135060000000006</v>
      </c>
      <c r="I121" s="909">
        <f>SUM('Comext mensuel - EUROSTAT'!AY149,'Comext mensuel - EUROSTAT'!BA149,'Comext mensuel - EUROSTAT'!BC149,'Comext mensuel - EUROSTAT'!BE149,'Comext mensuel - EUROSTAT'!BG149,'Comext mensuel - EUROSTAT'!BI149,'Comext mensuel - EUROSTAT'!BK149,'Comext mensuel - EUROSTAT'!BM149,'Comext mensuel - EUROSTAT'!BO149,'Comext mensuel - EUROSTAT'!BQ149,'Comext mensuel - EUROSTAT'!BS149,'Comext mensuel - EUROSTAT'!BU149)/10^4</f>
        <v>0.23716799999999999</v>
      </c>
      <c r="J121" s="921">
        <f>'Comext annuel - EUROSTAT'!C171/10^4</f>
        <v>2.7428360000000001</v>
      </c>
      <c r="K121" s="921">
        <f>'Comext annuel - EUROSTAT'!D171/10^4</f>
        <v>0.28243800000000002</v>
      </c>
      <c r="L121" s="921">
        <f>'Comext annuel - EUROSTAT'!E171/10^4</f>
        <v>3.4913919999999998</v>
      </c>
      <c r="M121" s="921">
        <f>'Comext annuel - EUROSTAT'!F171/10^4</f>
        <v>0.239512</v>
      </c>
      <c r="N121" s="921">
        <f>'Comext annuel - EUROSTAT'!G171/10^4</f>
        <v>3.4992559999999999</v>
      </c>
      <c r="O121" s="921">
        <f>'Comext annuel - EUROSTAT'!H171/10^4</f>
        <v>0.20596700000000001</v>
      </c>
    </row>
    <row r="122" spans="1:15">
      <c r="B122" s="1027"/>
      <c r="C122" t="str">
        <f>'Comext mensuel - EUROSTAT'!A150</f>
        <v>Choucroute, câpres et olives, préparées ou conservées autrement qu'au vinaigre ou à l'acide acétique, congelées</v>
      </c>
      <c r="D122" s="908">
        <f>SUM('Comext mensuel - EUROSTAT'!B150,'Comext mensuel - EUROSTAT'!D150,'Comext mensuel - EUROSTAT'!F150,'Comext mensuel - EUROSTAT'!H150,'Comext mensuel - EUROSTAT'!J150,'Comext mensuel - EUROSTAT'!L150,'Comext mensuel - EUROSTAT'!N150,'Comext mensuel - EUROSTAT'!P150,'Comext mensuel - EUROSTAT'!R150,'Comext mensuel - EUROSTAT'!T150,'Comext mensuel - EUROSTAT'!V150,'Comext mensuel - EUROSTAT'!X150)/10^4</f>
        <v>0.214113</v>
      </c>
      <c r="E122" s="908">
        <f>SUM('Comext mensuel - EUROSTAT'!C150,'Comext mensuel - EUROSTAT'!E150,'Comext mensuel - EUROSTAT'!G150,'Comext mensuel - EUROSTAT'!I150,'Comext mensuel - EUROSTAT'!K150,'Comext mensuel - EUROSTAT'!M150,'Comext mensuel - EUROSTAT'!O150,'Comext mensuel - EUROSTAT'!Q150,'Comext mensuel - EUROSTAT'!S150,'Comext mensuel - EUROSTAT'!U150,'Comext mensuel - EUROSTAT'!W150,'Comext mensuel - EUROSTAT'!Y150)/10^4</f>
        <v>5.1233000000000001E-2</v>
      </c>
      <c r="F122" s="908">
        <f>SUM('Comext mensuel - EUROSTAT'!Z150,'Comext mensuel - EUROSTAT'!AB150,'Comext mensuel - EUROSTAT'!AD150,'Comext mensuel - EUROSTAT'!AF150,'Comext mensuel - EUROSTAT'!AH150,'Comext mensuel - EUROSTAT'!AJ150,'Comext mensuel - EUROSTAT'!AL150,'Comext mensuel - EUROSTAT'!AN150,'Comext mensuel - EUROSTAT'!AP150,'Comext mensuel - EUROSTAT'!AR150,'Comext mensuel - EUROSTAT'!AT150,'Comext mensuel - EUROSTAT'!AV150)/10^4</f>
        <v>0.24324799999999999</v>
      </c>
      <c r="G122" s="908">
        <f>SUM('Comext mensuel - EUROSTAT'!AA150,'Comext mensuel - EUROSTAT'!AC150,'Comext mensuel - EUROSTAT'!AE150,'Comext mensuel - EUROSTAT'!AG150,'Comext mensuel - EUROSTAT'!AI150,'Comext mensuel - EUROSTAT'!AK150,'Comext mensuel - EUROSTAT'!AM150,'Comext mensuel - EUROSTAT'!AO150,'Comext mensuel - EUROSTAT'!AQ150,'Comext mensuel - EUROSTAT'!AS150,'Comext mensuel - EUROSTAT'!AU150,'Comext mensuel - EUROSTAT'!AW150)/10^4</f>
        <v>3.1001000000000001E-2</v>
      </c>
      <c r="H122" s="908">
        <f>SUM('Comext mensuel - EUROSTAT'!AX150,'Comext mensuel - EUROSTAT'!AZ150,'Comext mensuel - EUROSTAT'!BB150,'Comext mensuel - EUROSTAT'!BD150,'Comext mensuel - EUROSTAT'!BF150,'Comext mensuel - EUROSTAT'!BH150,'Comext mensuel - EUROSTAT'!BJ150,'Comext mensuel - EUROSTAT'!BL150,'Comext mensuel - EUROSTAT'!BN150,'Comext mensuel - EUROSTAT'!BP150,'Comext mensuel - EUROSTAT'!BR150,'Comext mensuel - EUROSTAT'!BT150)/10^4</f>
        <v>0.30675200000000002</v>
      </c>
      <c r="I122" s="908">
        <f>SUM('Comext mensuel - EUROSTAT'!AY150,'Comext mensuel - EUROSTAT'!BA150,'Comext mensuel - EUROSTAT'!BC150,'Comext mensuel - EUROSTAT'!BE150,'Comext mensuel - EUROSTAT'!BG150,'Comext mensuel - EUROSTAT'!BI150,'Comext mensuel - EUROSTAT'!BK150,'Comext mensuel - EUROSTAT'!BM150,'Comext mensuel - EUROSTAT'!BO150,'Comext mensuel - EUROSTAT'!BQ150,'Comext mensuel - EUROSTAT'!BS150,'Comext mensuel - EUROSTAT'!BU150)/10^4</f>
        <v>3.5274E-2</v>
      </c>
      <c r="J122" s="911">
        <f>'Comext annuel - EUROSTAT'!C172/10^4</f>
        <v>0.18792500000000001</v>
      </c>
      <c r="K122" s="911">
        <f>'Comext annuel - EUROSTAT'!D172/10^4</f>
        <v>7.9436999999999994E-2</v>
      </c>
      <c r="L122" s="911">
        <f>'Comext annuel - EUROSTAT'!E172/10^4</f>
        <v>0.27171799999999996</v>
      </c>
      <c r="M122" s="911">
        <f>'Comext annuel - EUROSTAT'!F172/10^4</f>
        <v>5.7388999999999996E-2</v>
      </c>
      <c r="N122" s="911">
        <f>'Comext annuel - EUROSTAT'!G172/10^4</f>
        <v>0.20369600000000002</v>
      </c>
      <c r="O122" s="911">
        <f>'Comext annuel - EUROSTAT'!H172/10^4</f>
        <v>3.5147000000000005E-2</v>
      </c>
    </row>
    <row r="123" spans="1:15">
      <c r="A123" t="s">
        <v>85</v>
      </c>
      <c r="B123" s="1027"/>
      <c r="C123" t="str">
        <f>'Comext mensuel - EUROSTAT'!A151</f>
        <v>Haricots {Vigna spp., Phaseolus spp.}, en grains, préparés ou conservés autrement qu'au vinaigre ou à l'acide acétique, non congelés</v>
      </c>
      <c r="D123" s="908">
        <f>SUM('Comext mensuel - EUROSTAT'!B151,'Comext mensuel - EUROSTAT'!D151,'Comext mensuel - EUROSTAT'!F151,'Comext mensuel - EUROSTAT'!H151,'Comext mensuel - EUROSTAT'!J151,'Comext mensuel - EUROSTAT'!L151,'Comext mensuel - EUROSTAT'!N151,'Comext mensuel - EUROSTAT'!P151,'Comext mensuel - EUROSTAT'!R151,'Comext mensuel - EUROSTAT'!T151,'Comext mensuel - EUROSTAT'!V151,'Comext mensuel - EUROSTAT'!X151)/10^4</f>
        <v>27.090506999999995</v>
      </c>
      <c r="E123" s="908">
        <f>SUM('Comext mensuel - EUROSTAT'!C151,'Comext mensuel - EUROSTAT'!E151,'Comext mensuel - EUROSTAT'!G151,'Comext mensuel - EUROSTAT'!I151,'Comext mensuel - EUROSTAT'!K151,'Comext mensuel - EUROSTAT'!M151,'Comext mensuel - EUROSTAT'!O151,'Comext mensuel - EUROSTAT'!Q151,'Comext mensuel - EUROSTAT'!S151,'Comext mensuel - EUROSTAT'!U151,'Comext mensuel - EUROSTAT'!W151,'Comext mensuel - EUROSTAT'!Y151)/10^4</f>
        <v>8.100562</v>
      </c>
      <c r="F123" s="908">
        <f>SUM('Comext mensuel - EUROSTAT'!Z151,'Comext mensuel - EUROSTAT'!AB151,'Comext mensuel - EUROSTAT'!AD151,'Comext mensuel - EUROSTAT'!AF151,'Comext mensuel - EUROSTAT'!AH151,'Comext mensuel - EUROSTAT'!AJ151,'Comext mensuel - EUROSTAT'!AL151,'Comext mensuel - EUROSTAT'!AN151,'Comext mensuel - EUROSTAT'!AP151,'Comext mensuel - EUROSTAT'!AR151,'Comext mensuel - EUROSTAT'!AT151,'Comext mensuel - EUROSTAT'!AV151)/10^4</f>
        <v>31.738082000000006</v>
      </c>
      <c r="G123" s="908">
        <f>SUM('Comext mensuel - EUROSTAT'!AA151,'Comext mensuel - EUROSTAT'!AC151,'Comext mensuel - EUROSTAT'!AE151,'Comext mensuel - EUROSTAT'!AG151,'Comext mensuel - EUROSTAT'!AI151,'Comext mensuel - EUROSTAT'!AK151,'Comext mensuel - EUROSTAT'!AM151,'Comext mensuel - EUROSTAT'!AO151,'Comext mensuel - EUROSTAT'!AQ151,'Comext mensuel - EUROSTAT'!AS151,'Comext mensuel - EUROSTAT'!AU151,'Comext mensuel - EUROSTAT'!AW151)/10^4</f>
        <v>11.282390000000001</v>
      </c>
      <c r="H123" s="908">
        <f>SUM('Comext mensuel - EUROSTAT'!AX151,'Comext mensuel - EUROSTAT'!AZ151,'Comext mensuel - EUROSTAT'!BB151,'Comext mensuel - EUROSTAT'!BD151,'Comext mensuel - EUROSTAT'!BF151,'Comext mensuel - EUROSTAT'!BH151,'Comext mensuel - EUROSTAT'!BJ151,'Comext mensuel - EUROSTAT'!BL151,'Comext mensuel - EUROSTAT'!BN151,'Comext mensuel - EUROSTAT'!BP151,'Comext mensuel - EUROSTAT'!BR151,'Comext mensuel - EUROSTAT'!BT151)/10^4</f>
        <v>29.532332</v>
      </c>
      <c r="I123" s="908">
        <f>SUM('Comext mensuel - EUROSTAT'!AY151,'Comext mensuel - EUROSTAT'!BA151,'Comext mensuel - EUROSTAT'!BC151,'Comext mensuel - EUROSTAT'!BE151,'Comext mensuel - EUROSTAT'!BG151,'Comext mensuel - EUROSTAT'!BI151,'Comext mensuel - EUROSTAT'!BK151,'Comext mensuel - EUROSTAT'!BM151,'Comext mensuel - EUROSTAT'!BO151,'Comext mensuel - EUROSTAT'!BQ151,'Comext mensuel - EUROSTAT'!BS151,'Comext mensuel - EUROSTAT'!BU151)/10^4</f>
        <v>12.011608000000001</v>
      </c>
      <c r="J123" s="911">
        <f>'Comext annuel - EUROSTAT'!C173/10^4</f>
        <v>12.53101</v>
      </c>
      <c r="K123" s="911">
        <f>'Comext annuel - EUROSTAT'!D173/10^4</f>
        <v>36.766713000000003</v>
      </c>
      <c r="L123" s="911">
        <f>'Comext annuel - EUROSTAT'!E173/10^4</f>
        <v>12.483528</v>
      </c>
      <c r="M123" s="911">
        <f>'Comext annuel - EUROSTAT'!F173/10^4</f>
        <v>24.186194</v>
      </c>
      <c r="N123" s="911">
        <f>'Comext annuel - EUROSTAT'!G173/10^4</f>
        <v>10.390967999999999</v>
      </c>
      <c r="O123" s="911">
        <f>'Comext annuel - EUROSTAT'!H173/10^4</f>
        <v>32.317985999999998</v>
      </c>
    </row>
    <row r="124" spans="1:15">
      <c r="A124" t="s">
        <v>85</v>
      </c>
      <c r="B124" s="1027"/>
      <c r="C124" t="str">
        <f>'Comext mensuel - EUROSTAT'!A152</f>
        <v>Haricots {Vigna spp., Phaseolus spp.}, préparés ou conservés autrement qu'au vinaigre ou à l'acide acétique, non congelés (à l'excl. des haricots en grains)</v>
      </c>
      <c r="D124" s="908">
        <f>SUM('Comext mensuel - EUROSTAT'!B152,'Comext mensuel - EUROSTAT'!D152,'Comext mensuel - EUROSTAT'!F152,'Comext mensuel - EUROSTAT'!H152,'Comext mensuel - EUROSTAT'!J152,'Comext mensuel - EUROSTAT'!L152,'Comext mensuel - EUROSTAT'!N152,'Comext mensuel - EUROSTAT'!P152,'Comext mensuel - EUROSTAT'!R152,'Comext mensuel - EUROSTAT'!T152,'Comext mensuel - EUROSTAT'!V152,'Comext mensuel - EUROSTAT'!X152)/10^4</f>
        <v>49.302582999999998</v>
      </c>
      <c r="E124" s="908">
        <f>SUM('Comext mensuel - EUROSTAT'!C152,'Comext mensuel - EUROSTAT'!E152,'Comext mensuel - EUROSTAT'!G152,'Comext mensuel - EUROSTAT'!I152,'Comext mensuel - EUROSTAT'!K152,'Comext mensuel - EUROSTAT'!M152,'Comext mensuel - EUROSTAT'!O152,'Comext mensuel - EUROSTAT'!Q152,'Comext mensuel - EUROSTAT'!S152,'Comext mensuel - EUROSTAT'!U152,'Comext mensuel - EUROSTAT'!W152,'Comext mensuel - EUROSTAT'!Y152)/10^4</f>
        <v>20.495691000000004</v>
      </c>
      <c r="F124" s="908">
        <f>SUM('Comext mensuel - EUROSTAT'!Z152,'Comext mensuel - EUROSTAT'!AB152,'Comext mensuel - EUROSTAT'!AD152,'Comext mensuel - EUROSTAT'!AF152,'Comext mensuel - EUROSTAT'!AH152,'Comext mensuel - EUROSTAT'!AJ152,'Comext mensuel - EUROSTAT'!AL152,'Comext mensuel - EUROSTAT'!AN152,'Comext mensuel - EUROSTAT'!AP152,'Comext mensuel - EUROSTAT'!AR152,'Comext mensuel - EUROSTAT'!AT152,'Comext mensuel - EUROSTAT'!AV152)/10^4</f>
        <v>51.516440000000003</v>
      </c>
      <c r="G124" s="908">
        <f>SUM('Comext mensuel - EUROSTAT'!AA152,'Comext mensuel - EUROSTAT'!AC152,'Comext mensuel - EUROSTAT'!AE152,'Comext mensuel - EUROSTAT'!AG152,'Comext mensuel - EUROSTAT'!AI152,'Comext mensuel - EUROSTAT'!AK152,'Comext mensuel - EUROSTAT'!AM152,'Comext mensuel - EUROSTAT'!AO152,'Comext mensuel - EUROSTAT'!AQ152,'Comext mensuel - EUROSTAT'!AS152,'Comext mensuel - EUROSTAT'!AU152,'Comext mensuel - EUROSTAT'!AW152)/10^4</f>
        <v>21.978488000000002</v>
      </c>
      <c r="H124" s="908">
        <f>SUM('Comext mensuel - EUROSTAT'!AX152,'Comext mensuel - EUROSTAT'!AZ152,'Comext mensuel - EUROSTAT'!BB152,'Comext mensuel - EUROSTAT'!BD152,'Comext mensuel - EUROSTAT'!BF152,'Comext mensuel - EUROSTAT'!BH152,'Comext mensuel - EUROSTAT'!BJ152,'Comext mensuel - EUROSTAT'!BL152,'Comext mensuel - EUROSTAT'!BN152,'Comext mensuel - EUROSTAT'!BP152,'Comext mensuel - EUROSTAT'!BR152,'Comext mensuel - EUROSTAT'!BT152)/10^4</f>
        <v>42.893037</v>
      </c>
      <c r="I124" s="908">
        <f>SUM('Comext mensuel - EUROSTAT'!AY152,'Comext mensuel - EUROSTAT'!BA152,'Comext mensuel - EUROSTAT'!BC152,'Comext mensuel - EUROSTAT'!BE152,'Comext mensuel - EUROSTAT'!BG152,'Comext mensuel - EUROSTAT'!BI152,'Comext mensuel - EUROSTAT'!BK152,'Comext mensuel - EUROSTAT'!BM152,'Comext mensuel - EUROSTAT'!BO152,'Comext mensuel - EUROSTAT'!BQ152,'Comext mensuel - EUROSTAT'!BS152,'Comext mensuel - EUROSTAT'!BU152)/10^4</f>
        <v>15.649296000000001</v>
      </c>
      <c r="J124" s="911">
        <f>'Comext annuel - EUROSTAT'!C174/10^4</f>
        <v>29.026474</v>
      </c>
      <c r="K124" s="911">
        <f>'Comext annuel - EUROSTAT'!D174/10^4</f>
        <v>9.2025869999999994</v>
      </c>
      <c r="L124" s="911">
        <f>'Comext annuel - EUROSTAT'!E174/10^4</f>
        <v>30.818114000000001</v>
      </c>
      <c r="M124" s="911">
        <f>'Comext annuel - EUROSTAT'!F174/10^4</f>
        <v>8.6289759999999998</v>
      </c>
      <c r="N124" s="911">
        <f>'Comext annuel - EUROSTAT'!G174/10^4</f>
        <v>30.512922999999997</v>
      </c>
      <c r="O124" s="911">
        <f>'Comext annuel - EUROSTAT'!H174/10^4</f>
        <v>12.167477999999999</v>
      </c>
    </row>
    <row r="125" spans="1:15">
      <c r="A125" t="s">
        <v>1012</v>
      </c>
      <c r="B125" s="1027"/>
      <c r="C125" t="str">
        <f>'Comext mensuel - EUROSTAT'!A153</f>
        <v>Olives, préparées ou conservées autrement qu'au vinaigre ou à l'acide acétique, non congelées(2008-2500);Olives, préparées ou conservées autrement qu'au vinaigre ou à l'acide acétique, non-congelées(1988-1993)</v>
      </c>
      <c r="D125" s="909">
        <f>SUM('Comext mensuel - EUROSTAT'!B153,'Comext mensuel - EUROSTAT'!D153,'Comext mensuel - EUROSTAT'!F153,'Comext mensuel - EUROSTAT'!H153,'Comext mensuel - EUROSTAT'!J153,'Comext mensuel - EUROSTAT'!L153,'Comext mensuel - EUROSTAT'!N153,'Comext mensuel - EUROSTAT'!P153,'Comext mensuel - EUROSTAT'!R153,'Comext mensuel - EUROSTAT'!T153,'Comext mensuel - EUROSTAT'!V153,'Comext mensuel - EUROSTAT'!X153)/10^4</f>
        <v>79.122195000000005</v>
      </c>
      <c r="E125" s="909">
        <f>SUM('Comext mensuel - EUROSTAT'!C153,'Comext mensuel - EUROSTAT'!E153,'Comext mensuel - EUROSTAT'!G153,'Comext mensuel - EUROSTAT'!I153,'Comext mensuel - EUROSTAT'!K153,'Comext mensuel - EUROSTAT'!M153,'Comext mensuel - EUROSTAT'!O153,'Comext mensuel - EUROSTAT'!Q153,'Comext mensuel - EUROSTAT'!S153,'Comext mensuel - EUROSTAT'!U153,'Comext mensuel - EUROSTAT'!W153,'Comext mensuel - EUROSTAT'!Y153)/10^4</f>
        <v>2.9422619999999999</v>
      </c>
      <c r="F125" s="909">
        <f>SUM('Comext mensuel - EUROSTAT'!Z153,'Comext mensuel - EUROSTAT'!AB153,'Comext mensuel - EUROSTAT'!AD153,'Comext mensuel - EUROSTAT'!AF153,'Comext mensuel - EUROSTAT'!AH153,'Comext mensuel - EUROSTAT'!AJ153,'Comext mensuel - EUROSTAT'!AL153,'Comext mensuel - EUROSTAT'!AN153,'Comext mensuel - EUROSTAT'!AP153,'Comext mensuel - EUROSTAT'!AR153,'Comext mensuel - EUROSTAT'!AT153,'Comext mensuel - EUROSTAT'!AV153)/10^4</f>
        <v>84.536405999999999</v>
      </c>
      <c r="G125" s="909">
        <f>SUM('Comext mensuel - EUROSTAT'!AA153,'Comext mensuel - EUROSTAT'!AC153,'Comext mensuel - EUROSTAT'!AE153,'Comext mensuel - EUROSTAT'!AG153,'Comext mensuel - EUROSTAT'!AI153,'Comext mensuel - EUROSTAT'!AK153,'Comext mensuel - EUROSTAT'!AM153,'Comext mensuel - EUROSTAT'!AO153,'Comext mensuel - EUROSTAT'!AQ153,'Comext mensuel - EUROSTAT'!AS153,'Comext mensuel - EUROSTAT'!AU153,'Comext mensuel - EUROSTAT'!AW153)/10^4</f>
        <v>2.8481660000000004</v>
      </c>
      <c r="H125" s="909">
        <f>SUM('Comext mensuel - EUROSTAT'!AX153,'Comext mensuel - EUROSTAT'!AZ153,'Comext mensuel - EUROSTAT'!BB153,'Comext mensuel - EUROSTAT'!BD153,'Comext mensuel - EUROSTAT'!BF153,'Comext mensuel - EUROSTAT'!BH153,'Comext mensuel - EUROSTAT'!BJ153,'Comext mensuel - EUROSTAT'!BL153,'Comext mensuel - EUROSTAT'!BN153,'Comext mensuel - EUROSTAT'!BP153,'Comext mensuel - EUROSTAT'!BR153,'Comext mensuel - EUROSTAT'!BT153)/10^4</f>
        <v>80.167001999999997</v>
      </c>
      <c r="I125" s="909">
        <f>SUM('Comext mensuel - EUROSTAT'!AY153,'Comext mensuel - EUROSTAT'!BA153,'Comext mensuel - EUROSTAT'!BC153,'Comext mensuel - EUROSTAT'!BE153,'Comext mensuel - EUROSTAT'!BG153,'Comext mensuel - EUROSTAT'!BI153,'Comext mensuel - EUROSTAT'!BK153,'Comext mensuel - EUROSTAT'!BM153,'Comext mensuel - EUROSTAT'!BO153,'Comext mensuel - EUROSTAT'!BQ153,'Comext mensuel - EUROSTAT'!BS153,'Comext mensuel - EUROSTAT'!BU153)/10^4</f>
        <v>2.9930380000000003</v>
      </c>
      <c r="J125" s="921">
        <f>'Comext annuel - EUROSTAT'!C175/10^4</f>
        <v>78.454537000000002</v>
      </c>
      <c r="K125" s="921">
        <f>'Comext annuel - EUROSTAT'!D175/10^4</f>
        <v>2.8857459999999997</v>
      </c>
      <c r="L125" s="921">
        <f>'Comext annuel - EUROSTAT'!E175/10^4</f>
        <v>89.238790000000009</v>
      </c>
      <c r="M125" s="921">
        <f>'Comext annuel - EUROSTAT'!F175/10^4</f>
        <v>3.3215410000000003</v>
      </c>
      <c r="N125" s="921">
        <f>'Comext annuel - EUROSTAT'!G175/10^4</f>
        <v>83.040017000000006</v>
      </c>
      <c r="O125" s="921">
        <f>'Comext annuel - EUROSTAT'!H175/10^4</f>
        <v>2.8855150000000003</v>
      </c>
    </row>
    <row r="126" spans="1:15">
      <c r="B126" s="10" t="s">
        <v>1015</v>
      </c>
      <c r="C126" t="str">
        <f>'Comext mensuel - EUROSTAT'!A154</f>
        <v>Sauce de soja</v>
      </c>
      <c r="D126" s="908">
        <f>SUM('Comext mensuel - EUROSTAT'!B154,'Comext mensuel - EUROSTAT'!D154,'Comext mensuel - EUROSTAT'!F154,'Comext mensuel - EUROSTAT'!H154,'Comext mensuel - EUROSTAT'!J154,'Comext mensuel - EUROSTAT'!L154,'Comext mensuel - EUROSTAT'!N154,'Comext mensuel - EUROSTAT'!P154,'Comext mensuel - EUROSTAT'!R154,'Comext mensuel - EUROSTAT'!T154,'Comext mensuel - EUROSTAT'!V154,'Comext mensuel - EUROSTAT'!X154)/10^4</f>
        <v>13.211523999999995</v>
      </c>
      <c r="E126" s="908">
        <f>SUM('Comext mensuel - EUROSTAT'!C154,'Comext mensuel - EUROSTAT'!E154,'Comext mensuel - EUROSTAT'!G154,'Comext mensuel - EUROSTAT'!I154,'Comext mensuel - EUROSTAT'!K154,'Comext mensuel - EUROSTAT'!M154,'Comext mensuel - EUROSTAT'!O154,'Comext mensuel - EUROSTAT'!Q154,'Comext mensuel - EUROSTAT'!S154,'Comext mensuel - EUROSTAT'!U154,'Comext mensuel - EUROSTAT'!W154,'Comext mensuel - EUROSTAT'!Y154)/10^4</f>
        <v>0.468026</v>
      </c>
      <c r="F126" s="908">
        <f>SUM('Comext mensuel - EUROSTAT'!Z154,'Comext mensuel - EUROSTAT'!AB154,'Comext mensuel - EUROSTAT'!AD154,'Comext mensuel - EUROSTAT'!AF154,'Comext mensuel - EUROSTAT'!AH154,'Comext mensuel - EUROSTAT'!AJ154,'Comext mensuel - EUROSTAT'!AL154,'Comext mensuel - EUROSTAT'!AN154,'Comext mensuel - EUROSTAT'!AP154,'Comext mensuel - EUROSTAT'!AR154,'Comext mensuel - EUROSTAT'!AT154,'Comext mensuel - EUROSTAT'!AV154)/10^4</f>
        <v>16.017571</v>
      </c>
      <c r="G126" s="908">
        <f>SUM('Comext mensuel - EUROSTAT'!AA154,'Comext mensuel - EUROSTAT'!AC154,'Comext mensuel - EUROSTAT'!AE154,'Comext mensuel - EUROSTAT'!AG154,'Comext mensuel - EUROSTAT'!AI154,'Comext mensuel - EUROSTAT'!AK154,'Comext mensuel - EUROSTAT'!AM154,'Comext mensuel - EUROSTAT'!AO154,'Comext mensuel - EUROSTAT'!AQ154,'Comext mensuel - EUROSTAT'!AS154,'Comext mensuel - EUROSTAT'!AU154,'Comext mensuel - EUROSTAT'!AW154)/10^4</f>
        <v>0.72979700000000003</v>
      </c>
      <c r="H126" s="908">
        <f>SUM('Comext mensuel - EUROSTAT'!AX154,'Comext mensuel - EUROSTAT'!AZ154,'Comext mensuel - EUROSTAT'!BB154,'Comext mensuel - EUROSTAT'!BD154,'Comext mensuel - EUROSTAT'!BF154,'Comext mensuel - EUROSTAT'!BH154,'Comext mensuel - EUROSTAT'!BJ154,'Comext mensuel - EUROSTAT'!BL154,'Comext mensuel - EUROSTAT'!BN154,'Comext mensuel - EUROSTAT'!BP154,'Comext mensuel - EUROSTAT'!BR154,'Comext mensuel - EUROSTAT'!BT154)/10^4</f>
        <v>22.414594000000005</v>
      </c>
      <c r="I126" s="908">
        <f>SUM('Comext mensuel - EUROSTAT'!AY154,'Comext mensuel - EUROSTAT'!BA154,'Comext mensuel - EUROSTAT'!BC154,'Comext mensuel - EUROSTAT'!BE154,'Comext mensuel - EUROSTAT'!BG154,'Comext mensuel - EUROSTAT'!BI154,'Comext mensuel - EUROSTAT'!BK154,'Comext mensuel - EUROSTAT'!BM154,'Comext mensuel - EUROSTAT'!BO154,'Comext mensuel - EUROSTAT'!BQ154,'Comext mensuel - EUROSTAT'!BS154,'Comext mensuel - EUROSTAT'!BU154)/10^4</f>
        <v>1.2563390000000001</v>
      </c>
      <c r="J126" s="911">
        <f>'Comext annuel - EUROSTAT'!C178/10^4</f>
        <v>12.24602</v>
      </c>
      <c r="K126" s="911">
        <f>'Comext annuel - EUROSTAT'!D178/10^4</f>
        <v>0.47709399999999996</v>
      </c>
      <c r="L126" s="911">
        <f>'Comext annuel - EUROSTAT'!E178/10^4</f>
        <v>16.170866</v>
      </c>
      <c r="M126" s="911">
        <f>'Comext annuel - EUROSTAT'!F178/10^4</f>
        <v>0.71527499999999999</v>
      </c>
      <c r="N126" s="911">
        <f>'Comext annuel - EUROSTAT'!G178/10^4</f>
        <v>20.504923999999999</v>
      </c>
      <c r="O126" s="911">
        <f>'Comext annuel - EUROSTAT'!H178/10^4</f>
        <v>0.90575000000000006</v>
      </c>
    </row>
    <row r="127" spans="1:15">
      <c r="B127" t="s">
        <v>1016</v>
      </c>
      <c r="C127" t="str">
        <f>'Comext mensuel - EUROSTAT'!A155</f>
        <v>Résidus, même agglomérés sous forme de pellets, du criblage, de la mouture ou d'autres traitements des légumineuses</v>
      </c>
      <c r="D127" s="908">
        <f>SUM('Comext mensuel - EUROSTAT'!B155,'Comext mensuel - EUROSTAT'!D155,'Comext mensuel - EUROSTAT'!F155,'Comext mensuel - EUROSTAT'!H155,'Comext mensuel - EUROSTAT'!J155,'Comext mensuel - EUROSTAT'!L155,'Comext mensuel - EUROSTAT'!N155,'Comext mensuel - EUROSTAT'!P155,'Comext mensuel - EUROSTAT'!R155,'Comext mensuel - EUROSTAT'!T155,'Comext mensuel - EUROSTAT'!V155,'Comext mensuel - EUROSTAT'!X155)/10^4</f>
        <v>4.9893180000000008</v>
      </c>
      <c r="E127" s="908">
        <f>SUM('Comext mensuel - EUROSTAT'!C155,'Comext mensuel - EUROSTAT'!E155,'Comext mensuel - EUROSTAT'!G155,'Comext mensuel - EUROSTAT'!I155,'Comext mensuel - EUROSTAT'!K155,'Comext mensuel - EUROSTAT'!M155,'Comext mensuel - EUROSTAT'!O155,'Comext mensuel - EUROSTAT'!Q155,'Comext mensuel - EUROSTAT'!S155,'Comext mensuel - EUROSTAT'!U155,'Comext mensuel - EUROSTAT'!W155,'Comext mensuel - EUROSTAT'!Y155)/10^4</f>
        <v>3.4177869999999997</v>
      </c>
      <c r="F127" s="908">
        <f>SUM('Comext mensuel - EUROSTAT'!Z155,'Comext mensuel - EUROSTAT'!AB155,'Comext mensuel - EUROSTAT'!AD155,'Comext mensuel - EUROSTAT'!AF155,'Comext mensuel - EUROSTAT'!AH155,'Comext mensuel - EUROSTAT'!AJ155,'Comext mensuel - EUROSTAT'!AL155,'Comext mensuel - EUROSTAT'!AN155,'Comext mensuel - EUROSTAT'!AP155,'Comext mensuel - EUROSTAT'!AR155,'Comext mensuel - EUROSTAT'!AT155,'Comext mensuel - EUROSTAT'!AV155)/10^4</f>
        <v>8.6252040000000001</v>
      </c>
      <c r="G127" s="908">
        <f>SUM('Comext mensuel - EUROSTAT'!AA155,'Comext mensuel - EUROSTAT'!AC155,'Comext mensuel - EUROSTAT'!AE155,'Comext mensuel - EUROSTAT'!AG155,'Comext mensuel - EUROSTAT'!AI155,'Comext mensuel - EUROSTAT'!AK155,'Comext mensuel - EUROSTAT'!AM155,'Comext mensuel - EUROSTAT'!AO155,'Comext mensuel - EUROSTAT'!AQ155,'Comext mensuel - EUROSTAT'!AS155,'Comext mensuel - EUROSTAT'!AU155,'Comext mensuel - EUROSTAT'!AW155)/10^4</f>
        <v>4.7736490000000007</v>
      </c>
      <c r="H127" s="908">
        <f>SUM('Comext mensuel - EUROSTAT'!AX155,'Comext mensuel - EUROSTAT'!AZ155,'Comext mensuel - EUROSTAT'!BB155,'Comext mensuel - EUROSTAT'!BD155,'Comext mensuel - EUROSTAT'!BF155,'Comext mensuel - EUROSTAT'!BH155,'Comext mensuel - EUROSTAT'!BJ155,'Comext mensuel - EUROSTAT'!BL155,'Comext mensuel - EUROSTAT'!BN155,'Comext mensuel - EUROSTAT'!BP155,'Comext mensuel - EUROSTAT'!BR155,'Comext mensuel - EUROSTAT'!BT155)/10^4</f>
        <v>9.5242879999999985</v>
      </c>
      <c r="I127" s="908">
        <f>SUM('Comext mensuel - EUROSTAT'!AY155,'Comext mensuel - EUROSTAT'!BA155,'Comext mensuel - EUROSTAT'!BC155,'Comext mensuel - EUROSTAT'!BE155,'Comext mensuel - EUROSTAT'!BG155,'Comext mensuel - EUROSTAT'!BI155,'Comext mensuel - EUROSTAT'!BK155,'Comext mensuel - EUROSTAT'!BM155,'Comext mensuel - EUROSTAT'!BO155,'Comext mensuel - EUROSTAT'!BQ155,'Comext mensuel - EUROSTAT'!BS155,'Comext mensuel - EUROSTAT'!BU155)/10^4</f>
        <v>5.0670659999999996</v>
      </c>
      <c r="J127" s="911">
        <f>'Comext annuel - EUROSTAT'!C179/10^4</f>
        <v>5.4805650000000004</v>
      </c>
      <c r="K127" s="911">
        <f>'Comext annuel - EUROSTAT'!D179/10^4</f>
        <v>2.6949679999999998</v>
      </c>
      <c r="L127" s="911">
        <f>'Comext annuel - EUROSTAT'!E179/10^4</f>
        <v>8.9886649999999992</v>
      </c>
      <c r="M127" s="911">
        <f>'Comext annuel - EUROSTAT'!F179/10^4</f>
        <v>3.7212389999999997</v>
      </c>
      <c r="N127" s="911">
        <f>'Comext annuel - EUROSTAT'!G179/10^4</f>
        <v>6.2875120000000004</v>
      </c>
      <c r="O127" s="911">
        <f>'Comext annuel - EUROSTAT'!H179/10^4</f>
        <v>4.4851510000000001</v>
      </c>
    </row>
    <row r="128" spans="1:15">
      <c r="A128" t="s">
        <v>82</v>
      </c>
      <c r="B128" s="1027" t="s">
        <v>1017</v>
      </c>
      <c r="C128" t="str">
        <f>'Comext mensuel - EUROSTAT'!A156</f>
        <v>Tourteaux et autres résidus solides, même broyés ou agglomérés sous forme de pellets, de l'extraction de l'huile de soja</v>
      </c>
      <c r="D128" s="909">
        <f>SUM('Comext mensuel - EUROSTAT'!B156,'Comext mensuel - EUROSTAT'!D156,'Comext mensuel - EUROSTAT'!F156,'Comext mensuel - EUROSTAT'!H156,'Comext mensuel - EUROSTAT'!J156,'Comext mensuel - EUROSTAT'!L156,'Comext mensuel - EUROSTAT'!N156,'Comext mensuel - EUROSTAT'!P156,'Comext mensuel - EUROSTAT'!R156,'Comext mensuel - EUROSTAT'!T156,'Comext mensuel - EUROSTAT'!V156,'Comext mensuel - EUROSTAT'!X156)/10^4</f>
        <v>3431.9921129999993</v>
      </c>
      <c r="E128" s="909">
        <f>SUM('Comext mensuel - EUROSTAT'!C156,'Comext mensuel - EUROSTAT'!E156,'Comext mensuel - EUROSTAT'!G156,'Comext mensuel - EUROSTAT'!I156,'Comext mensuel - EUROSTAT'!K156,'Comext mensuel - EUROSTAT'!M156,'Comext mensuel - EUROSTAT'!O156,'Comext mensuel - EUROSTAT'!Q156,'Comext mensuel - EUROSTAT'!S156,'Comext mensuel - EUROSTAT'!U156,'Comext mensuel - EUROSTAT'!W156,'Comext mensuel - EUROSTAT'!Y156)/10^4</f>
        <v>19.168677000000002</v>
      </c>
      <c r="F128" s="909">
        <f>SUM('Comext mensuel - EUROSTAT'!Z156,'Comext mensuel - EUROSTAT'!AB156,'Comext mensuel - EUROSTAT'!AD156,'Comext mensuel - EUROSTAT'!AF156,'Comext mensuel - EUROSTAT'!AH156,'Comext mensuel - EUROSTAT'!AJ156,'Comext mensuel - EUROSTAT'!AL156,'Comext mensuel - EUROSTAT'!AN156,'Comext mensuel - EUROSTAT'!AP156,'Comext mensuel - EUROSTAT'!AR156,'Comext mensuel - EUROSTAT'!AT156,'Comext mensuel - EUROSTAT'!AV156)/10^4</f>
        <v>2925.549814</v>
      </c>
      <c r="G128" s="909">
        <f>SUM('Comext mensuel - EUROSTAT'!AA156,'Comext mensuel - EUROSTAT'!AC156,'Comext mensuel - EUROSTAT'!AE156,'Comext mensuel - EUROSTAT'!AG156,'Comext mensuel - EUROSTAT'!AI156,'Comext mensuel - EUROSTAT'!AK156,'Comext mensuel - EUROSTAT'!AM156,'Comext mensuel - EUROSTAT'!AO156,'Comext mensuel - EUROSTAT'!AQ156,'Comext mensuel - EUROSTAT'!AS156,'Comext mensuel - EUROSTAT'!AU156,'Comext mensuel - EUROSTAT'!AW156)/10^4</f>
        <v>61.577357999999982</v>
      </c>
      <c r="H128" s="909">
        <f>SUM('Comext mensuel - EUROSTAT'!AX156,'Comext mensuel - EUROSTAT'!AZ156,'Comext mensuel - EUROSTAT'!BB156,'Comext mensuel - EUROSTAT'!BD156,'Comext mensuel - EUROSTAT'!BF156,'Comext mensuel - EUROSTAT'!BH156,'Comext mensuel - EUROSTAT'!BJ156,'Comext mensuel - EUROSTAT'!BL156,'Comext mensuel - EUROSTAT'!BN156,'Comext mensuel - EUROSTAT'!BP156,'Comext mensuel - EUROSTAT'!BR156,'Comext mensuel - EUROSTAT'!BT156)/10^4</f>
        <v>2780.3795630000004</v>
      </c>
      <c r="I128" s="909">
        <f>SUM('Comext mensuel - EUROSTAT'!AY156,'Comext mensuel - EUROSTAT'!BA156,'Comext mensuel - EUROSTAT'!BC156,'Comext mensuel - EUROSTAT'!BE156,'Comext mensuel - EUROSTAT'!BG156,'Comext mensuel - EUROSTAT'!BI156,'Comext mensuel - EUROSTAT'!BK156,'Comext mensuel - EUROSTAT'!BM156,'Comext mensuel - EUROSTAT'!BO156,'Comext mensuel - EUROSTAT'!BQ156,'Comext mensuel - EUROSTAT'!BS156,'Comext mensuel - EUROSTAT'!BU156)/10^4</f>
        <v>57.481765999999993</v>
      </c>
      <c r="J128" s="921">
        <f>'Comext annuel - EUROSTAT'!C180/10^4</f>
        <v>3476.5534969999999</v>
      </c>
      <c r="K128" s="921">
        <f>'Comext annuel - EUROSTAT'!D180/10^4</f>
        <v>75.547749999999994</v>
      </c>
      <c r="L128" s="921">
        <f>'Comext annuel - EUROSTAT'!E180/10^4</f>
        <v>3163.450045</v>
      </c>
      <c r="M128" s="921">
        <f>'Comext annuel - EUROSTAT'!F180/10^4</f>
        <v>69.365327000000008</v>
      </c>
      <c r="N128" s="921">
        <f>'Comext annuel - EUROSTAT'!G180/10^4</f>
        <v>2585.5098130000001</v>
      </c>
      <c r="O128" s="921">
        <f>'Comext annuel - EUROSTAT'!H180/10^4</f>
        <v>57.747385999999999</v>
      </c>
    </row>
    <row r="129" spans="1:15">
      <c r="A129" t="s">
        <v>1018</v>
      </c>
      <c r="B129" s="1027"/>
      <c r="C129" t="str">
        <f>'Comext mensuel - EUROSTAT'!A157</f>
        <v>Tourteaux et autres résidus solides, même broyés ou agglomérés sous forme de pellets, de l'extraction de l'huile d'arachide</v>
      </c>
      <c r="D129" s="908">
        <f>SUM('Comext mensuel - EUROSTAT'!B157,'Comext mensuel - EUROSTAT'!D157,'Comext mensuel - EUROSTAT'!F157,'Comext mensuel - EUROSTAT'!H157,'Comext mensuel - EUROSTAT'!J157,'Comext mensuel - EUROSTAT'!L157,'Comext mensuel - EUROSTAT'!N157,'Comext mensuel - EUROSTAT'!P157,'Comext mensuel - EUROSTAT'!R157,'Comext mensuel - EUROSTAT'!T157,'Comext mensuel - EUROSTAT'!V157,'Comext mensuel - EUROSTAT'!X157)/10^4</f>
        <v>9.6068999999999996</v>
      </c>
      <c r="E129" s="908">
        <f>SUM('Comext mensuel - EUROSTAT'!C157,'Comext mensuel - EUROSTAT'!E157,'Comext mensuel - EUROSTAT'!G157,'Comext mensuel - EUROSTAT'!I157,'Comext mensuel - EUROSTAT'!K157,'Comext mensuel - EUROSTAT'!M157,'Comext mensuel - EUROSTAT'!O157,'Comext mensuel - EUROSTAT'!Q157,'Comext mensuel - EUROSTAT'!S157,'Comext mensuel - EUROSTAT'!U157,'Comext mensuel - EUROSTAT'!W157,'Comext mensuel - EUROSTAT'!Y157)/10^4</f>
        <v>5.5238000000000002E-2</v>
      </c>
      <c r="F129" s="908">
        <f>SUM('Comext mensuel - EUROSTAT'!Z157,'Comext mensuel - EUROSTAT'!AB157,'Comext mensuel - EUROSTAT'!AD157,'Comext mensuel - EUROSTAT'!AF157,'Comext mensuel - EUROSTAT'!AH157,'Comext mensuel - EUROSTAT'!AJ157,'Comext mensuel - EUROSTAT'!AL157,'Comext mensuel - EUROSTAT'!AN157,'Comext mensuel - EUROSTAT'!AP157,'Comext mensuel - EUROSTAT'!AR157,'Comext mensuel - EUROSTAT'!AT157,'Comext mensuel - EUROSTAT'!AV157)/10^4</f>
        <v>8.9598700000000004</v>
      </c>
      <c r="G129" s="908">
        <f>SUM('Comext mensuel - EUROSTAT'!AA157,'Comext mensuel - EUROSTAT'!AC157,'Comext mensuel - EUROSTAT'!AE157,'Comext mensuel - EUROSTAT'!AG157,'Comext mensuel - EUROSTAT'!AI157,'Comext mensuel - EUROSTAT'!AK157,'Comext mensuel - EUROSTAT'!AM157,'Comext mensuel - EUROSTAT'!AO157,'Comext mensuel - EUROSTAT'!AQ157,'Comext mensuel - EUROSTAT'!AS157,'Comext mensuel - EUROSTAT'!AU157,'Comext mensuel - EUROSTAT'!AW157)/10^4</f>
        <v>8.8921999999999987E-2</v>
      </c>
      <c r="H129" s="908">
        <f>SUM('Comext mensuel - EUROSTAT'!AX157,'Comext mensuel - EUROSTAT'!AZ157,'Comext mensuel - EUROSTAT'!BB157,'Comext mensuel - EUROSTAT'!BD157,'Comext mensuel - EUROSTAT'!BF157,'Comext mensuel - EUROSTAT'!BH157,'Comext mensuel - EUROSTAT'!BJ157,'Comext mensuel - EUROSTAT'!BL157,'Comext mensuel - EUROSTAT'!BN157,'Comext mensuel - EUROSTAT'!BP157,'Comext mensuel - EUROSTAT'!BR157,'Comext mensuel - EUROSTAT'!BT157)/10^4</f>
        <v>6.0604840000000006</v>
      </c>
      <c r="I129" s="908">
        <f>SUM('Comext mensuel - EUROSTAT'!AY157,'Comext mensuel - EUROSTAT'!BA157,'Comext mensuel - EUROSTAT'!BC157,'Comext mensuel - EUROSTAT'!BE157,'Comext mensuel - EUROSTAT'!BG157,'Comext mensuel - EUROSTAT'!BI157,'Comext mensuel - EUROSTAT'!BK157,'Comext mensuel - EUROSTAT'!BM157,'Comext mensuel - EUROSTAT'!BO157,'Comext mensuel - EUROSTAT'!BQ157,'Comext mensuel - EUROSTAT'!BS157,'Comext mensuel - EUROSTAT'!BU157)/10^4</f>
        <v>4.1250000000000002E-3</v>
      </c>
      <c r="J129" s="911"/>
      <c r="K129" s="911"/>
      <c r="L129" s="911"/>
      <c r="M129" s="911"/>
      <c r="N129" s="911"/>
      <c r="O129" s="911"/>
    </row>
    <row r="130" spans="1:15">
      <c r="A130" t="s">
        <v>1019</v>
      </c>
      <c r="B130" s="1027"/>
      <c r="C130" t="str">
        <f>'Comext mensuel - EUROSTAT'!A158</f>
        <v>Tourteaux et autres résidus solides, même broyés ou agglomérés sous forme de pellets, de l'extraction des graisses ou huiles de coton</v>
      </c>
      <c r="D130" s="908">
        <f>SUM('Comext mensuel - EUROSTAT'!B158,'Comext mensuel - EUROSTAT'!D158,'Comext mensuel - EUROSTAT'!F158,'Comext mensuel - EUROSTAT'!H158,'Comext mensuel - EUROSTAT'!J158,'Comext mensuel - EUROSTAT'!L158,'Comext mensuel - EUROSTAT'!N158,'Comext mensuel - EUROSTAT'!P158,'Comext mensuel - EUROSTAT'!R158,'Comext mensuel - EUROSTAT'!T158,'Comext mensuel - EUROSTAT'!V158,'Comext mensuel - EUROSTAT'!X158)/10^4</f>
        <v>0.34587299999999993</v>
      </c>
      <c r="E130" s="908">
        <f>SUM('Comext mensuel - EUROSTAT'!C158,'Comext mensuel - EUROSTAT'!E158,'Comext mensuel - EUROSTAT'!G158,'Comext mensuel - EUROSTAT'!I158,'Comext mensuel - EUROSTAT'!K158,'Comext mensuel - EUROSTAT'!M158,'Comext mensuel - EUROSTAT'!O158,'Comext mensuel - EUROSTAT'!Q158,'Comext mensuel - EUROSTAT'!S158,'Comext mensuel - EUROSTAT'!U158,'Comext mensuel - EUROSTAT'!W158,'Comext mensuel - EUROSTAT'!Y158)/10^4</f>
        <v>0</v>
      </c>
      <c r="F130" s="908">
        <f>SUM('Comext mensuel - EUROSTAT'!Z158,'Comext mensuel - EUROSTAT'!AB158,'Comext mensuel - EUROSTAT'!AD158,'Comext mensuel - EUROSTAT'!AF158,'Comext mensuel - EUROSTAT'!AH158,'Comext mensuel - EUROSTAT'!AJ158,'Comext mensuel - EUROSTAT'!AL158,'Comext mensuel - EUROSTAT'!AN158,'Comext mensuel - EUROSTAT'!AP158,'Comext mensuel - EUROSTAT'!AR158,'Comext mensuel - EUROSTAT'!AT158,'Comext mensuel - EUROSTAT'!AV158)/10^4</f>
        <v>1.6999999999999999E-3</v>
      </c>
      <c r="G130" s="908">
        <f>SUM('Comext mensuel - EUROSTAT'!AA158,'Comext mensuel - EUROSTAT'!AC158,'Comext mensuel - EUROSTAT'!AE158,'Comext mensuel - EUROSTAT'!AG158,'Comext mensuel - EUROSTAT'!AI158,'Comext mensuel - EUROSTAT'!AK158,'Comext mensuel - EUROSTAT'!AM158,'Comext mensuel - EUROSTAT'!AO158,'Comext mensuel - EUROSTAT'!AQ158,'Comext mensuel - EUROSTAT'!AS158,'Comext mensuel - EUROSTAT'!AU158,'Comext mensuel - EUROSTAT'!AW158)/10^4</f>
        <v>0</v>
      </c>
      <c r="H130" s="908">
        <f>SUM('Comext mensuel - EUROSTAT'!AX158,'Comext mensuel - EUROSTAT'!AZ158,'Comext mensuel - EUROSTAT'!BB158,'Comext mensuel - EUROSTAT'!BD158,'Comext mensuel - EUROSTAT'!BF158,'Comext mensuel - EUROSTAT'!BH158,'Comext mensuel - EUROSTAT'!BJ158,'Comext mensuel - EUROSTAT'!BL158,'Comext mensuel - EUROSTAT'!BN158,'Comext mensuel - EUROSTAT'!BP158,'Comext mensuel - EUROSTAT'!BR158,'Comext mensuel - EUROSTAT'!BT158)/10^4</f>
        <v>0.165796</v>
      </c>
      <c r="I130" s="908">
        <f>SUM('Comext mensuel - EUROSTAT'!AY158,'Comext mensuel - EUROSTAT'!BA158,'Comext mensuel - EUROSTAT'!BC158,'Comext mensuel - EUROSTAT'!BE158,'Comext mensuel - EUROSTAT'!BG158,'Comext mensuel - EUROSTAT'!BI158,'Comext mensuel - EUROSTAT'!BK158,'Comext mensuel - EUROSTAT'!BM158,'Comext mensuel - EUROSTAT'!BO158,'Comext mensuel - EUROSTAT'!BQ158,'Comext mensuel - EUROSTAT'!BS158,'Comext mensuel - EUROSTAT'!BU158)/10^4</f>
        <v>3.9999999999999998E-6</v>
      </c>
      <c r="J130" s="911">
        <f>'Comext annuel - EUROSTAT'!C181/10^4</f>
        <v>0.33449299999999998</v>
      </c>
      <c r="K130" s="911" t="e">
        <f>'Comext annuel - EUROSTAT'!D181/10^4</f>
        <v>#VALUE!</v>
      </c>
      <c r="L130" s="911">
        <f>'Comext annuel - EUROSTAT'!E181/10^4</f>
        <v>5.7279999999999998E-2</v>
      </c>
      <c r="M130" s="911">
        <f>'Comext annuel - EUROSTAT'!F181/10^4</f>
        <v>1.4000000000000001E-5</v>
      </c>
      <c r="N130" s="911">
        <f>'Comext annuel - EUROSTAT'!G181/10^4</f>
        <v>8.0504999999999993E-2</v>
      </c>
      <c r="O130" s="911">
        <f>'Comext annuel - EUROSTAT'!H181/10^4</f>
        <v>0</v>
      </c>
    </row>
    <row r="131" spans="1:15">
      <c r="A131" t="s">
        <v>83</v>
      </c>
      <c r="B131" s="1027"/>
      <c r="C131" t="str">
        <f>'Comext mensuel - EUROSTAT'!A159</f>
        <v>Tourteaux et autres résidus solides, même broyés ou agglomérés sous forme de pellets, de l'extraction des graisses ou huiles de lin</v>
      </c>
      <c r="D131" s="909">
        <f>SUM('Comext mensuel - EUROSTAT'!B159,'Comext mensuel - EUROSTAT'!D159,'Comext mensuel - EUROSTAT'!F159,'Comext mensuel - EUROSTAT'!H159,'Comext mensuel - EUROSTAT'!J159,'Comext mensuel - EUROSTAT'!L159,'Comext mensuel - EUROSTAT'!N159,'Comext mensuel - EUROSTAT'!P159,'Comext mensuel - EUROSTAT'!R159,'Comext mensuel - EUROSTAT'!T159,'Comext mensuel - EUROSTAT'!V159,'Comext mensuel - EUROSTAT'!X159)/10^4</f>
        <v>90.166308000000001</v>
      </c>
      <c r="E131" s="909">
        <f>SUM('Comext mensuel - EUROSTAT'!C159,'Comext mensuel - EUROSTAT'!E159,'Comext mensuel - EUROSTAT'!G159,'Comext mensuel - EUROSTAT'!I159,'Comext mensuel - EUROSTAT'!K159,'Comext mensuel - EUROSTAT'!M159,'Comext mensuel - EUROSTAT'!O159,'Comext mensuel - EUROSTAT'!Q159,'Comext mensuel - EUROSTAT'!S159,'Comext mensuel - EUROSTAT'!U159,'Comext mensuel - EUROSTAT'!W159,'Comext mensuel - EUROSTAT'!Y159)/10^4</f>
        <v>3.2097000000000001E-2</v>
      </c>
      <c r="F131" s="909">
        <f>SUM('Comext mensuel - EUROSTAT'!Z159,'Comext mensuel - EUROSTAT'!AB159,'Comext mensuel - EUROSTAT'!AD159,'Comext mensuel - EUROSTAT'!AF159,'Comext mensuel - EUROSTAT'!AH159,'Comext mensuel - EUROSTAT'!AJ159,'Comext mensuel - EUROSTAT'!AL159,'Comext mensuel - EUROSTAT'!AN159,'Comext mensuel - EUROSTAT'!AP159,'Comext mensuel - EUROSTAT'!AR159,'Comext mensuel - EUROSTAT'!AT159,'Comext mensuel - EUROSTAT'!AV159)/10^4</f>
        <v>89.650288000000018</v>
      </c>
      <c r="G131" s="909">
        <f>SUM('Comext mensuel - EUROSTAT'!AA159,'Comext mensuel - EUROSTAT'!AC159,'Comext mensuel - EUROSTAT'!AE159,'Comext mensuel - EUROSTAT'!AG159,'Comext mensuel - EUROSTAT'!AI159,'Comext mensuel - EUROSTAT'!AK159,'Comext mensuel - EUROSTAT'!AM159,'Comext mensuel - EUROSTAT'!AO159,'Comext mensuel - EUROSTAT'!AQ159,'Comext mensuel - EUROSTAT'!AS159,'Comext mensuel - EUROSTAT'!AU159,'Comext mensuel - EUROSTAT'!AW159)/10^4</f>
        <v>0.89740699999999995</v>
      </c>
      <c r="H131" s="909">
        <f>SUM('Comext mensuel - EUROSTAT'!AX159,'Comext mensuel - EUROSTAT'!AZ159,'Comext mensuel - EUROSTAT'!BB159,'Comext mensuel - EUROSTAT'!BD159,'Comext mensuel - EUROSTAT'!BF159,'Comext mensuel - EUROSTAT'!BH159,'Comext mensuel - EUROSTAT'!BJ159,'Comext mensuel - EUROSTAT'!BL159,'Comext mensuel - EUROSTAT'!BN159,'Comext mensuel - EUROSTAT'!BP159,'Comext mensuel - EUROSTAT'!BR159,'Comext mensuel - EUROSTAT'!BT159)/10^4</f>
        <v>76.012824999999992</v>
      </c>
      <c r="I131" s="909">
        <f>SUM('Comext mensuel - EUROSTAT'!AY159,'Comext mensuel - EUROSTAT'!BA159,'Comext mensuel - EUROSTAT'!BC159,'Comext mensuel - EUROSTAT'!BE159,'Comext mensuel - EUROSTAT'!BG159,'Comext mensuel - EUROSTAT'!BI159,'Comext mensuel - EUROSTAT'!BK159,'Comext mensuel - EUROSTAT'!BM159,'Comext mensuel - EUROSTAT'!BO159,'Comext mensuel - EUROSTAT'!BQ159,'Comext mensuel - EUROSTAT'!BS159,'Comext mensuel - EUROSTAT'!BU159)/10^4</f>
        <v>0.52332000000000012</v>
      </c>
      <c r="J131" s="921">
        <f>'Comext annuel - EUROSTAT'!C182/10^4</f>
        <v>89.178449999999998</v>
      </c>
      <c r="K131" s="921">
        <f>'Comext annuel - EUROSTAT'!D182/10^4</f>
        <v>0.112731</v>
      </c>
      <c r="L131" s="921">
        <f>'Comext annuel - EUROSTAT'!E182/10^4</f>
        <v>96.272033999999991</v>
      </c>
      <c r="M131" s="921">
        <f>'Comext annuel - EUROSTAT'!F182/10^4</f>
        <v>0.21480199999999999</v>
      </c>
      <c r="N131" s="921">
        <f>'Comext annuel - EUROSTAT'!G182/10^4</f>
        <v>72.485125999999994</v>
      </c>
      <c r="O131" s="921">
        <f>'Comext annuel - EUROSTAT'!H182/10^4</f>
        <v>0.77771400000000002</v>
      </c>
    </row>
    <row r="132" spans="1:15">
      <c r="A132" t="s">
        <v>81</v>
      </c>
      <c r="B132" s="1027"/>
      <c r="C132" t="str">
        <f>'Comext mensuel - EUROSTAT'!A160</f>
        <v>Tourteaux et autres résidus solides, même broyés ou agglomérés sous forme de pellets, de l'extraction des graisses ou huiles de tournesol</v>
      </c>
      <c r="D132" s="909">
        <f>SUM('Comext mensuel - EUROSTAT'!B160,'Comext mensuel - EUROSTAT'!D160,'Comext mensuel - EUROSTAT'!F160,'Comext mensuel - EUROSTAT'!H160,'Comext mensuel - EUROSTAT'!J160,'Comext mensuel - EUROSTAT'!L160,'Comext mensuel - EUROSTAT'!N160,'Comext mensuel - EUROSTAT'!P160,'Comext mensuel - EUROSTAT'!R160,'Comext mensuel - EUROSTAT'!T160,'Comext mensuel - EUROSTAT'!V160,'Comext mensuel - EUROSTAT'!X160)/10^4</f>
        <v>881.97745799999996</v>
      </c>
      <c r="E132" s="909">
        <f>SUM('Comext mensuel - EUROSTAT'!C160,'Comext mensuel - EUROSTAT'!E160,'Comext mensuel - EUROSTAT'!G160,'Comext mensuel - EUROSTAT'!I160,'Comext mensuel - EUROSTAT'!K160,'Comext mensuel - EUROSTAT'!M160,'Comext mensuel - EUROSTAT'!O160,'Comext mensuel - EUROSTAT'!Q160,'Comext mensuel - EUROSTAT'!S160,'Comext mensuel - EUROSTAT'!U160,'Comext mensuel - EUROSTAT'!W160,'Comext mensuel - EUROSTAT'!Y160)/10^4</f>
        <v>53.531640999999993</v>
      </c>
      <c r="F132" s="909">
        <f>SUM('Comext mensuel - EUROSTAT'!Z160,'Comext mensuel - EUROSTAT'!AB160,'Comext mensuel - EUROSTAT'!AD160,'Comext mensuel - EUROSTAT'!AF160,'Comext mensuel - EUROSTAT'!AH160,'Comext mensuel - EUROSTAT'!AJ160,'Comext mensuel - EUROSTAT'!AL160,'Comext mensuel - EUROSTAT'!AN160,'Comext mensuel - EUROSTAT'!AP160,'Comext mensuel - EUROSTAT'!AR160,'Comext mensuel - EUROSTAT'!AT160,'Comext mensuel - EUROSTAT'!AV160)/10^4</f>
        <v>985.75225299999988</v>
      </c>
      <c r="G132" s="909">
        <f>SUM('Comext mensuel - EUROSTAT'!AA160,'Comext mensuel - EUROSTAT'!AC160,'Comext mensuel - EUROSTAT'!AE160,'Comext mensuel - EUROSTAT'!AG160,'Comext mensuel - EUROSTAT'!AI160,'Comext mensuel - EUROSTAT'!AK160,'Comext mensuel - EUROSTAT'!AM160,'Comext mensuel - EUROSTAT'!AO160,'Comext mensuel - EUROSTAT'!AQ160,'Comext mensuel - EUROSTAT'!AS160,'Comext mensuel - EUROSTAT'!AU160,'Comext mensuel - EUROSTAT'!AW160)/10^4</f>
        <v>105.27310700000001</v>
      </c>
      <c r="H132" s="909">
        <f>SUM('Comext mensuel - EUROSTAT'!AX160,'Comext mensuel - EUROSTAT'!AZ160,'Comext mensuel - EUROSTAT'!BB160,'Comext mensuel - EUROSTAT'!BD160,'Comext mensuel - EUROSTAT'!BF160,'Comext mensuel - EUROSTAT'!BH160,'Comext mensuel - EUROSTAT'!BJ160,'Comext mensuel - EUROSTAT'!BL160,'Comext mensuel - EUROSTAT'!BN160,'Comext mensuel - EUROSTAT'!BP160,'Comext mensuel - EUROSTAT'!BR160,'Comext mensuel - EUROSTAT'!BT160)/10^4</f>
        <v>870.25976500000002</v>
      </c>
      <c r="I132" s="909">
        <f>SUM('Comext mensuel - EUROSTAT'!AY160,'Comext mensuel - EUROSTAT'!BA160,'Comext mensuel - EUROSTAT'!BC160,'Comext mensuel - EUROSTAT'!BE160,'Comext mensuel - EUROSTAT'!BG160,'Comext mensuel - EUROSTAT'!BI160,'Comext mensuel - EUROSTAT'!BK160,'Comext mensuel - EUROSTAT'!BM160,'Comext mensuel - EUROSTAT'!BO160,'Comext mensuel - EUROSTAT'!BQ160,'Comext mensuel - EUROSTAT'!BS160,'Comext mensuel - EUROSTAT'!BU160)/10^4</f>
        <v>122.34380400000001</v>
      </c>
      <c r="J132" s="921">
        <f>'Comext annuel - EUROSTAT'!C183/10^4</f>
        <v>977.18129800000008</v>
      </c>
      <c r="K132" s="921">
        <f>'Comext annuel - EUROSTAT'!D183/10^4</f>
        <v>62.080745999999998</v>
      </c>
      <c r="L132" s="921">
        <f>'Comext annuel - EUROSTAT'!E183/10^4</f>
        <v>1005.7595689999999</v>
      </c>
      <c r="M132" s="921">
        <f>'Comext annuel - EUROSTAT'!F183/10^4</f>
        <v>85.871242000000009</v>
      </c>
      <c r="N132" s="921">
        <f>'Comext annuel - EUROSTAT'!G183/10^4</f>
        <v>707.396252</v>
      </c>
      <c r="O132" s="921">
        <f>'Comext annuel - EUROSTAT'!H183/10^4</f>
        <v>105.72508799999999</v>
      </c>
    </row>
    <row r="133" spans="1:15">
      <c r="A133" t="s">
        <v>80</v>
      </c>
      <c r="B133" s="1027"/>
      <c r="C133" t="str">
        <f>'Comext mensuel - EUROSTAT'!A162</f>
        <v>Tourteaux et autres résidus solides, même broyés ou agglomérés sous forme de pellets, de l'extraction des graisses ou huiles de navette ou de colza à faible teneur en acide érucique "fournissant une huile fixe dont la teneur en acide érucique est &lt; 2% et un composant solide qui contient &lt; 30 micromoles/g de glucosinolates"</v>
      </c>
      <c r="D133" s="909">
        <f>SUM('Comext mensuel - EUROSTAT'!B162,'Comext mensuel - EUROSTAT'!D162,'Comext mensuel - EUROSTAT'!F162,'Comext mensuel - EUROSTAT'!H162,'Comext mensuel - EUROSTAT'!J162,'Comext mensuel - EUROSTAT'!L162,'Comext mensuel - EUROSTAT'!N162,'Comext mensuel - EUROSTAT'!P162,'Comext mensuel - EUROSTAT'!R162,'Comext mensuel - EUROSTAT'!T162,'Comext mensuel - EUROSTAT'!V162,'Comext mensuel - EUROSTAT'!X162)/10^4</f>
        <v>428.80161200000003</v>
      </c>
      <c r="E133" s="909">
        <f>SUM('Comext mensuel - EUROSTAT'!C162,'Comext mensuel - EUROSTAT'!E162,'Comext mensuel - EUROSTAT'!G162,'Comext mensuel - EUROSTAT'!I162,'Comext mensuel - EUROSTAT'!K162,'Comext mensuel - EUROSTAT'!M162,'Comext mensuel - EUROSTAT'!O162,'Comext mensuel - EUROSTAT'!Q162,'Comext mensuel - EUROSTAT'!S162,'Comext mensuel - EUROSTAT'!U162,'Comext mensuel - EUROSTAT'!W162,'Comext mensuel - EUROSTAT'!Y162)/10^4</f>
        <v>551.49331700000005</v>
      </c>
      <c r="F133" s="909">
        <f>SUM('Comext mensuel - EUROSTAT'!Z162,'Comext mensuel - EUROSTAT'!AB162,'Comext mensuel - EUROSTAT'!AD162,'Comext mensuel - EUROSTAT'!AF162,'Comext mensuel - EUROSTAT'!AH162,'Comext mensuel - EUROSTAT'!AJ162,'Comext mensuel - EUROSTAT'!AL162,'Comext mensuel - EUROSTAT'!AN162,'Comext mensuel - EUROSTAT'!AP162,'Comext mensuel - EUROSTAT'!AR162,'Comext mensuel - EUROSTAT'!AT162,'Comext mensuel - EUROSTAT'!AV162)/10^4</f>
        <v>464.82252800000003</v>
      </c>
      <c r="G133" s="909">
        <f>SUM('Comext mensuel - EUROSTAT'!AA162,'Comext mensuel - EUROSTAT'!AC162,'Comext mensuel - EUROSTAT'!AE162,'Comext mensuel - EUROSTAT'!AG162,'Comext mensuel - EUROSTAT'!AI162,'Comext mensuel - EUROSTAT'!AK162,'Comext mensuel - EUROSTAT'!AM162,'Comext mensuel - EUROSTAT'!AO162,'Comext mensuel - EUROSTAT'!AQ162,'Comext mensuel - EUROSTAT'!AS162,'Comext mensuel - EUROSTAT'!AU162,'Comext mensuel - EUROSTAT'!AW162)/10^4</f>
        <v>508.90506399999998</v>
      </c>
      <c r="H133" s="909">
        <f>SUM('Comext mensuel - EUROSTAT'!AX162,'Comext mensuel - EUROSTAT'!AZ162,'Comext mensuel - EUROSTAT'!BB162,'Comext mensuel - EUROSTAT'!BD162,'Comext mensuel - EUROSTAT'!BF162,'Comext mensuel - EUROSTAT'!BH162,'Comext mensuel - EUROSTAT'!BJ162,'Comext mensuel - EUROSTAT'!BL162,'Comext mensuel - EUROSTAT'!BN162,'Comext mensuel - EUROSTAT'!BP162,'Comext mensuel - EUROSTAT'!BR162,'Comext mensuel - EUROSTAT'!BT162)/10^4</f>
        <v>588.95559900000012</v>
      </c>
      <c r="I133" s="909">
        <f>SUM('Comext mensuel - EUROSTAT'!AY162,'Comext mensuel - EUROSTAT'!BA162,'Comext mensuel - EUROSTAT'!BC162,'Comext mensuel - EUROSTAT'!BE162,'Comext mensuel - EUROSTAT'!BG162,'Comext mensuel - EUROSTAT'!BI162,'Comext mensuel - EUROSTAT'!BK162,'Comext mensuel - EUROSTAT'!BM162,'Comext mensuel - EUROSTAT'!BO162,'Comext mensuel - EUROSTAT'!BQ162,'Comext mensuel - EUROSTAT'!BS162,'Comext mensuel - EUROSTAT'!BU162)/10^4</f>
        <v>369.25855500000006</v>
      </c>
      <c r="J133" s="921">
        <f>'Comext annuel - EUROSTAT'!C185/10^4</f>
        <v>426.01435800000002</v>
      </c>
      <c r="K133" s="921">
        <f>'Comext annuel - EUROSTAT'!D185/10^4</f>
        <v>513.97650999999996</v>
      </c>
      <c r="L133" s="921">
        <f>'Comext annuel - EUROSTAT'!E185/10^4</f>
        <v>375.14000800000002</v>
      </c>
      <c r="M133" s="921">
        <f>'Comext annuel - EUROSTAT'!F185/10^4</f>
        <v>417.99694799999997</v>
      </c>
      <c r="N133" s="921">
        <f>'Comext annuel - EUROSTAT'!G185/10^4</f>
        <v>524.68975599999999</v>
      </c>
      <c r="O133" s="921">
        <f>'Comext annuel - EUROSTAT'!H185/10^4</f>
        <v>432.60538200000002</v>
      </c>
    </row>
    <row r="134" spans="1:15">
      <c r="A134" t="s">
        <v>80</v>
      </c>
      <c r="B134" s="1027"/>
      <c r="C134" t="str">
        <f>'Comext mensuel - EUROSTAT'!A163</f>
        <v>Tourteaux et autres résidus solides, même broyés ou agglomérés sous forme de pellets, de l'extraction des graisses ou huiles de navette ou de colza d'une teneur élevée en acide érucique "fournissant une huile fixe dont la teneur en acide érucique est &gt;= 2% et un composant solide qui contient &gt;= 30 micromoles/g de glucosinolates"</v>
      </c>
      <c r="D134" s="909">
        <f>SUM('Comext mensuel - EUROSTAT'!B163,'Comext mensuel - EUROSTAT'!D163,'Comext mensuel - EUROSTAT'!F163,'Comext mensuel - EUROSTAT'!H163,'Comext mensuel - EUROSTAT'!J163,'Comext mensuel - EUROSTAT'!L163,'Comext mensuel - EUROSTAT'!N163,'Comext mensuel - EUROSTAT'!P163,'Comext mensuel - EUROSTAT'!R163,'Comext mensuel - EUROSTAT'!T163,'Comext mensuel - EUROSTAT'!V163,'Comext mensuel - EUROSTAT'!X163)/10^4</f>
        <v>66.288752000000002</v>
      </c>
      <c r="E134" s="909">
        <f>SUM('Comext mensuel - EUROSTAT'!C163,'Comext mensuel - EUROSTAT'!E163,'Comext mensuel - EUROSTAT'!G163,'Comext mensuel - EUROSTAT'!I163,'Comext mensuel - EUROSTAT'!K163,'Comext mensuel - EUROSTAT'!M163,'Comext mensuel - EUROSTAT'!O163,'Comext mensuel - EUROSTAT'!Q163,'Comext mensuel - EUROSTAT'!S163,'Comext mensuel - EUROSTAT'!U163,'Comext mensuel - EUROSTAT'!W163,'Comext mensuel - EUROSTAT'!Y163)/10^4</f>
        <v>0.34388799999999997</v>
      </c>
      <c r="F134" s="909">
        <f>SUM('Comext mensuel - EUROSTAT'!Z163,'Comext mensuel - EUROSTAT'!AB163,'Comext mensuel - EUROSTAT'!AD163,'Comext mensuel - EUROSTAT'!AF163,'Comext mensuel - EUROSTAT'!AH163,'Comext mensuel - EUROSTAT'!AJ163,'Comext mensuel - EUROSTAT'!AL163,'Comext mensuel - EUROSTAT'!AN163,'Comext mensuel - EUROSTAT'!AP163,'Comext mensuel - EUROSTAT'!AR163,'Comext mensuel - EUROSTAT'!AT163,'Comext mensuel - EUROSTAT'!AV163)/10^4</f>
        <v>61.340202000000005</v>
      </c>
      <c r="G134" s="909">
        <f>SUM('Comext mensuel - EUROSTAT'!AA163,'Comext mensuel - EUROSTAT'!AC163,'Comext mensuel - EUROSTAT'!AE163,'Comext mensuel - EUROSTAT'!AG163,'Comext mensuel - EUROSTAT'!AI163,'Comext mensuel - EUROSTAT'!AK163,'Comext mensuel - EUROSTAT'!AM163,'Comext mensuel - EUROSTAT'!AO163,'Comext mensuel - EUROSTAT'!AQ163,'Comext mensuel - EUROSTAT'!AS163,'Comext mensuel - EUROSTAT'!AU163,'Comext mensuel - EUROSTAT'!AW163)/10^4</f>
        <v>0.69697100000000001</v>
      </c>
      <c r="H134" s="909">
        <f>SUM('Comext mensuel - EUROSTAT'!AX163,'Comext mensuel - EUROSTAT'!AZ163,'Comext mensuel - EUROSTAT'!BB163,'Comext mensuel - EUROSTAT'!BD163,'Comext mensuel - EUROSTAT'!BF163,'Comext mensuel - EUROSTAT'!BH163,'Comext mensuel - EUROSTAT'!BJ163,'Comext mensuel - EUROSTAT'!BL163,'Comext mensuel - EUROSTAT'!BN163,'Comext mensuel - EUROSTAT'!BP163,'Comext mensuel - EUROSTAT'!BR163,'Comext mensuel - EUROSTAT'!BT163)/10^4</f>
        <v>94.635320000000021</v>
      </c>
      <c r="I134" s="909">
        <f>SUM('Comext mensuel - EUROSTAT'!AY163,'Comext mensuel - EUROSTAT'!BA163,'Comext mensuel - EUROSTAT'!BC163,'Comext mensuel - EUROSTAT'!BE163,'Comext mensuel - EUROSTAT'!BG163,'Comext mensuel - EUROSTAT'!BI163,'Comext mensuel - EUROSTAT'!BK163,'Comext mensuel - EUROSTAT'!BM163,'Comext mensuel - EUROSTAT'!BO163,'Comext mensuel - EUROSTAT'!BQ163,'Comext mensuel - EUROSTAT'!BS163,'Comext mensuel - EUROSTAT'!BU163)/10^4</f>
        <v>7.4372079999999992</v>
      </c>
      <c r="J134" s="921">
        <f>'Comext annuel - EUROSTAT'!C186/10^4</f>
        <v>70.599368999999996</v>
      </c>
      <c r="K134" s="921">
        <f>'Comext annuel - EUROSTAT'!D186/10^4</f>
        <v>0.114371</v>
      </c>
      <c r="L134" s="921">
        <f>'Comext annuel - EUROSTAT'!E186/10^4</f>
        <v>52.535120999999997</v>
      </c>
      <c r="M134" s="921">
        <f>'Comext annuel - EUROSTAT'!F186/10^4</f>
        <v>0.51181999999999994</v>
      </c>
      <c r="N134" s="921">
        <f>'Comext annuel - EUROSTAT'!G186/10^4</f>
        <v>117.85093999999999</v>
      </c>
      <c r="O134" s="921">
        <f>'Comext annuel - EUROSTAT'!H186/10^4</f>
        <v>1.0349079999999999</v>
      </c>
    </row>
    <row r="135" spans="1:15">
      <c r="A135" t="s">
        <v>1020</v>
      </c>
      <c r="B135" s="1027"/>
      <c r="C135" t="str">
        <f>'Comext mensuel - EUROSTAT'!A164</f>
        <v>Tourteaux et autres résidus solides, même broyés ou agglomérés sous forme de pellets, de l'extraction des graisses ou huiles de noix de coco ou de coprah</v>
      </c>
      <c r="D135" s="908">
        <f>SUM('Comext mensuel - EUROSTAT'!B164,'Comext mensuel - EUROSTAT'!D164,'Comext mensuel - EUROSTAT'!F164,'Comext mensuel - EUROSTAT'!H164,'Comext mensuel - EUROSTAT'!J164,'Comext mensuel - EUROSTAT'!L164,'Comext mensuel - EUROSTAT'!N164,'Comext mensuel - EUROSTAT'!P164,'Comext mensuel - EUROSTAT'!R164,'Comext mensuel - EUROSTAT'!T164,'Comext mensuel - EUROSTAT'!V164,'Comext mensuel - EUROSTAT'!X164)/10^4</f>
        <v>0.62681999999999993</v>
      </c>
      <c r="E135" s="908">
        <f>SUM('Comext mensuel - EUROSTAT'!C164,'Comext mensuel - EUROSTAT'!E164,'Comext mensuel - EUROSTAT'!G164,'Comext mensuel - EUROSTAT'!I164,'Comext mensuel - EUROSTAT'!K164,'Comext mensuel - EUROSTAT'!M164,'Comext mensuel - EUROSTAT'!O164,'Comext mensuel - EUROSTAT'!Q164,'Comext mensuel - EUROSTAT'!S164,'Comext mensuel - EUROSTAT'!U164,'Comext mensuel - EUROSTAT'!W164,'Comext mensuel - EUROSTAT'!Y164)/10^4</f>
        <v>4.3100000000000005E-3</v>
      </c>
      <c r="F135" s="908">
        <f>SUM('Comext mensuel - EUROSTAT'!Z164,'Comext mensuel - EUROSTAT'!AB164,'Comext mensuel - EUROSTAT'!AD164,'Comext mensuel - EUROSTAT'!AF164,'Comext mensuel - EUROSTAT'!AH164,'Comext mensuel - EUROSTAT'!AJ164,'Comext mensuel - EUROSTAT'!AL164,'Comext mensuel - EUROSTAT'!AN164,'Comext mensuel - EUROSTAT'!AP164,'Comext mensuel - EUROSTAT'!AR164,'Comext mensuel - EUROSTAT'!AT164,'Comext mensuel - EUROSTAT'!AV164)/10^4</f>
        <v>0.21761000000000003</v>
      </c>
      <c r="G135" s="908">
        <f>SUM('Comext mensuel - EUROSTAT'!AA164,'Comext mensuel - EUROSTAT'!AC164,'Comext mensuel - EUROSTAT'!AE164,'Comext mensuel - EUROSTAT'!AG164,'Comext mensuel - EUROSTAT'!AI164,'Comext mensuel - EUROSTAT'!AK164,'Comext mensuel - EUROSTAT'!AM164,'Comext mensuel - EUROSTAT'!AO164,'Comext mensuel - EUROSTAT'!AQ164,'Comext mensuel - EUROSTAT'!AS164,'Comext mensuel - EUROSTAT'!AU164,'Comext mensuel - EUROSTAT'!AW164)/10^4</f>
        <v>5.2400000000000005E-4</v>
      </c>
      <c r="H135" s="908">
        <f>SUM('Comext mensuel - EUROSTAT'!AX164,'Comext mensuel - EUROSTAT'!AZ164,'Comext mensuel - EUROSTAT'!BB164,'Comext mensuel - EUROSTAT'!BD164,'Comext mensuel - EUROSTAT'!BF164,'Comext mensuel - EUROSTAT'!BH164,'Comext mensuel - EUROSTAT'!BJ164,'Comext mensuel - EUROSTAT'!BL164,'Comext mensuel - EUROSTAT'!BN164,'Comext mensuel - EUROSTAT'!BP164,'Comext mensuel - EUROSTAT'!BR164,'Comext mensuel - EUROSTAT'!BT164)/10^4</f>
        <v>5.7582999999999995E-2</v>
      </c>
      <c r="I135" s="908">
        <f>SUM('Comext mensuel - EUROSTAT'!AY164,'Comext mensuel - EUROSTAT'!BA164,'Comext mensuel - EUROSTAT'!BC164,'Comext mensuel - EUROSTAT'!BE164,'Comext mensuel - EUROSTAT'!BG164,'Comext mensuel - EUROSTAT'!BI164,'Comext mensuel - EUROSTAT'!BK164,'Comext mensuel - EUROSTAT'!BM164,'Comext mensuel - EUROSTAT'!BO164,'Comext mensuel - EUROSTAT'!BQ164,'Comext mensuel - EUROSTAT'!BS164,'Comext mensuel - EUROSTAT'!BU164)/10^4</f>
        <v>1.323E-3</v>
      </c>
      <c r="J135" s="911">
        <f>'Comext annuel - EUROSTAT'!C187/10^4</f>
        <v>0.545852</v>
      </c>
      <c r="K135" s="911">
        <f>'Comext annuel - EUROSTAT'!D187/10^4</f>
        <v>3.9529999999999999E-3</v>
      </c>
      <c r="L135" s="911">
        <f>'Comext annuel - EUROSTAT'!E187/10^4</f>
        <v>0.205868</v>
      </c>
      <c r="M135" s="911">
        <f>'Comext annuel - EUROSTAT'!F187/10^4</f>
        <v>1.673E-3</v>
      </c>
      <c r="N135" s="911">
        <f>'Comext annuel - EUROSTAT'!G187/10^4</f>
        <v>5.8413E-2</v>
      </c>
      <c r="O135" s="911">
        <f>'Comext annuel - EUROSTAT'!H187/10^4</f>
        <v>7.6579999999999999E-3</v>
      </c>
    </row>
    <row r="136" spans="1:15">
      <c r="A136" t="s">
        <v>1021</v>
      </c>
      <c r="B136" s="1027"/>
      <c r="C136" t="str">
        <f>'Comext mensuel - EUROSTAT'!A165</f>
        <v>Tourteaux et autres résidus solides, même broyés ou agglomérés sous forme de pellets, de l'extraction des graisses ou huiles de noix ou d'amandes de palmiste</v>
      </c>
      <c r="D136" s="908">
        <f>SUM('Comext mensuel - EUROSTAT'!B165,'Comext mensuel - EUROSTAT'!D165,'Comext mensuel - EUROSTAT'!F165,'Comext mensuel - EUROSTAT'!H165,'Comext mensuel - EUROSTAT'!J165,'Comext mensuel - EUROSTAT'!L165,'Comext mensuel - EUROSTAT'!N165,'Comext mensuel - EUROSTAT'!P165,'Comext mensuel - EUROSTAT'!R165,'Comext mensuel - EUROSTAT'!T165,'Comext mensuel - EUROSTAT'!V165,'Comext mensuel - EUROSTAT'!X165)/10^4</f>
        <v>62.809470999999995</v>
      </c>
      <c r="E136" s="908">
        <f>SUM('Comext mensuel - EUROSTAT'!C165,'Comext mensuel - EUROSTAT'!E165,'Comext mensuel - EUROSTAT'!G165,'Comext mensuel - EUROSTAT'!I165,'Comext mensuel - EUROSTAT'!K165,'Comext mensuel - EUROSTAT'!M165,'Comext mensuel - EUROSTAT'!O165,'Comext mensuel - EUROSTAT'!Q165,'Comext mensuel - EUROSTAT'!S165,'Comext mensuel - EUROSTAT'!U165,'Comext mensuel - EUROSTAT'!W165,'Comext mensuel - EUROSTAT'!Y165)/10^4</f>
        <v>2.5019E-2</v>
      </c>
      <c r="F136" s="908">
        <f>SUM('Comext mensuel - EUROSTAT'!Z165,'Comext mensuel - EUROSTAT'!AB165,'Comext mensuel - EUROSTAT'!AD165,'Comext mensuel - EUROSTAT'!AF165,'Comext mensuel - EUROSTAT'!AH165,'Comext mensuel - EUROSTAT'!AJ165,'Comext mensuel - EUROSTAT'!AL165,'Comext mensuel - EUROSTAT'!AN165,'Comext mensuel - EUROSTAT'!AP165,'Comext mensuel - EUROSTAT'!AR165,'Comext mensuel - EUROSTAT'!AT165,'Comext mensuel - EUROSTAT'!AV165)/10^4</f>
        <v>29.712133999999995</v>
      </c>
      <c r="G136" s="908">
        <f>SUM('Comext mensuel - EUROSTAT'!AA165,'Comext mensuel - EUROSTAT'!AC165,'Comext mensuel - EUROSTAT'!AE165,'Comext mensuel - EUROSTAT'!AG165,'Comext mensuel - EUROSTAT'!AI165,'Comext mensuel - EUROSTAT'!AK165,'Comext mensuel - EUROSTAT'!AM165,'Comext mensuel - EUROSTAT'!AO165,'Comext mensuel - EUROSTAT'!AQ165,'Comext mensuel - EUROSTAT'!AS165,'Comext mensuel - EUROSTAT'!AU165,'Comext mensuel - EUROSTAT'!AW165)/10^4</f>
        <v>1.93E-4</v>
      </c>
      <c r="H136" s="908">
        <f>SUM('Comext mensuel - EUROSTAT'!AX165,'Comext mensuel - EUROSTAT'!AZ165,'Comext mensuel - EUROSTAT'!BB165,'Comext mensuel - EUROSTAT'!BD165,'Comext mensuel - EUROSTAT'!BF165,'Comext mensuel - EUROSTAT'!BH165,'Comext mensuel - EUROSTAT'!BJ165,'Comext mensuel - EUROSTAT'!BL165,'Comext mensuel - EUROSTAT'!BN165,'Comext mensuel - EUROSTAT'!BP165,'Comext mensuel - EUROSTAT'!BR165,'Comext mensuel - EUROSTAT'!BT165)/10^4</f>
        <v>10.207004000000001</v>
      </c>
      <c r="I136" s="908">
        <f>SUM('Comext mensuel - EUROSTAT'!AY165,'Comext mensuel - EUROSTAT'!BA165,'Comext mensuel - EUROSTAT'!BC165,'Comext mensuel - EUROSTAT'!BE165,'Comext mensuel - EUROSTAT'!BG165,'Comext mensuel - EUROSTAT'!BI165,'Comext mensuel - EUROSTAT'!BK165,'Comext mensuel - EUROSTAT'!BM165,'Comext mensuel - EUROSTAT'!BO165,'Comext mensuel - EUROSTAT'!BQ165,'Comext mensuel - EUROSTAT'!BS165,'Comext mensuel - EUROSTAT'!BU165)/10^4</f>
        <v>4.9200000000000003E-4</v>
      </c>
      <c r="J136" s="911">
        <f>'Comext annuel - EUROSTAT'!C188/10^4</f>
        <v>69.232814000000005</v>
      </c>
      <c r="K136" s="911">
        <f>'Comext annuel - EUROSTAT'!D188/10^4</f>
        <v>9.6629999999999997E-3</v>
      </c>
      <c r="L136" s="911">
        <f>'Comext annuel - EUROSTAT'!E188/10^4</f>
        <v>56.715301000000004</v>
      </c>
      <c r="M136" s="911">
        <f>'Comext annuel - EUROSTAT'!F188/10^4</f>
        <v>3.88E-4</v>
      </c>
      <c r="N136" s="911">
        <f>'Comext annuel - EUROSTAT'!G188/10^4</f>
        <v>17.098779999999998</v>
      </c>
      <c r="O136" s="911">
        <f>'Comext annuel - EUROSTAT'!H188/10^4</f>
        <v>4.8630000000000001E-3</v>
      </c>
    </row>
    <row r="137" spans="1:15">
      <c r="B137" s="1027"/>
      <c r="C137" t="str">
        <f>'Comext mensuel - EUROSTAT'!A166</f>
        <v>Tourteaux et autres résidus solides, même broyés ou agglomérés sous forme de pellets, de l'extraction de graisses ou huiles végétales (à l'excl. des tourteaux et autres résidus solides de l'extraction des graisses ou huiles de soja, d'arachide, de coton, de lin, de tournesol, de graines de navette ou de colza, de noix de coco ou de coprah et de noix ou d'amandes de palmiste)</v>
      </c>
      <c r="D137" s="908">
        <f>SUM('Comext mensuel - EUROSTAT'!B166,'Comext mensuel - EUROSTAT'!D166,'Comext mensuel - EUROSTAT'!F166,'Comext mensuel - EUROSTAT'!H166,'Comext mensuel - EUROSTAT'!J166,'Comext mensuel - EUROSTAT'!L166,'Comext mensuel - EUROSTAT'!N166,'Comext mensuel - EUROSTAT'!P166,'Comext mensuel - EUROSTAT'!R166,'Comext mensuel - EUROSTAT'!T166,'Comext mensuel - EUROSTAT'!V166,'Comext mensuel - EUROSTAT'!X166)/10^4</f>
        <v>73.029607999999982</v>
      </c>
      <c r="E137" s="908">
        <f>SUM('Comext mensuel - EUROSTAT'!C166,'Comext mensuel - EUROSTAT'!E166,'Comext mensuel - EUROSTAT'!G166,'Comext mensuel - EUROSTAT'!I166,'Comext mensuel - EUROSTAT'!K166,'Comext mensuel - EUROSTAT'!M166,'Comext mensuel - EUROSTAT'!O166,'Comext mensuel - EUROSTAT'!Q166,'Comext mensuel - EUROSTAT'!S166,'Comext mensuel - EUROSTAT'!U166,'Comext mensuel - EUROSTAT'!W166,'Comext mensuel - EUROSTAT'!Y166)/10^4</f>
        <v>8.5365959999999994</v>
      </c>
      <c r="F137" s="908">
        <f>SUM('Comext mensuel - EUROSTAT'!Z166,'Comext mensuel - EUROSTAT'!AB166,'Comext mensuel - EUROSTAT'!AD166,'Comext mensuel - EUROSTAT'!AF166,'Comext mensuel - EUROSTAT'!AH166,'Comext mensuel - EUROSTAT'!AJ166,'Comext mensuel - EUROSTAT'!AL166,'Comext mensuel - EUROSTAT'!AN166,'Comext mensuel - EUROSTAT'!AP166,'Comext mensuel - EUROSTAT'!AR166,'Comext mensuel - EUROSTAT'!AT166,'Comext mensuel - EUROSTAT'!AV166)/10^4</f>
        <v>75.985934999999998</v>
      </c>
      <c r="G137" s="908">
        <f>SUM('Comext mensuel - EUROSTAT'!AA166,'Comext mensuel - EUROSTAT'!AC166,'Comext mensuel - EUROSTAT'!AE166,'Comext mensuel - EUROSTAT'!AG166,'Comext mensuel - EUROSTAT'!AI166,'Comext mensuel - EUROSTAT'!AK166,'Comext mensuel - EUROSTAT'!AM166,'Comext mensuel - EUROSTAT'!AO166,'Comext mensuel - EUROSTAT'!AQ166,'Comext mensuel - EUROSTAT'!AS166,'Comext mensuel - EUROSTAT'!AU166,'Comext mensuel - EUROSTAT'!AW166)/10^4</f>
        <v>10.289688999999999</v>
      </c>
      <c r="H137" s="908">
        <f>SUM('Comext mensuel - EUROSTAT'!AX166,'Comext mensuel - EUROSTAT'!AZ166,'Comext mensuel - EUROSTAT'!BB166,'Comext mensuel - EUROSTAT'!BD166,'Comext mensuel - EUROSTAT'!BF166,'Comext mensuel - EUROSTAT'!BH166,'Comext mensuel - EUROSTAT'!BJ166,'Comext mensuel - EUROSTAT'!BL166,'Comext mensuel - EUROSTAT'!BN166,'Comext mensuel - EUROSTAT'!BP166,'Comext mensuel - EUROSTAT'!BR166,'Comext mensuel - EUROSTAT'!BT166)/10^4</f>
        <v>59.124666000000005</v>
      </c>
      <c r="I137" s="908">
        <f>SUM('Comext mensuel - EUROSTAT'!AY166,'Comext mensuel - EUROSTAT'!BA166,'Comext mensuel - EUROSTAT'!BC166,'Comext mensuel - EUROSTAT'!BE166,'Comext mensuel - EUROSTAT'!BG166,'Comext mensuel - EUROSTAT'!BI166,'Comext mensuel - EUROSTAT'!BK166,'Comext mensuel - EUROSTAT'!BM166,'Comext mensuel - EUROSTAT'!BO166,'Comext mensuel - EUROSTAT'!BQ166,'Comext mensuel - EUROSTAT'!BS166,'Comext mensuel - EUROSTAT'!BU166)/10^4</f>
        <v>14.163413999999998</v>
      </c>
      <c r="J137" s="911"/>
      <c r="K137" s="911"/>
      <c r="L137" s="911"/>
      <c r="M137" s="911"/>
      <c r="N137" s="911"/>
      <c r="O137" s="911"/>
    </row>
    <row r="138" spans="1:15">
      <c r="A138" t="s">
        <v>1012</v>
      </c>
      <c r="B138" s="1027"/>
      <c r="C138" t="str">
        <f>'Comext mensuel - EUROSTAT'!A167</f>
        <v>Grignons d'olives et autres résidus, même broyés ou agglomérés sous forme de pellets, de l'extraction de l'huile d'olive, ayant une teneur en poids d'huile d'olive &lt;= 3%</v>
      </c>
      <c r="D138" s="909">
        <f>SUM('Comext mensuel - EUROSTAT'!B167,'Comext mensuel - EUROSTAT'!D167,'Comext mensuel - EUROSTAT'!F167,'Comext mensuel - EUROSTAT'!H167,'Comext mensuel - EUROSTAT'!J167,'Comext mensuel - EUROSTAT'!L167,'Comext mensuel - EUROSTAT'!N167,'Comext mensuel - EUROSTAT'!P167,'Comext mensuel - EUROSTAT'!R167,'Comext mensuel - EUROSTAT'!T167,'Comext mensuel - EUROSTAT'!V167,'Comext mensuel - EUROSTAT'!X167)/10^4</f>
        <v>8.9258150000000001</v>
      </c>
      <c r="E138" s="909">
        <f>SUM('Comext mensuel - EUROSTAT'!C167,'Comext mensuel - EUROSTAT'!E167,'Comext mensuel - EUROSTAT'!G167,'Comext mensuel - EUROSTAT'!I167,'Comext mensuel - EUROSTAT'!K167,'Comext mensuel - EUROSTAT'!M167,'Comext mensuel - EUROSTAT'!O167,'Comext mensuel - EUROSTAT'!Q167,'Comext mensuel - EUROSTAT'!S167,'Comext mensuel - EUROSTAT'!U167,'Comext mensuel - EUROSTAT'!W167,'Comext mensuel - EUROSTAT'!Y167)/10^4</f>
        <v>0.09</v>
      </c>
      <c r="F138" s="909">
        <f>SUM('Comext mensuel - EUROSTAT'!Z167,'Comext mensuel - EUROSTAT'!AB167,'Comext mensuel - EUROSTAT'!AD167,'Comext mensuel - EUROSTAT'!AF167,'Comext mensuel - EUROSTAT'!AH167,'Comext mensuel - EUROSTAT'!AJ167,'Comext mensuel - EUROSTAT'!AL167,'Comext mensuel - EUROSTAT'!AN167,'Comext mensuel - EUROSTAT'!AP167,'Comext mensuel - EUROSTAT'!AR167,'Comext mensuel - EUROSTAT'!AT167,'Comext mensuel - EUROSTAT'!AV167)/10^4</f>
        <v>24.132367000000002</v>
      </c>
      <c r="G138" s="909">
        <f>SUM('Comext mensuel - EUROSTAT'!AA167,'Comext mensuel - EUROSTAT'!AC167,'Comext mensuel - EUROSTAT'!AE167,'Comext mensuel - EUROSTAT'!AG167,'Comext mensuel - EUROSTAT'!AI167,'Comext mensuel - EUROSTAT'!AK167,'Comext mensuel - EUROSTAT'!AM167,'Comext mensuel - EUROSTAT'!AO167,'Comext mensuel - EUROSTAT'!AQ167,'Comext mensuel - EUROSTAT'!AS167,'Comext mensuel - EUROSTAT'!AU167,'Comext mensuel - EUROSTAT'!AW167)/10^4</f>
        <v>0.72499999999999998</v>
      </c>
      <c r="H138" s="909">
        <f>SUM('Comext mensuel - EUROSTAT'!AX167,'Comext mensuel - EUROSTAT'!AZ167,'Comext mensuel - EUROSTAT'!BB167,'Comext mensuel - EUROSTAT'!BD167,'Comext mensuel - EUROSTAT'!BF167,'Comext mensuel - EUROSTAT'!BH167,'Comext mensuel - EUROSTAT'!BJ167,'Comext mensuel - EUROSTAT'!BL167,'Comext mensuel - EUROSTAT'!BN167,'Comext mensuel - EUROSTAT'!BP167,'Comext mensuel - EUROSTAT'!BR167,'Comext mensuel - EUROSTAT'!BT167)/10^4</f>
        <v>11.850752999999999</v>
      </c>
      <c r="I138" s="909">
        <f>SUM('Comext mensuel - EUROSTAT'!AY167,'Comext mensuel - EUROSTAT'!BA167,'Comext mensuel - EUROSTAT'!BC167,'Comext mensuel - EUROSTAT'!BE167,'Comext mensuel - EUROSTAT'!BG167,'Comext mensuel - EUROSTAT'!BI167,'Comext mensuel - EUROSTAT'!BK167,'Comext mensuel - EUROSTAT'!BM167,'Comext mensuel - EUROSTAT'!BO167,'Comext mensuel - EUROSTAT'!BQ167,'Comext mensuel - EUROSTAT'!BS167,'Comext mensuel - EUROSTAT'!BU167)/10^4</f>
        <v>0</v>
      </c>
      <c r="J138" s="911">
        <f>'Comext annuel - EUROSTAT'!C190/10^4</f>
        <v>7.7251460000000005</v>
      </c>
      <c r="K138" s="911">
        <f>'Comext annuel - EUROSTAT'!D190/10^4</f>
        <v>5.3999999999999999E-2</v>
      </c>
      <c r="L138" s="911">
        <f>'Comext annuel - EUROSTAT'!E190/10^4</f>
        <v>20.491847</v>
      </c>
      <c r="M138" s="911">
        <f>'Comext annuel - EUROSTAT'!F190/10^4</f>
        <v>1.5</v>
      </c>
      <c r="N138" s="911">
        <f>'Comext annuel - EUROSTAT'!G190/10^4</f>
        <v>15.654871</v>
      </c>
      <c r="O138" s="911" t="e">
        <f>'Comext annuel - EUROSTAT'!H190/10^4</f>
        <v>#VALUE!</v>
      </c>
    </row>
    <row r="139" spans="1:15">
      <c r="A139" t="s">
        <v>1012</v>
      </c>
      <c r="B139" s="1027"/>
      <c r="C139" t="str">
        <f>'Comext mensuel - EUROSTAT'!A168</f>
        <v>Grignons d'olives et autres résidus, même broyés ou agglomérés sous forme de pellets, de l'extraction de l'huile d'olive, ayant une teneur en poids d'huile d'olive &gt; 3%</v>
      </c>
      <c r="D139" s="909">
        <f>SUM('Comext mensuel - EUROSTAT'!B168,'Comext mensuel - EUROSTAT'!D168,'Comext mensuel - EUROSTAT'!F168,'Comext mensuel - EUROSTAT'!H168,'Comext mensuel - EUROSTAT'!J168,'Comext mensuel - EUROSTAT'!L168,'Comext mensuel - EUROSTAT'!N168,'Comext mensuel - EUROSTAT'!P168,'Comext mensuel - EUROSTAT'!R168,'Comext mensuel - EUROSTAT'!T168,'Comext mensuel - EUROSTAT'!V168,'Comext mensuel - EUROSTAT'!X168)/10^4</f>
        <v>0.31221700000000002</v>
      </c>
      <c r="E139" s="909">
        <f>SUM('Comext mensuel - EUROSTAT'!C168,'Comext mensuel - EUROSTAT'!E168,'Comext mensuel - EUROSTAT'!G168,'Comext mensuel - EUROSTAT'!I168,'Comext mensuel - EUROSTAT'!K168,'Comext mensuel - EUROSTAT'!M168,'Comext mensuel - EUROSTAT'!O168,'Comext mensuel - EUROSTAT'!Q168,'Comext mensuel - EUROSTAT'!S168,'Comext mensuel - EUROSTAT'!U168,'Comext mensuel - EUROSTAT'!W168,'Comext mensuel - EUROSTAT'!Y168)/10^4</f>
        <v>0</v>
      </c>
      <c r="F139" s="909">
        <f>SUM('Comext mensuel - EUROSTAT'!Z168,'Comext mensuel - EUROSTAT'!AB168,'Comext mensuel - EUROSTAT'!AD168,'Comext mensuel - EUROSTAT'!AF168,'Comext mensuel - EUROSTAT'!AH168,'Comext mensuel - EUROSTAT'!AJ168,'Comext mensuel - EUROSTAT'!AL168,'Comext mensuel - EUROSTAT'!AN168,'Comext mensuel - EUROSTAT'!AP168,'Comext mensuel - EUROSTAT'!AR168,'Comext mensuel - EUROSTAT'!AT168,'Comext mensuel - EUROSTAT'!AV168)/10^4</f>
        <v>0.46553599999999995</v>
      </c>
      <c r="G139" s="909">
        <f>SUM('Comext mensuel - EUROSTAT'!AA168,'Comext mensuel - EUROSTAT'!AC168,'Comext mensuel - EUROSTAT'!AE168,'Comext mensuel - EUROSTAT'!AG168,'Comext mensuel - EUROSTAT'!AI168,'Comext mensuel - EUROSTAT'!AK168,'Comext mensuel - EUROSTAT'!AM168,'Comext mensuel - EUROSTAT'!AO168,'Comext mensuel - EUROSTAT'!AQ168,'Comext mensuel - EUROSTAT'!AS168,'Comext mensuel - EUROSTAT'!AU168,'Comext mensuel - EUROSTAT'!AW168)/10^4</f>
        <v>3.9706999999999999E-2</v>
      </c>
      <c r="H139" s="909">
        <f>SUM('Comext mensuel - EUROSTAT'!AX168,'Comext mensuel - EUROSTAT'!AZ168,'Comext mensuel - EUROSTAT'!BB168,'Comext mensuel - EUROSTAT'!BD168,'Comext mensuel - EUROSTAT'!BF168,'Comext mensuel - EUROSTAT'!BH168,'Comext mensuel - EUROSTAT'!BJ168,'Comext mensuel - EUROSTAT'!BL168,'Comext mensuel - EUROSTAT'!BN168,'Comext mensuel - EUROSTAT'!BP168,'Comext mensuel - EUROSTAT'!BR168,'Comext mensuel - EUROSTAT'!BT168)/10^4</f>
        <v>8.1591000000000011E-2</v>
      </c>
      <c r="I139" s="909">
        <f>SUM('Comext mensuel - EUROSTAT'!AY168,'Comext mensuel - EUROSTAT'!BA168,'Comext mensuel - EUROSTAT'!BC168,'Comext mensuel - EUROSTAT'!BE168,'Comext mensuel - EUROSTAT'!BG168,'Comext mensuel - EUROSTAT'!BI168,'Comext mensuel - EUROSTAT'!BK168,'Comext mensuel - EUROSTAT'!BM168,'Comext mensuel - EUROSTAT'!BO168,'Comext mensuel - EUROSTAT'!BQ168,'Comext mensuel - EUROSTAT'!BS168,'Comext mensuel - EUROSTAT'!BU168)/10^4</f>
        <v>2.3001000000000001E-2</v>
      </c>
      <c r="J139" s="911">
        <f>'Comext annuel - EUROSTAT'!C191/10^4</f>
        <v>0.45759700000000003</v>
      </c>
      <c r="K139" s="911" t="e">
        <f>'Comext annuel - EUROSTAT'!D191/10^4</f>
        <v>#VALUE!</v>
      </c>
      <c r="L139" s="911">
        <f>'Comext annuel - EUROSTAT'!E191/10^4</f>
        <v>0.34396199999999999</v>
      </c>
      <c r="M139" s="911">
        <f>'Comext annuel - EUROSTAT'!F191/10^4</f>
        <v>4.0441999999999999E-2</v>
      </c>
      <c r="N139" s="911">
        <f>'Comext annuel - EUROSTAT'!G191/10^4</f>
        <v>0.34823599999999999</v>
      </c>
      <c r="O139" s="911">
        <f>'Comext annuel - EUROSTAT'!H191/10^4</f>
        <v>2.3001000000000001E-2</v>
      </c>
    </row>
    <row r="140" spans="1:15">
      <c r="B140" s="1027"/>
      <c r="C140" t="str">
        <f>'Comext mensuel - EUROSTAT'!A169</f>
        <v>Tourteaux et autres résidus solides, mêmes broyés ou agglomérés sous forme de pellets, de l'extraction de graisses ou huiles végétales (à l'excl. des tourteaux et autres résidus solides de l'extraction des graisses ou huiles de coton, de lin, de tournesol, de graines de navette ou de colza, de noix de coco ou de coprah, de noix ou d'amandes de palmiste, de germes de maïs ainsi que de l'extraction de l'huile d'olive, de l'huile de soja et de l'huile d'arachide)</v>
      </c>
      <c r="D140" s="908">
        <f>SUM('Comext mensuel - EUROSTAT'!B169,'Comext mensuel - EUROSTAT'!D169,'Comext mensuel - EUROSTAT'!F169,'Comext mensuel - EUROSTAT'!H169,'Comext mensuel - EUROSTAT'!J169,'Comext mensuel - EUROSTAT'!L169,'Comext mensuel - EUROSTAT'!N169,'Comext mensuel - EUROSTAT'!P169,'Comext mensuel - EUROSTAT'!R169,'Comext mensuel - EUROSTAT'!T169,'Comext mensuel - EUROSTAT'!V169,'Comext mensuel - EUROSTAT'!X169)/10^4</f>
        <v>18.851559999999999</v>
      </c>
      <c r="E140" s="908">
        <f>SUM('Comext mensuel - EUROSTAT'!C169,'Comext mensuel - EUROSTAT'!E169,'Comext mensuel - EUROSTAT'!G169,'Comext mensuel - EUROSTAT'!I169,'Comext mensuel - EUROSTAT'!K169,'Comext mensuel - EUROSTAT'!M169,'Comext mensuel - EUROSTAT'!O169,'Comext mensuel - EUROSTAT'!Q169,'Comext mensuel - EUROSTAT'!S169,'Comext mensuel - EUROSTAT'!U169,'Comext mensuel - EUROSTAT'!W169,'Comext mensuel - EUROSTAT'!Y169)/10^4</f>
        <v>2.1960919999999997</v>
      </c>
      <c r="F140" s="908">
        <f>SUM('Comext mensuel - EUROSTAT'!Z169,'Comext mensuel - EUROSTAT'!AB169,'Comext mensuel - EUROSTAT'!AD169,'Comext mensuel - EUROSTAT'!AF169,'Comext mensuel - EUROSTAT'!AH169,'Comext mensuel - EUROSTAT'!AJ169,'Comext mensuel - EUROSTAT'!AL169,'Comext mensuel - EUROSTAT'!AN169,'Comext mensuel - EUROSTAT'!AP169,'Comext mensuel - EUROSTAT'!AR169,'Comext mensuel - EUROSTAT'!AT169,'Comext mensuel - EUROSTAT'!AV169)/10^4</f>
        <v>16.338764000000001</v>
      </c>
      <c r="G140" s="908">
        <f>SUM('Comext mensuel - EUROSTAT'!AA169,'Comext mensuel - EUROSTAT'!AC169,'Comext mensuel - EUROSTAT'!AE169,'Comext mensuel - EUROSTAT'!AG169,'Comext mensuel - EUROSTAT'!AI169,'Comext mensuel - EUROSTAT'!AK169,'Comext mensuel - EUROSTAT'!AM169,'Comext mensuel - EUROSTAT'!AO169,'Comext mensuel - EUROSTAT'!AQ169,'Comext mensuel - EUROSTAT'!AS169,'Comext mensuel - EUROSTAT'!AU169,'Comext mensuel - EUROSTAT'!AW169)/10^4</f>
        <v>0.61389199999999999</v>
      </c>
      <c r="H140" s="908">
        <f>SUM('Comext mensuel - EUROSTAT'!AX169,'Comext mensuel - EUROSTAT'!AZ169,'Comext mensuel - EUROSTAT'!BB169,'Comext mensuel - EUROSTAT'!BD169,'Comext mensuel - EUROSTAT'!BF169,'Comext mensuel - EUROSTAT'!BH169,'Comext mensuel - EUROSTAT'!BJ169,'Comext mensuel - EUROSTAT'!BL169,'Comext mensuel - EUROSTAT'!BN169,'Comext mensuel - EUROSTAT'!BP169,'Comext mensuel - EUROSTAT'!BR169,'Comext mensuel - EUROSTAT'!BT169)/10^4</f>
        <v>12.048513999999999</v>
      </c>
      <c r="I140" s="908">
        <f>SUM('Comext mensuel - EUROSTAT'!AY169,'Comext mensuel - EUROSTAT'!BA169,'Comext mensuel - EUROSTAT'!BC169,'Comext mensuel - EUROSTAT'!BE169,'Comext mensuel - EUROSTAT'!BG169,'Comext mensuel - EUROSTAT'!BI169,'Comext mensuel - EUROSTAT'!BK169,'Comext mensuel - EUROSTAT'!BM169,'Comext mensuel - EUROSTAT'!BO169,'Comext mensuel - EUROSTAT'!BQ169,'Comext mensuel - EUROSTAT'!BS169,'Comext mensuel - EUROSTAT'!BU169)/10^4</f>
        <v>8.2216969999999989</v>
      </c>
      <c r="J140" s="911">
        <f>'Comext annuel - EUROSTAT'!C192/10^4</f>
        <v>18.896660999999998</v>
      </c>
      <c r="K140" s="911">
        <f>'Comext annuel - EUROSTAT'!D192/10^4</f>
        <v>1.3893450000000001</v>
      </c>
      <c r="L140" s="911">
        <f>'Comext annuel - EUROSTAT'!E192/10^4</f>
        <v>7.0311389999999996</v>
      </c>
      <c r="M140" s="911">
        <f>'Comext annuel - EUROSTAT'!F192/10^4</f>
        <v>1.4043000000000001</v>
      </c>
      <c r="N140" s="911">
        <f>'Comext annuel - EUROSTAT'!G192/10^4</f>
        <v>12.026282</v>
      </c>
      <c r="O140" s="911">
        <f>'Comext annuel - EUROSTAT'!H192/10^4</f>
        <v>9.1370039999999992</v>
      </c>
    </row>
  </sheetData>
  <mergeCells count="19">
    <mergeCell ref="F2:G2"/>
    <mergeCell ref="H2:I2"/>
    <mergeCell ref="B1:C1"/>
    <mergeCell ref="J1:O1"/>
    <mergeCell ref="D1:I1"/>
    <mergeCell ref="A2:B2"/>
    <mergeCell ref="C2:C3"/>
    <mergeCell ref="J2:K2"/>
    <mergeCell ref="L2:M2"/>
    <mergeCell ref="N2:O2"/>
    <mergeCell ref="D2:E2"/>
    <mergeCell ref="B121:B125"/>
    <mergeCell ref="B128:B140"/>
    <mergeCell ref="B4:B5"/>
    <mergeCell ref="B6:B8"/>
    <mergeCell ref="B9:B22"/>
    <mergeCell ref="B25:B34"/>
    <mergeCell ref="B35:B36"/>
    <mergeCell ref="B37:B12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C94E-A57B-4D15-B5D9-EDC31C868CB6}">
  <sheetPr>
    <tabColor rgb="FFFFC000"/>
  </sheetPr>
  <dimension ref="A1:BU174"/>
  <sheetViews>
    <sheetView workbookViewId="0">
      <pane xSplit="1" ySplit="12" topLeftCell="B13" activePane="bottomRight" state="frozen"/>
      <selection activeCell="O17" sqref="O17"/>
      <selection pane="topRight" activeCell="O17" sqref="O17"/>
      <selection pane="bottomLeft" activeCell="O17" sqref="O17"/>
      <selection pane="bottomRight" activeCell="A9" sqref="A9"/>
    </sheetView>
  </sheetViews>
  <sheetFormatPr baseColWidth="10" defaultColWidth="8.88671875" defaultRowHeight="11.4" customHeight="1"/>
  <cols>
    <col min="1" max="1" width="140.6640625" style="66" customWidth="1"/>
    <col min="2" max="73" width="11" style="66" customWidth="1"/>
    <col min="74" max="16384" width="8.88671875" style="66"/>
  </cols>
  <sheetData>
    <row r="1" spans="1:73">
      <c r="A1" s="65" t="s">
        <v>954</v>
      </c>
    </row>
    <row r="2" spans="1:73">
      <c r="A2" s="65" t="s">
        <v>188</v>
      </c>
      <c r="B2" s="67" t="s">
        <v>955</v>
      </c>
    </row>
    <row r="3" spans="1:73">
      <c r="A3" s="65" t="s">
        <v>190</v>
      </c>
      <c r="B3" s="65" t="s">
        <v>956</v>
      </c>
    </row>
    <row r="4" spans="1:73"/>
    <row r="5" spans="1:73">
      <c r="A5" s="67" t="s">
        <v>192</v>
      </c>
      <c r="C5" s="65" t="s">
        <v>957</v>
      </c>
    </row>
    <row r="6" spans="1:73">
      <c r="A6" s="67" t="s">
        <v>280</v>
      </c>
      <c r="C6" s="65" t="s">
        <v>281</v>
      </c>
    </row>
    <row r="7" spans="1:73">
      <c r="A7" s="67" t="s">
        <v>282</v>
      </c>
      <c r="C7" s="65" t="s">
        <v>283</v>
      </c>
    </row>
    <row r="8" spans="1:73">
      <c r="A8" s="67" t="s">
        <v>195</v>
      </c>
      <c r="C8" s="65" t="s">
        <v>284</v>
      </c>
    </row>
    <row r="9" spans="1:73">
      <c r="A9" s="960"/>
    </row>
    <row r="10" spans="1:73">
      <c r="A10" s="68" t="s">
        <v>197</v>
      </c>
      <c r="B10" s="1069" t="s">
        <v>958</v>
      </c>
      <c r="C10" s="1069" t="s">
        <v>958</v>
      </c>
      <c r="D10" s="1069" t="s">
        <v>959</v>
      </c>
      <c r="E10" s="1069" t="s">
        <v>959</v>
      </c>
      <c r="F10" s="1069" t="s">
        <v>960</v>
      </c>
      <c r="G10" s="1069" t="s">
        <v>960</v>
      </c>
      <c r="H10" s="1069" t="s">
        <v>961</v>
      </c>
      <c r="I10" s="1069" t="s">
        <v>961</v>
      </c>
      <c r="J10" s="1069" t="s">
        <v>962</v>
      </c>
      <c r="K10" s="1069" t="s">
        <v>962</v>
      </c>
      <c r="L10" s="1069" t="s">
        <v>963</v>
      </c>
      <c r="M10" s="1069" t="s">
        <v>963</v>
      </c>
      <c r="N10" s="1069" t="s">
        <v>964</v>
      </c>
      <c r="O10" s="1069" t="s">
        <v>964</v>
      </c>
      <c r="P10" s="1069" t="s">
        <v>965</v>
      </c>
      <c r="Q10" s="1069" t="s">
        <v>965</v>
      </c>
      <c r="R10" s="1069" t="s">
        <v>966</v>
      </c>
      <c r="S10" s="1069" t="s">
        <v>966</v>
      </c>
      <c r="T10" s="1069" t="s">
        <v>967</v>
      </c>
      <c r="U10" s="1069" t="s">
        <v>967</v>
      </c>
      <c r="V10" s="1069" t="s">
        <v>968</v>
      </c>
      <c r="W10" s="1069" t="s">
        <v>968</v>
      </c>
      <c r="X10" s="1069" t="s">
        <v>969</v>
      </c>
      <c r="Y10" s="1069" t="s">
        <v>969</v>
      </c>
      <c r="Z10" s="1069" t="s">
        <v>970</v>
      </c>
      <c r="AA10" s="1069" t="s">
        <v>970</v>
      </c>
      <c r="AB10" s="1069" t="s">
        <v>971</v>
      </c>
      <c r="AC10" s="1069" t="s">
        <v>971</v>
      </c>
      <c r="AD10" s="1069" t="s">
        <v>972</v>
      </c>
      <c r="AE10" s="1069" t="s">
        <v>972</v>
      </c>
      <c r="AF10" s="1069" t="s">
        <v>973</v>
      </c>
      <c r="AG10" s="1069" t="s">
        <v>973</v>
      </c>
      <c r="AH10" s="1069" t="s">
        <v>974</v>
      </c>
      <c r="AI10" s="1069" t="s">
        <v>974</v>
      </c>
      <c r="AJ10" s="1069" t="s">
        <v>975</v>
      </c>
      <c r="AK10" s="1069" t="s">
        <v>975</v>
      </c>
      <c r="AL10" s="1069" t="s">
        <v>976</v>
      </c>
      <c r="AM10" s="1069" t="s">
        <v>976</v>
      </c>
      <c r="AN10" s="1069" t="s">
        <v>977</v>
      </c>
      <c r="AO10" s="1069" t="s">
        <v>977</v>
      </c>
      <c r="AP10" s="1069" t="s">
        <v>978</v>
      </c>
      <c r="AQ10" s="1069" t="s">
        <v>978</v>
      </c>
      <c r="AR10" s="1069" t="s">
        <v>979</v>
      </c>
      <c r="AS10" s="1069" t="s">
        <v>979</v>
      </c>
      <c r="AT10" s="1069" t="s">
        <v>980</v>
      </c>
      <c r="AU10" s="1069" t="s">
        <v>980</v>
      </c>
      <c r="AV10" s="1069" t="s">
        <v>981</v>
      </c>
      <c r="AW10" s="1069" t="s">
        <v>981</v>
      </c>
      <c r="AX10" s="1069" t="s">
        <v>982</v>
      </c>
      <c r="AY10" s="1069" t="s">
        <v>982</v>
      </c>
      <c r="AZ10" s="1069" t="s">
        <v>983</v>
      </c>
      <c r="BA10" s="1069" t="s">
        <v>983</v>
      </c>
      <c r="BB10" s="1069" t="s">
        <v>984</v>
      </c>
      <c r="BC10" s="1069" t="s">
        <v>984</v>
      </c>
      <c r="BD10" s="1069" t="s">
        <v>985</v>
      </c>
      <c r="BE10" s="1069" t="s">
        <v>985</v>
      </c>
      <c r="BF10" s="1069" t="s">
        <v>986</v>
      </c>
      <c r="BG10" s="1069" t="s">
        <v>986</v>
      </c>
      <c r="BH10" s="1069" t="s">
        <v>987</v>
      </c>
      <c r="BI10" s="1069" t="s">
        <v>987</v>
      </c>
      <c r="BJ10" s="1069" t="s">
        <v>988</v>
      </c>
      <c r="BK10" s="1069" t="s">
        <v>988</v>
      </c>
      <c r="BL10" s="1069" t="s">
        <v>989</v>
      </c>
      <c r="BM10" s="1069" t="s">
        <v>989</v>
      </c>
      <c r="BN10" s="1069" t="s">
        <v>990</v>
      </c>
      <c r="BO10" s="1069" t="s">
        <v>990</v>
      </c>
      <c r="BP10" s="1069" t="s">
        <v>991</v>
      </c>
      <c r="BQ10" s="1069" t="s">
        <v>991</v>
      </c>
      <c r="BR10" s="1069" t="s">
        <v>992</v>
      </c>
      <c r="BS10" s="1069" t="s">
        <v>992</v>
      </c>
      <c r="BT10" s="1069" t="s">
        <v>993</v>
      </c>
      <c r="BU10" s="1069" t="s">
        <v>993</v>
      </c>
    </row>
    <row r="11" spans="1:73">
      <c r="A11" s="68" t="s">
        <v>285</v>
      </c>
      <c r="B11" s="69" t="s">
        <v>286</v>
      </c>
      <c r="C11" s="69" t="s">
        <v>287</v>
      </c>
      <c r="D11" s="69" t="s">
        <v>286</v>
      </c>
      <c r="E11" s="69" t="s">
        <v>287</v>
      </c>
      <c r="F11" s="69" t="s">
        <v>286</v>
      </c>
      <c r="G11" s="69" t="s">
        <v>287</v>
      </c>
      <c r="H11" s="69" t="s">
        <v>286</v>
      </c>
      <c r="I11" s="69" t="s">
        <v>287</v>
      </c>
      <c r="J11" s="69" t="s">
        <v>286</v>
      </c>
      <c r="K11" s="69" t="s">
        <v>287</v>
      </c>
      <c r="L11" s="69" t="s">
        <v>286</v>
      </c>
      <c r="M11" s="69" t="s">
        <v>287</v>
      </c>
      <c r="N11" s="69" t="s">
        <v>286</v>
      </c>
      <c r="O11" s="69" t="s">
        <v>287</v>
      </c>
      <c r="P11" s="69" t="s">
        <v>286</v>
      </c>
      <c r="Q11" s="69" t="s">
        <v>287</v>
      </c>
      <c r="R11" s="69" t="s">
        <v>286</v>
      </c>
      <c r="S11" s="69" t="s">
        <v>287</v>
      </c>
      <c r="T11" s="69" t="s">
        <v>286</v>
      </c>
      <c r="U11" s="69" t="s">
        <v>287</v>
      </c>
      <c r="V11" s="69" t="s">
        <v>286</v>
      </c>
      <c r="W11" s="69" t="s">
        <v>287</v>
      </c>
      <c r="X11" s="69" t="s">
        <v>286</v>
      </c>
      <c r="Y11" s="69" t="s">
        <v>287</v>
      </c>
      <c r="Z11" s="69" t="s">
        <v>286</v>
      </c>
      <c r="AA11" s="69" t="s">
        <v>287</v>
      </c>
      <c r="AB11" s="69" t="s">
        <v>286</v>
      </c>
      <c r="AC11" s="69" t="s">
        <v>287</v>
      </c>
      <c r="AD11" s="69" t="s">
        <v>286</v>
      </c>
      <c r="AE11" s="69" t="s">
        <v>287</v>
      </c>
      <c r="AF11" s="69" t="s">
        <v>286</v>
      </c>
      <c r="AG11" s="69" t="s">
        <v>287</v>
      </c>
      <c r="AH11" s="69" t="s">
        <v>286</v>
      </c>
      <c r="AI11" s="69" t="s">
        <v>287</v>
      </c>
      <c r="AJ11" s="69" t="s">
        <v>286</v>
      </c>
      <c r="AK11" s="69" t="s">
        <v>287</v>
      </c>
      <c r="AL11" s="69" t="s">
        <v>286</v>
      </c>
      <c r="AM11" s="69" t="s">
        <v>287</v>
      </c>
      <c r="AN11" s="69" t="s">
        <v>286</v>
      </c>
      <c r="AO11" s="69" t="s">
        <v>287</v>
      </c>
      <c r="AP11" s="69" t="s">
        <v>286</v>
      </c>
      <c r="AQ11" s="69" t="s">
        <v>287</v>
      </c>
      <c r="AR11" s="69" t="s">
        <v>286</v>
      </c>
      <c r="AS11" s="69" t="s">
        <v>287</v>
      </c>
      <c r="AT11" s="69" t="s">
        <v>286</v>
      </c>
      <c r="AU11" s="69" t="s">
        <v>287</v>
      </c>
      <c r="AV11" s="69" t="s">
        <v>286</v>
      </c>
      <c r="AW11" s="69" t="s">
        <v>287</v>
      </c>
      <c r="AX11" s="69" t="s">
        <v>286</v>
      </c>
      <c r="AY11" s="69" t="s">
        <v>287</v>
      </c>
      <c r="AZ11" s="69" t="s">
        <v>286</v>
      </c>
      <c r="BA11" s="69" t="s">
        <v>287</v>
      </c>
      <c r="BB11" s="69" t="s">
        <v>286</v>
      </c>
      <c r="BC11" s="69" t="s">
        <v>287</v>
      </c>
      <c r="BD11" s="69" t="s">
        <v>286</v>
      </c>
      <c r="BE11" s="69" t="s">
        <v>287</v>
      </c>
      <c r="BF11" s="69" t="s">
        <v>286</v>
      </c>
      <c r="BG11" s="69" t="s">
        <v>287</v>
      </c>
      <c r="BH11" s="69" t="s">
        <v>286</v>
      </c>
      <c r="BI11" s="69" t="s">
        <v>287</v>
      </c>
      <c r="BJ11" s="69" t="s">
        <v>286</v>
      </c>
      <c r="BK11" s="69" t="s">
        <v>287</v>
      </c>
      <c r="BL11" s="69" t="s">
        <v>286</v>
      </c>
      <c r="BM11" s="69" t="s">
        <v>287</v>
      </c>
      <c r="BN11" s="69" t="s">
        <v>286</v>
      </c>
      <c r="BO11" s="69" t="s">
        <v>287</v>
      </c>
      <c r="BP11" s="69" t="s">
        <v>286</v>
      </c>
      <c r="BQ11" s="69" t="s">
        <v>287</v>
      </c>
      <c r="BR11" s="69" t="s">
        <v>286</v>
      </c>
      <c r="BS11" s="69" t="s">
        <v>287</v>
      </c>
      <c r="BT11" s="69" t="s">
        <v>286</v>
      </c>
      <c r="BU11" s="69" t="s">
        <v>287</v>
      </c>
    </row>
    <row r="12" spans="1:73">
      <c r="A12" s="70" t="s">
        <v>289</v>
      </c>
      <c r="B12" s="71" t="s">
        <v>91</v>
      </c>
      <c r="C12" s="71" t="s">
        <v>91</v>
      </c>
      <c r="D12" s="71" t="s">
        <v>91</v>
      </c>
      <c r="E12" s="71" t="s">
        <v>91</v>
      </c>
      <c r="F12" s="71" t="s">
        <v>91</v>
      </c>
      <c r="G12" s="71" t="s">
        <v>91</v>
      </c>
      <c r="H12" s="71" t="s">
        <v>91</v>
      </c>
      <c r="I12" s="71" t="s">
        <v>91</v>
      </c>
      <c r="J12" s="71" t="s">
        <v>91</v>
      </c>
      <c r="K12" s="71" t="s">
        <v>91</v>
      </c>
      <c r="L12" s="71" t="s">
        <v>91</v>
      </c>
      <c r="M12" s="71" t="s">
        <v>91</v>
      </c>
      <c r="N12" s="71" t="s">
        <v>91</v>
      </c>
      <c r="O12" s="71" t="s">
        <v>91</v>
      </c>
      <c r="P12" s="71" t="s">
        <v>91</v>
      </c>
      <c r="Q12" s="71" t="s">
        <v>91</v>
      </c>
      <c r="R12" s="71" t="s">
        <v>91</v>
      </c>
      <c r="S12" s="71" t="s">
        <v>91</v>
      </c>
      <c r="T12" s="71" t="s">
        <v>91</v>
      </c>
      <c r="U12" s="71" t="s">
        <v>91</v>
      </c>
      <c r="V12" s="71" t="s">
        <v>91</v>
      </c>
      <c r="W12" s="71" t="s">
        <v>91</v>
      </c>
      <c r="X12" s="71" t="s">
        <v>91</v>
      </c>
      <c r="Y12" s="71" t="s">
        <v>91</v>
      </c>
      <c r="Z12" s="71" t="s">
        <v>91</v>
      </c>
      <c r="AA12" s="71" t="s">
        <v>91</v>
      </c>
      <c r="AB12" s="71" t="s">
        <v>91</v>
      </c>
      <c r="AC12" s="71" t="s">
        <v>91</v>
      </c>
      <c r="AD12" s="71" t="s">
        <v>91</v>
      </c>
      <c r="AE12" s="71" t="s">
        <v>91</v>
      </c>
      <c r="AF12" s="71" t="s">
        <v>91</v>
      </c>
      <c r="AG12" s="71" t="s">
        <v>91</v>
      </c>
      <c r="AH12" s="71" t="s">
        <v>91</v>
      </c>
      <c r="AI12" s="71" t="s">
        <v>91</v>
      </c>
      <c r="AJ12" s="71" t="s">
        <v>91</v>
      </c>
      <c r="AK12" s="71" t="s">
        <v>91</v>
      </c>
      <c r="AL12" s="71" t="s">
        <v>91</v>
      </c>
      <c r="AM12" s="71" t="s">
        <v>91</v>
      </c>
      <c r="AN12" s="71" t="s">
        <v>91</v>
      </c>
      <c r="AO12" s="71" t="s">
        <v>91</v>
      </c>
      <c r="AP12" s="71" t="s">
        <v>91</v>
      </c>
      <c r="AQ12" s="71" t="s">
        <v>91</v>
      </c>
      <c r="AR12" s="71" t="s">
        <v>91</v>
      </c>
      <c r="AS12" s="71" t="s">
        <v>91</v>
      </c>
      <c r="AT12" s="71" t="s">
        <v>91</v>
      </c>
      <c r="AU12" s="71" t="s">
        <v>91</v>
      </c>
      <c r="AV12" s="71" t="s">
        <v>91</v>
      </c>
      <c r="AW12" s="71" t="s">
        <v>91</v>
      </c>
      <c r="AX12" s="71" t="s">
        <v>91</v>
      </c>
      <c r="AY12" s="71" t="s">
        <v>91</v>
      </c>
      <c r="AZ12" s="71" t="s">
        <v>91</v>
      </c>
      <c r="BA12" s="71" t="s">
        <v>91</v>
      </c>
      <c r="BB12" s="71" t="s">
        <v>91</v>
      </c>
      <c r="BC12" s="71" t="s">
        <v>91</v>
      </c>
      <c r="BD12" s="71" t="s">
        <v>91</v>
      </c>
      <c r="BE12" s="71" t="s">
        <v>91</v>
      </c>
      <c r="BF12" s="71" t="s">
        <v>91</v>
      </c>
      <c r="BG12" s="71" t="s">
        <v>91</v>
      </c>
      <c r="BH12" s="71" t="s">
        <v>91</v>
      </c>
      <c r="BI12" s="71" t="s">
        <v>91</v>
      </c>
      <c r="BJ12" s="71" t="s">
        <v>91</v>
      </c>
      <c r="BK12" s="71" t="s">
        <v>91</v>
      </c>
      <c r="BL12" s="71" t="s">
        <v>91</v>
      </c>
      <c r="BM12" s="71" t="s">
        <v>91</v>
      </c>
      <c r="BN12" s="71" t="s">
        <v>91</v>
      </c>
      <c r="BO12" s="71" t="s">
        <v>91</v>
      </c>
      <c r="BP12" s="71" t="s">
        <v>91</v>
      </c>
      <c r="BQ12" s="71" t="s">
        <v>91</v>
      </c>
      <c r="BR12" s="71" t="s">
        <v>91</v>
      </c>
      <c r="BS12" s="71" t="s">
        <v>91</v>
      </c>
      <c r="BT12" s="71" t="s">
        <v>91</v>
      </c>
      <c r="BU12" s="71" t="s">
        <v>91</v>
      </c>
    </row>
    <row r="13" spans="1:73">
      <c r="A13" s="72" t="s">
        <v>291</v>
      </c>
      <c r="B13" s="75">
        <v>932.08</v>
      </c>
      <c r="C13" s="75">
        <v>4.2699999999999996</v>
      </c>
      <c r="D13" s="75">
        <v>715.77</v>
      </c>
      <c r="E13" s="75">
        <v>3.04</v>
      </c>
      <c r="F13" s="75">
        <v>1005.59</v>
      </c>
      <c r="G13" s="78">
        <v>3.3</v>
      </c>
      <c r="H13" s="75">
        <v>719.71</v>
      </c>
      <c r="I13" s="78">
        <v>4.9000000000000004</v>
      </c>
      <c r="J13" s="75">
        <v>1684.11</v>
      </c>
      <c r="K13" s="75">
        <v>2.68</v>
      </c>
      <c r="L13" s="75">
        <v>1190.75</v>
      </c>
      <c r="M13" s="75">
        <v>17.579999999999998</v>
      </c>
      <c r="N13" s="75">
        <v>642.92999999999995</v>
      </c>
      <c r="O13" s="75">
        <v>2.29</v>
      </c>
      <c r="P13" s="75">
        <v>395.52</v>
      </c>
      <c r="Q13" s="75">
        <v>2.16</v>
      </c>
      <c r="R13" s="75">
        <v>1977.47</v>
      </c>
      <c r="S13" s="75">
        <v>3.18</v>
      </c>
      <c r="T13" s="75">
        <v>1481.63</v>
      </c>
      <c r="U13" s="75">
        <v>3.38</v>
      </c>
      <c r="V13" s="75">
        <v>713.32</v>
      </c>
      <c r="W13" s="78">
        <v>3.3</v>
      </c>
      <c r="X13" s="75">
        <v>1152.1500000000001</v>
      </c>
      <c r="Y13" s="75">
        <v>2.3199999999999998</v>
      </c>
      <c r="Z13" s="75">
        <v>1320.42</v>
      </c>
      <c r="AA13" s="78">
        <v>13.7</v>
      </c>
      <c r="AB13" s="75">
        <v>506.92</v>
      </c>
      <c r="AC13" s="75">
        <v>8.93</v>
      </c>
      <c r="AD13" s="75">
        <v>1110.43</v>
      </c>
      <c r="AE13" s="75">
        <v>7.88</v>
      </c>
      <c r="AF13" s="75">
        <v>912.33</v>
      </c>
      <c r="AG13" s="75">
        <v>16.149999999999999</v>
      </c>
      <c r="AH13" s="75">
        <v>1154.48</v>
      </c>
      <c r="AI13" s="75">
        <v>14.21</v>
      </c>
      <c r="AJ13" s="75">
        <v>906.09</v>
      </c>
      <c r="AK13" s="75">
        <v>56.07</v>
      </c>
      <c r="AL13" s="75">
        <v>1190.27</v>
      </c>
      <c r="AM13" s="75">
        <v>20.47</v>
      </c>
      <c r="AN13" s="75">
        <v>1544.04</v>
      </c>
      <c r="AO13" s="75">
        <v>32.65</v>
      </c>
      <c r="AP13" s="75">
        <v>1672.54</v>
      </c>
      <c r="AQ13" s="75">
        <v>46.06</v>
      </c>
      <c r="AR13" s="75">
        <v>1197.3499999999999</v>
      </c>
      <c r="AS13" s="78">
        <v>42.7</v>
      </c>
      <c r="AT13" s="75">
        <v>1192.72</v>
      </c>
      <c r="AU13" s="78">
        <v>46.5</v>
      </c>
      <c r="AV13" s="78">
        <v>2078</v>
      </c>
      <c r="AW13" s="75">
        <v>48.97</v>
      </c>
      <c r="AX13" s="75">
        <v>1672.79</v>
      </c>
      <c r="AY13" s="75">
        <v>57.22</v>
      </c>
      <c r="AZ13" s="75">
        <v>1248.42</v>
      </c>
      <c r="BA13" s="75">
        <v>446.11</v>
      </c>
      <c r="BB13" s="78">
        <v>971.9</v>
      </c>
      <c r="BC13" s="75">
        <v>36.89</v>
      </c>
      <c r="BD13" s="75">
        <v>1484.29</v>
      </c>
      <c r="BE13" s="75">
        <v>79.97</v>
      </c>
      <c r="BF13" s="75">
        <v>754.61</v>
      </c>
      <c r="BG13" s="75">
        <v>71.97</v>
      </c>
      <c r="BH13" s="75">
        <v>762.23</v>
      </c>
      <c r="BI13" s="78">
        <v>163.9</v>
      </c>
      <c r="BJ13" s="75">
        <v>977.06</v>
      </c>
      <c r="BK13" s="75">
        <v>182.16</v>
      </c>
      <c r="BL13" s="75">
        <v>364.43</v>
      </c>
      <c r="BM13" s="78">
        <v>34.5</v>
      </c>
      <c r="BN13" s="75">
        <v>551.24</v>
      </c>
      <c r="BO13" s="75">
        <v>26.32</v>
      </c>
      <c r="BP13" s="75">
        <v>1388.26</v>
      </c>
      <c r="BQ13" s="75">
        <v>21.75</v>
      </c>
      <c r="BR13" s="75">
        <v>1139.1500000000001</v>
      </c>
      <c r="BS13" s="75">
        <v>37.630000000000003</v>
      </c>
      <c r="BT13" s="75">
        <v>1052.55</v>
      </c>
      <c r="BU13" s="78">
        <v>18.600000000000001</v>
      </c>
    </row>
    <row r="14" spans="1:73">
      <c r="A14" s="72" t="s">
        <v>293</v>
      </c>
      <c r="B14" s="76">
        <v>222.06</v>
      </c>
      <c r="C14" s="76">
        <v>68.11</v>
      </c>
      <c r="D14" s="76">
        <v>0.03</v>
      </c>
      <c r="E14" s="76">
        <v>7.69</v>
      </c>
      <c r="F14" s="76">
        <v>1.41</v>
      </c>
      <c r="G14" s="76">
        <v>21.48</v>
      </c>
      <c r="H14" s="76">
        <v>1.42</v>
      </c>
      <c r="I14" s="76">
        <v>110.33</v>
      </c>
      <c r="J14" s="76">
        <v>35.409999999999997</v>
      </c>
      <c r="K14" s="76">
        <v>14.28</v>
      </c>
      <c r="L14" s="76">
        <v>11.23</v>
      </c>
      <c r="M14" s="77">
        <v>117</v>
      </c>
      <c r="N14" s="76">
        <v>1.51</v>
      </c>
      <c r="O14" s="76">
        <v>21.81</v>
      </c>
      <c r="P14" s="76">
        <v>925.99</v>
      </c>
      <c r="Q14" s="76">
        <v>63.55</v>
      </c>
      <c r="R14" s="76">
        <v>2171.31</v>
      </c>
      <c r="S14" s="76">
        <v>85.33</v>
      </c>
      <c r="T14" s="76">
        <v>2138.19</v>
      </c>
      <c r="U14" s="77">
        <v>30.3</v>
      </c>
      <c r="V14" s="76">
        <v>3028.28</v>
      </c>
      <c r="W14" s="76">
        <v>18.12</v>
      </c>
      <c r="X14" s="76">
        <v>1138.48</v>
      </c>
      <c r="Y14" s="76">
        <v>19.54</v>
      </c>
      <c r="Z14" s="76">
        <v>141.43</v>
      </c>
      <c r="AA14" s="76">
        <v>23.84</v>
      </c>
      <c r="AB14" s="76">
        <v>70.430000000000007</v>
      </c>
      <c r="AC14" s="76">
        <v>38.56</v>
      </c>
      <c r="AD14" s="77">
        <v>82.2</v>
      </c>
      <c r="AE14" s="76">
        <v>42.02</v>
      </c>
      <c r="AF14" s="76">
        <v>61.24</v>
      </c>
      <c r="AG14" s="76">
        <v>30.64</v>
      </c>
      <c r="AH14" s="76">
        <v>117.85</v>
      </c>
      <c r="AI14" s="76">
        <v>5.62</v>
      </c>
      <c r="AJ14" s="77">
        <v>11.3</v>
      </c>
      <c r="AK14" s="76">
        <v>18.03</v>
      </c>
      <c r="AL14" s="77">
        <v>11.2</v>
      </c>
      <c r="AM14" s="76">
        <v>18.78</v>
      </c>
      <c r="AN14" s="76">
        <v>50.58</v>
      </c>
      <c r="AO14" s="76">
        <v>23.74</v>
      </c>
      <c r="AP14" s="76">
        <v>57.39</v>
      </c>
      <c r="AQ14" s="76">
        <v>8.65</v>
      </c>
      <c r="AR14" s="76">
        <v>91.22</v>
      </c>
      <c r="AS14" s="77">
        <v>3.9</v>
      </c>
      <c r="AT14" s="76">
        <v>41.77</v>
      </c>
      <c r="AU14" s="76">
        <v>142.86000000000001</v>
      </c>
      <c r="AV14" s="76">
        <v>31.23</v>
      </c>
      <c r="AW14" s="76">
        <v>8.36</v>
      </c>
      <c r="AX14" s="76">
        <v>77.28</v>
      </c>
      <c r="AY14" s="76">
        <v>15.01</v>
      </c>
      <c r="AZ14" s="76">
        <v>52.91</v>
      </c>
      <c r="BA14" s="76">
        <v>20.92</v>
      </c>
      <c r="BB14" s="76">
        <v>323.45</v>
      </c>
      <c r="BC14" s="76">
        <v>0.73</v>
      </c>
      <c r="BD14" s="76">
        <v>207.81</v>
      </c>
      <c r="BE14" s="76">
        <v>77.83</v>
      </c>
      <c r="BF14" s="76">
        <v>233.23</v>
      </c>
      <c r="BG14" s="76">
        <v>28.55</v>
      </c>
      <c r="BH14" s="76">
        <v>474.47</v>
      </c>
      <c r="BI14" s="76">
        <v>86.18</v>
      </c>
      <c r="BJ14" s="76">
        <v>337.46</v>
      </c>
      <c r="BK14" s="77">
        <v>11.6</v>
      </c>
      <c r="BL14" s="76">
        <v>212.86</v>
      </c>
      <c r="BM14" s="76">
        <v>22.65</v>
      </c>
      <c r="BN14" s="76">
        <v>121.38</v>
      </c>
      <c r="BO14" s="76">
        <v>26.85</v>
      </c>
      <c r="BP14" s="76">
        <v>237.13</v>
      </c>
      <c r="BQ14" s="76">
        <v>20.28</v>
      </c>
      <c r="BR14" s="76">
        <v>240.01</v>
      </c>
      <c r="BS14" s="76">
        <v>15.22</v>
      </c>
      <c r="BT14" s="76">
        <v>401.35</v>
      </c>
      <c r="BU14" s="76">
        <v>49.86</v>
      </c>
    </row>
    <row r="15" spans="1:73">
      <c r="A15" s="72" t="s">
        <v>679</v>
      </c>
      <c r="B15" s="75">
        <v>3201.21</v>
      </c>
      <c r="C15" s="75">
        <v>660.86</v>
      </c>
      <c r="D15" s="75">
        <v>3455.04</v>
      </c>
      <c r="E15" s="75">
        <v>740.19</v>
      </c>
      <c r="F15" s="75">
        <v>5743.14</v>
      </c>
      <c r="G15" s="75">
        <v>1513.77</v>
      </c>
      <c r="H15" s="78">
        <v>3365.9</v>
      </c>
      <c r="I15" s="75">
        <v>564.35</v>
      </c>
      <c r="J15" s="75">
        <v>5384.45</v>
      </c>
      <c r="K15" s="75">
        <v>1345.93</v>
      </c>
      <c r="L15" s="75">
        <v>5373.79</v>
      </c>
      <c r="M15" s="78">
        <v>1101.2</v>
      </c>
      <c r="N15" s="75">
        <v>4293.95</v>
      </c>
      <c r="O15" s="75">
        <v>1503.64</v>
      </c>
      <c r="P15" s="75">
        <v>1447.08</v>
      </c>
      <c r="Q15" s="75">
        <v>50.29</v>
      </c>
      <c r="R15" s="75">
        <v>429.73</v>
      </c>
      <c r="S15" s="75">
        <v>127.97</v>
      </c>
      <c r="T15" s="75">
        <v>855.54</v>
      </c>
      <c r="U15" s="75">
        <v>79.510000000000005</v>
      </c>
      <c r="V15" s="75">
        <v>1110.31</v>
      </c>
      <c r="W15" s="75">
        <v>75.87</v>
      </c>
      <c r="X15" s="75">
        <v>966.38</v>
      </c>
      <c r="Y15" s="75">
        <v>46.21</v>
      </c>
      <c r="Z15" s="75">
        <v>697.93</v>
      </c>
      <c r="AA15" s="78">
        <v>1.3</v>
      </c>
      <c r="AB15" s="75">
        <v>860.72</v>
      </c>
      <c r="AC15" s="75">
        <v>5.08</v>
      </c>
      <c r="AD15" s="75">
        <v>813.64</v>
      </c>
      <c r="AE15" s="75">
        <v>36.22</v>
      </c>
      <c r="AF15" s="75">
        <v>1632.26</v>
      </c>
      <c r="AG15" s="75">
        <v>38.67</v>
      </c>
      <c r="AH15" s="75">
        <v>1196.57</v>
      </c>
      <c r="AI15" s="73" t="s">
        <v>207</v>
      </c>
      <c r="AJ15" s="75">
        <v>1204.6600000000001</v>
      </c>
      <c r="AK15" s="75">
        <v>74.39</v>
      </c>
      <c r="AL15" s="75">
        <v>1352.61</v>
      </c>
      <c r="AM15" s="78">
        <v>15.4</v>
      </c>
      <c r="AN15" s="75">
        <v>530.75</v>
      </c>
      <c r="AO15" s="75">
        <v>137.41999999999999</v>
      </c>
      <c r="AP15" s="75">
        <v>1773.93</v>
      </c>
      <c r="AQ15" s="75">
        <v>162.75</v>
      </c>
      <c r="AR15" s="75">
        <v>1310.75</v>
      </c>
      <c r="AS15" s="75">
        <v>10.26</v>
      </c>
      <c r="AT15" s="75">
        <v>841.71</v>
      </c>
      <c r="AU15" s="75">
        <v>803.59</v>
      </c>
      <c r="AV15" s="78">
        <v>1005.8</v>
      </c>
      <c r="AW15" s="75">
        <v>24.25</v>
      </c>
      <c r="AX15" s="75">
        <v>196.97</v>
      </c>
      <c r="AY15" s="75">
        <v>36.51</v>
      </c>
      <c r="AZ15" s="75">
        <v>355.07</v>
      </c>
      <c r="BA15" s="75">
        <v>17.27</v>
      </c>
      <c r="BB15" s="75">
        <v>312.89</v>
      </c>
      <c r="BC15" s="75">
        <v>15.01</v>
      </c>
      <c r="BD15" s="75">
        <v>511.03</v>
      </c>
      <c r="BE15" s="75">
        <v>15.52</v>
      </c>
      <c r="BF15" s="75">
        <v>615.57000000000005</v>
      </c>
      <c r="BG15" s="75">
        <v>41.55</v>
      </c>
      <c r="BH15" s="75">
        <v>237.79</v>
      </c>
      <c r="BI15" s="75">
        <v>29.47</v>
      </c>
      <c r="BJ15" s="75">
        <v>806.47</v>
      </c>
      <c r="BK15" s="75">
        <v>19.23</v>
      </c>
      <c r="BL15" s="75">
        <v>952.76</v>
      </c>
      <c r="BM15" s="75">
        <v>25.04</v>
      </c>
      <c r="BN15" s="75">
        <v>378.46</v>
      </c>
      <c r="BO15" s="75">
        <v>44.71</v>
      </c>
      <c r="BP15" s="75">
        <v>509.24</v>
      </c>
      <c r="BQ15" s="75">
        <v>401.48</v>
      </c>
      <c r="BR15" s="75">
        <v>303.91000000000003</v>
      </c>
      <c r="BS15" s="75">
        <v>119.84</v>
      </c>
      <c r="BT15" s="75">
        <v>625.04999999999995</v>
      </c>
      <c r="BU15" s="75">
        <v>38.119999999999997</v>
      </c>
    </row>
    <row r="16" spans="1:73">
      <c r="A16" s="72" t="s">
        <v>295</v>
      </c>
      <c r="B16" s="76">
        <v>852.77</v>
      </c>
      <c r="C16" s="76">
        <v>0.24</v>
      </c>
      <c r="D16" s="76">
        <v>1504.17</v>
      </c>
      <c r="E16" s="76">
        <v>1.46</v>
      </c>
      <c r="F16" s="76">
        <v>1116.72</v>
      </c>
      <c r="G16" s="76">
        <v>1.35</v>
      </c>
      <c r="H16" s="76">
        <v>897.47</v>
      </c>
      <c r="I16" s="76">
        <v>0.78</v>
      </c>
      <c r="J16" s="77">
        <v>1006.3</v>
      </c>
      <c r="K16" s="76">
        <v>1.02</v>
      </c>
      <c r="L16" s="76">
        <v>839.25</v>
      </c>
      <c r="M16" s="76">
        <v>0.47</v>
      </c>
      <c r="N16" s="76">
        <v>893.33</v>
      </c>
      <c r="O16" s="76">
        <v>1.18</v>
      </c>
      <c r="P16" s="76">
        <v>1303.44</v>
      </c>
      <c r="Q16" s="76">
        <v>0.32</v>
      </c>
      <c r="R16" s="76">
        <v>959.04</v>
      </c>
      <c r="S16" s="76">
        <v>0.46</v>
      </c>
      <c r="T16" s="76">
        <v>957.33</v>
      </c>
      <c r="U16" s="76">
        <v>2.5299999999999998</v>
      </c>
      <c r="V16" s="76">
        <v>2071.39</v>
      </c>
      <c r="W16" s="76">
        <v>4.3899999999999997</v>
      </c>
      <c r="X16" s="76">
        <v>1472.96</v>
      </c>
      <c r="Y16" s="77">
        <v>1.5</v>
      </c>
      <c r="Z16" s="77">
        <v>3369.6</v>
      </c>
      <c r="AA16" s="76">
        <v>13.67</v>
      </c>
      <c r="AB16" s="76">
        <v>2239.08</v>
      </c>
      <c r="AC16" s="76">
        <v>2.77</v>
      </c>
      <c r="AD16" s="76">
        <v>1513.86</v>
      </c>
      <c r="AE16" s="76">
        <v>0.75</v>
      </c>
      <c r="AF16" s="76">
        <v>1937.83</v>
      </c>
      <c r="AG16" s="76">
        <v>2.2599999999999998</v>
      </c>
      <c r="AH16" s="76">
        <v>1694.57</v>
      </c>
      <c r="AI16" s="76">
        <v>11.67</v>
      </c>
      <c r="AJ16" s="76">
        <v>1566.46</v>
      </c>
      <c r="AK16" s="76">
        <v>79.72</v>
      </c>
      <c r="AL16" s="76">
        <v>1057.96</v>
      </c>
      <c r="AM16" s="76">
        <v>7.65</v>
      </c>
      <c r="AN16" s="76">
        <v>1582.48</v>
      </c>
      <c r="AO16" s="76">
        <v>1.58</v>
      </c>
      <c r="AP16" s="76">
        <v>2032.83</v>
      </c>
      <c r="AQ16" s="76">
        <v>5.72</v>
      </c>
      <c r="AR16" s="76">
        <v>1823.49</v>
      </c>
      <c r="AS16" s="76">
        <v>1.86</v>
      </c>
      <c r="AT16" s="76">
        <v>2380.98</v>
      </c>
      <c r="AU16" s="76">
        <v>2.02</v>
      </c>
      <c r="AV16" s="76">
        <v>2967.65</v>
      </c>
      <c r="AW16" s="76">
        <v>13.45</v>
      </c>
      <c r="AX16" s="76">
        <v>4871.54</v>
      </c>
      <c r="AY16" s="76">
        <v>2.08</v>
      </c>
      <c r="AZ16" s="76">
        <v>4221.74</v>
      </c>
      <c r="BA16" s="77">
        <v>2.6</v>
      </c>
      <c r="BB16" s="76">
        <v>4033.93</v>
      </c>
      <c r="BC16" s="76">
        <v>6.23</v>
      </c>
      <c r="BD16" s="76">
        <v>3591.84</v>
      </c>
      <c r="BE16" s="76">
        <v>4.42</v>
      </c>
      <c r="BF16" s="76">
        <v>2505.09</v>
      </c>
      <c r="BG16" s="76">
        <v>3.94</v>
      </c>
      <c r="BH16" s="76">
        <v>2958.26</v>
      </c>
      <c r="BI16" s="76">
        <v>4.88</v>
      </c>
      <c r="BJ16" s="76">
        <v>3228.56</v>
      </c>
      <c r="BK16" s="76">
        <v>3.32</v>
      </c>
      <c r="BL16" s="76">
        <v>4848.13</v>
      </c>
      <c r="BM16" s="76">
        <v>233.75</v>
      </c>
      <c r="BN16" s="76">
        <v>2991.43</v>
      </c>
      <c r="BO16" s="76">
        <v>170.77</v>
      </c>
      <c r="BP16" s="76">
        <v>4772.68</v>
      </c>
      <c r="BQ16" s="77">
        <v>277.2</v>
      </c>
      <c r="BR16" s="76">
        <v>2844.13</v>
      </c>
      <c r="BS16" s="76">
        <v>342.91</v>
      </c>
      <c r="BT16" s="76">
        <v>3376.98</v>
      </c>
      <c r="BU16" s="76">
        <v>290.99</v>
      </c>
    </row>
    <row r="17" spans="1:73">
      <c r="A17" s="72" t="s">
        <v>297</v>
      </c>
      <c r="B17" s="75">
        <v>48.86</v>
      </c>
      <c r="C17" s="75">
        <v>7.64</v>
      </c>
      <c r="D17" s="75">
        <v>9.39</v>
      </c>
      <c r="E17" s="78">
        <v>40</v>
      </c>
      <c r="F17" s="75">
        <v>25.56</v>
      </c>
      <c r="G17" s="75">
        <v>4.1100000000000003</v>
      </c>
      <c r="H17" s="75">
        <v>17.61</v>
      </c>
      <c r="I17" s="75">
        <v>16.38</v>
      </c>
      <c r="J17" s="75">
        <v>29.17</v>
      </c>
      <c r="K17" s="75">
        <v>0.02</v>
      </c>
      <c r="L17" s="75">
        <v>213.16</v>
      </c>
      <c r="M17" s="75">
        <v>0.03</v>
      </c>
      <c r="N17" s="75">
        <v>21.75</v>
      </c>
      <c r="O17" s="75">
        <v>38.64</v>
      </c>
      <c r="P17" s="75">
        <v>31.42</v>
      </c>
      <c r="Q17" s="75">
        <v>38.32</v>
      </c>
      <c r="R17" s="75">
        <v>36.020000000000003</v>
      </c>
      <c r="S17" s="75">
        <v>44.81</v>
      </c>
      <c r="T17" s="75">
        <v>120.13</v>
      </c>
      <c r="U17" s="75">
        <v>29.48</v>
      </c>
      <c r="V17" s="75">
        <v>73.69</v>
      </c>
      <c r="W17" s="73" t="s">
        <v>207</v>
      </c>
      <c r="X17" s="75">
        <v>22.16</v>
      </c>
      <c r="Y17" s="75">
        <v>0.15</v>
      </c>
      <c r="Z17" s="75">
        <v>30.59</v>
      </c>
      <c r="AA17" s="75">
        <v>28.64</v>
      </c>
      <c r="AB17" s="75">
        <v>14.41</v>
      </c>
      <c r="AC17" s="75">
        <v>4.68</v>
      </c>
      <c r="AD17" s="75">
        <v>21.18</v>
      </c>
      <c r="AE17" s="75">
        <v>0.21</v>
      </c>
      <c r="AF17" s="78">
        <v>24.3</v>
      </c>
      <c r="AG17" s="78">
        <v>8</v>
      </c>
      <c r="AH17" s="75">
        <v>39.130000000000003</v>
      </c>
      <c r="AI17" s="75">
        <v>0.04</v>
      </c>
      <c r="AJ17" s="75">
        <v>13.45</v>
      </c>
      <c r="AK17" s="75">
        <v>222.98</v>
      </c>
      <c r="AL17" s="78">
        <v>18.2</v>
      </c>
      <c r="AM17" s="75">
        <v>42.32</v>
      </c>
      <c r="AN17" s="75">
        <v>22.55</v>
      </c>
      <c r="AO17" s="75">
        <v>176.71</v>
      </c>
      <c r="AP17" s="75">
        <v>25.44</v>
      </c>
      <c r="AQ17" s="75">
        <v>0.84</v>
      </c>
      <c r="AR17" s="78">
        <v>3.3</v>
      </c>
      <c r="AS17" s="73" t="s">
        <v>207</v>
      </c>
      <c r="AT17" s="75">
        <v>15.17</v>
      </c>
      <c r="AU17" s="75">
        <v>1.66</v>
      </c>
      <c r="AV17" s="75">
        <v>36.33</v>
      </c>
      <c r="AW17" s="75">
        <v>7.39</v>
      </c>
      <c r="AX17" s="75">
        <v>31.06</v>
      </c>
      <c r="AY17" s="75">
        <v>0.08</v>
      </c>
      <c r="AZ17" s="75">
        <v>20.86</v>
      </c>
      <c r="BA17" s="75">
        <v>0.74</v>
      </c>
      <c r="BB17" s="78">
        <v>9.8000000000000007</v>
      </c>
      <c r="BC17" s="75">
        <v>6.26</v>
      </c>
      <c r="BD17" s="75">
        <v>60.15</v>
      </c>
      <c r="BE17" s="75">
        <v>2.11</v>
      </c>
      <c r="BF17" s="75">
        <v>3.86</v>
      </c>
      <c r="BG17" s="75">
        <v>264.69</v>
      </c>
      <c r="BH17" s="75">
        <v>6.19</v>
      </c>
      <c r="BI17" s="75">
        <v>30.42</v>
      </c>
      <c r="BJ17" s="75">
        <v>20.72</v>
      </c>
      <c r="BK17" s="75">
        <v>50.42</v>
      </c>
      <c r="BL17" s="75">
        <v>5.62</v>
      </c>
      <c r="BM17" s="75">
        <v>62.53</v>
      </c>
      <c r="BN17" s="75">
        <v>22.21</v>
      </c>
      <c r="BO17" s="75">
        <v>1.89</v>
      </c>
      <c r="BP17" s="75">
        <v>92.98</v>
      </c>
      <c r="BQ17" s="75">
        <v>49.27</v>
      </c>
      <c r="BR17" s="75">
        <v>183.15</v>
      </c>
      <c r="BS17" s="75">
        <v>6.56</v>
      </c>
      <c r="BT17" s="75">
        <v>70.930000000000007</v>
      </c>
      <c r="BU17" s="75">
        <v>164.82</v>
      </c>
    </row>
    <row r="18" spans="1:73">
      <c r="A18" s="72" t="s">
        <v>299</v>
      </c>
      <c r="B18" s="76">
        <v>465.01</v>
      </c>
      <c r="C18" s="77">
        <v>1421.4</v>
      </c>
      <c r="D18" s="76">
        <v>2535.0100000000002</v>
      </c>
      <c r="E18" s="77">
        <v>9715.7000000000007</v>
      </c>
      <c r="F18" s="76">
        <v>1994.85</v>
      </c>
      <c r="G18" s="76">
        <v>13133.55</v>
      </c>
      <c r="H18" s="76">
        <v>552.63</v>
      </c>
      <c r="I18" s="76">
        <v>19306.71</v>
      </c>
      <c r="J18" s="76">
        <v>4713.4399999999996</v>
      </c>
      <c r="K18" s="76">
        <v>13640.57</v>
      </c>
      <c r="L18" s="76">
        <v>2508.25</v>
      </c>
      <c r="M18" s="77">
        <v>12722.2</v>
      </c>
      <c r="N18" s="76">
        <v>2322.14</v>
      </c>
      <c r="O18" s="76">
        <v>8367.09</v>
      </c>
      <c r="P18" s="76">
        <v>7972.34</v>
      </c>
      <c r="Q18" s="76">
        <v>11367.92</v>
      </c>
      <c r="R18" s="76">
        <v>6899.92</v>
      </c>
      <c r="S18" s="76">
        <v>7736.91</v>
      </c>
      <c r="T18" s="76">
        <v>3491.58</v>
      </c>
      <c r="U18" s="76">
        <v>14380.62</v>
      </c>
      <c r="V18" s="76">
        <v>1049.24</v>
      </c>
      <c r="W18" s="76">
        <v>1947.43</v>
      </c>
      <c r="X18" s="76">
        <v>3365.33</v>
      </c>
      <c r="Y18" s="77">
        <v>2926.3</v>
      </c>
      <c r="Z18" s="76">
        <v>624.39</v>
      </c>
      <c r="AA18" s="76">
        <v>1656.74</v>
      </c>
      <c r="AB18" s="76">
        <v>581.79</v>
      </c>
      <c r="AC18" s="76">
        <v>5134.37</v>
      </c>
      <c r="AD18" s="76">
        <v>3920.69</v>
      </c>
      <c r="AE18" s="76">
        <v>10032.27</v>
      </c>
      <c r="AF18" s="76">
        <v>4271.8900000000003</v>
      </c>
      <c r="AG18" s="76">
        <v>14643.65</v>
      </c>
      <c r="AH18" s="76">
        <v>3471.38</v>
      </c>
      <c r="AI18" s="76">
        <v>14526.96</v>
      </c>
      <c r="AJ18" s="76">
        <v>4549.8599999999997</v>
      </c>
      <c r="AK18" s="77">
        <v>15749.3</v>
      </c>
      <c r="AL18" s="76">
        <v>2779.78</v>
      </c>
      <c r="AM18" s="76">
        <v>9618.02</v>
      </c>
      <c r="AN18" s="76">
        <v>11460.15</v>
      </c>
      <c r="AO18" s="76">
        <v>16192.32</v>
      </c>
      <c r="AP18" s="77">
        <v>5190.3999999999996</v>
      </c>
      <c r="AQ18" s="76">
        <v>8615.74</v>
      </c>
      <c r="AR18" s="76">
        <v>4593.7700000000004</v>
      </c>
      <c r="AS18" s="77">
        <v>17123.900000000001</v>
      </c>
      <c r="AT18" s="76">
        <v>752.14</v>
      </c>
      <c r="AU18" s="76">
        <v>3758.26</v>
      </c>
      <c r="AV18" s="76">
        <v>3929.33</v>
      </c>
      <c r="AW18" s="76">
        <v>1062.75</v>
      </c>
      <c r="AX18" s="76">
        <v>3866.05</v>
      </c>
      <c r="AY18" s="76">
        <v>1551.73</v>
      </c>
      <c r="AZ18" s="76">
        <v>1242.04</v>
      </c>
      <c r="BA18" s="76">
        <v>9965.58</v>
      </c>
      <c r="BB18" s="76">
        <v>4858.25</v>
      </c>
      <c r="BC18" s="76">
        <v>13113.62</v>
      </c>
      <c r="BD18" s="76">
        <v>6788.93</v>
      </c>
      <c r="BE18" s="76">
        <v>21007.29</v>
      </c>
      <c r="BF18" s="77">
        <v>5167</v>
      </c>
      <c r="BG18" s="76">
        <v>21557.87</v>
      </c>
      <c r="BH18" s="76">
        <v>3486.04</v>
      </c>
      <c r="BI18" s="76">
        <v>23742.45</v>
      </c>
      <c r="BJ18" s="76">
        <v>11773.03</v>
      </c>
      <c r="BK18" s="76">
        <v>14877.52</v>
      </c>
      <c r="BL18" s="76">
        <v>9939.57</v>
      </c>
      <c r="BM18" s="76">
        <v>16228.03</v>
      </c>
      <c r="BN18" s="76">
        <v>5516.19</v>
      </c>
      <c r="BO18" s="76">
        <v>13103.12</v>
      </c>
      <c r="BP18" s="76">
        <v>2450.56</v>
      </c>
      <c r="BQ18" s="76">
        <v>5496.99</v>
      </c>
      <c r="BR18" s="76">
        <v>2784.43</v>
      </c>
      <c r="BS18" s="77">
        <v>2332.1999999999998</v>
      </c>
      <c r="BT18" s="76">
        <v>3063.49</v>
      </c>
      <c r="BU18" s="76">
        <v>729.38</v>
      </c>
    </row>
    <row r="19" spans="1:73">
      <c r="A19" s="72" t="s">
        <v>305</v>
      </c>
      <c r="B19" s="75">
        <v>2686.71</v>
      </c>
      <c r="C19" s="75">
        <v>342152.37</v>
      </c>
      <c r="D19" s="75">
        <v>1018.96</v>
      </c>
      <c r="E19" s="75">
        <v>372872.75</v>
      </c>
      <c r="F19" s="75">
        <v>1067.45</v>
      </c>
      <c r="G19" s="75">
        <v>381262.56</v>
      </c>
      <c r="H19" s="75">
        <v>4838.57</v>
      </c>
      <c r="I19" s="75">
        <v>64882.76</v>
      </c>
      <c r="J19" s="75">
        <v>3061.78</v>
      </c>
      <c r="K19" s="78">
        <v>372628.3</v>
      </c>
      <c r="L19" s="75">
        <v>32771.14</v>
      </c>
      <c r="M19" s="75">
        <v>60158.28</v>
      </c>
      <c r="N19" s="75">
        <v>1066.42</v>
      </c>
      <c r="O19" s="75">
        <v>100633.45</v>
      </c>
      <c r="P19" s="75">
        <v>1537.09</v>
      </c>
      <c r="Q19" s="75">
        <v>522679.19</v>
      </c>
      <c r="R19" s="75">
        <v>1476.41</v>
      </c>
      <c r="S19" s="75">
        <v>136055.54999999999</v>
      </c>
      <c r="T19" s="75">
        <v>1866.76</v>
      </c>
      <c r="U19" s="75">
        <v>421649.96</v>
      </c>
      <c r="V19" s="75">
        <v>1169.98</v>
      </c>
      <c r="W19" s="75">
        <v>199536.81</v>
      </c>
      <c r="X19" s="75">
        <v>2496.4899999999998</v>
      </c>
      <c r="Y19" s="78">
        <v>245773.3</v>
      </c>
      <c r="Z19" s="75">
        <v>3576.86</v>
      </c>
      <c r="AA19" s="75">
        <v>177010.29</v>
      </c>
      <c r="AB19" s="75">
        <v>1802.98</v>
      </c>
      <c r="AC19" s="75">
        <v>196838.22</v>
      </c>
      <c r="AD19" s="75">
        <v>2511.6799999999998</v>
      </c>
      <c r="AE19" s="75">
        <v>222578.58</v>
      </c>
      <c r="AF19" s="75">
        <v>37751.99</v>
      </c>
      <c r="AG19" s="75">
        <v>263138.93</v>
      </c>
      <c r="AH19" s="75">
        <v>3285.64</v>
      </c>
      <c r="AI19" s="75">
        <v>197430.37</v>
      </c>
      <c r="AJ19" s="75">
        <v>3442.66</v>
      </c>
      <c r="AK19" s="75">
        <v>174251.88</v>
      </c>
      <c r="AL19" s="75">
        <v>43636.22</v>
      </c>
      <c r="AM19" s="75">
        <v>192428.41</v>
      </c>
      <c r="AN19" s="78">
        <v>3335.8</v>
      </c>
      <c r="AO19" s="75">
        <v>156829.89000000001</v>
      </c>
      <c r="AP19" s="78">
        <v>33124</v>
      </c>
      <c r="AQ19" s="75">
        <v>192758.54</v>
      </c>
      <c r="AR19" s="75">
        <v>3260.81</v>
      </c>
      <c r="AS19" s="78">
        <v>359132.8</v>
      </c>
      <c r="AT19" s="75">
        <v>4025.56</v>
      </c>
      <c r="AU19" s="78">
        <v>293461.3</v>
      </c>
      <c r="AV19" s="75">
        <v>2409.75</v>
      </c>
      <c r="AW19" s="75">
        <v>201804.56</v>
      </c>
      <c r="AX19" s="75">
        <v>1722.53</v>
      </c>
      <c r="AY19" s="75">
        <v>95608.88</v>
      </c>
      <c r="AZ19" s="75">
        <v>3302.45</v>
      </c>
      <c r="BA19" s="75">
        <v>90538.02</v>
      </c>
      <c r="BB19" s="78">
        <v>2467.5</v>
      </c>
      <c r="BC19" s="75">
        <v>114261.41</v>
      </c>
      <c r="BD19" s="75">
        <v>2887.52</v>
      </c>
      <c r="BE19" s="75">
        <v>251593.33</v>
      </c>
      <c r="BF19" s="75">
        <v>3753.75</v>
      </c>
      <c r="BG19" s="78">
        <v>505866.4</v>
      </c>
      <c r="BH19" s="75">
        <v>43991.360000000001</v>
      </c>
      <c r="BI19" s="75">
        <v>362856.87</v>
      </c>
      <c r="BJ19" s="75">
        <v>6457.29</v>
      </c>
      <c r="BK19" s="75">
        <v>156286.35</v>
      </c>
      <c r="BL19" s="75">
        <v>2232.42</v>
      </c>
      <c r="BM19" s="75">
        <v>155277.26999999999</v>
      </c>
      <c r="BN19" s="78">
        <v>4472.8999999999996</v>
      </c>
      <c r="BO19" s="75">
        <v>152019.03</v>
      </c>
      <c r="BP19" s="75">
        <v>13981.66</v>
      </c>
      <c r="BQ19" s="75">
        <v>203506.54</v>
      </c>
      <c r="BR19" s="78">
        <v>65074.7</v>
      </c>
      <c r="BS19" s="75">
        <v>160992.39000000001</v>
      </c>
      <c r="BT19" s="75">
        <v>2705.43</v>
      </c>
      <c r="BU19" s="75">
        <v>292044.32</v>
      </c>
    </row>
    <row r="20" spans="1:73">
      <c r="A20" s="72" t="s">
        <v>307</v>
      </c>
      <c r="B20" s="76">
        <v>2746.95</v>
      </c>
      <c r="C20" s="76">
        <v>5742.85</v>
      </c>
      <c r="D20" s="76">
        <v>2912.68</v>
      </c>
      <c r="E20" s="76">
        <v>3949.92</v>
      </c>
      <c r="F20" s="76">
        <v>3654.39</v>
      </c>
      <c r="G20" s="76">
        <v>2107.81</v>
      </c>
      <c r="H20" s="76">
        <v>3049.02</v>
      </c>
      <c r="I20" s="76">
        <v>6091.93</v>
      </c>
      <c r="J20" s="77">
        <v>3502</v>
      </c>
      <c r="K20" s="76">
        <v>4455.18</v>
      </c>
      <c r="L20" s="76">
        <v>3540.08</v>
      </c>
      <c r="M20" s="76">
        <v>10843.61</v>
      </c>
      <c r="N20" s="76">
        <v>3123.96</v>
      </c>
      <c r="O20" s="76">
        <v>9295.9599999999991</v>
      </c>
      <c r="P20" s="76">
        <v>6790.64</v>
      </c>
      <c r="Q20" s="76">
        <v>5252.69</v>
      </c>
      <c r="R20" s="76">
        <v>8316.99</v>
      </c>
      <c r="S20" s="76">
        <v>5075.6400000000003</v>
      </c>
      <c r="T20" s="76">
        <v>7803.25</v>
      </c>
      <c r="U20" s="76">
        <v>4266.0200000000004</v>
      </c>
      <c r="V20" s="76">
        <v>6644.52</v>
      </c>
      <c r="W20" s="76">
        <v>2083.85</v>
      </c>
      <c r="X20" s="76">
        <v>13187.27</v>
      </c>
      <c r="Y20" s="76">
        <v>1638.26</v>
      </c>
      <c r="Z20" s="76">
        <v>3945.97</v>
      </c>
      <c r="AA20" s="76">
        <v>9113.0300000000007</v>
      </c>
      <c r="AB20" s="76">
        <v>3468.46</v>
      </c>
      <c r="AC20" s="76">
        <v>7153.19</v>
      </c>
      <c r="AD20" s="76">
        <v>4839.03</v>
      </c>
      <c r="AE20" s="76">
        <v>6640.52</v>
      </c>
      <c r="AF20" s="76">
        <v>4577.12</v>
      </c>
      <c r="AG20" s="77">
        <v>13574.2</v>
      </c>
      <c r="AH20" s="77">
        <v>7925.7</v>
      </c>
      <c r="AI20" s="76">
        <v>21202.55</v>
      </c>
      <c r="AJ20" s="76">
        <v>4447.1899999999996</v>
      </c>
      <c r="AK20" s="77">
        <v>8951</v>
      </c>
      <c r="AL20" s="76">
        <v>5806.69</v>
      </c>
      <c r="AM20" s="76">
        <v>12016.41</v>
      </c>
      <c r="AN20" s="76">
        <v>7224.01</v>
      </c>
      <c r="AO20" s="76">
        <v>12223.98</v>
      </c>
      <c r="AP20" s="76">
        <v>7747.68</v>
      </c>
      <c r="AQ20" s="76">
        <v>23473.22</v>
      </c>
      <c r="AR20" s="76">
        <v>8391.56</v>
      </c>
      <c r="AS20" s="76">
        <v>15051.18</v>
      </c>
      <c r="AT20" s="77">
        <v>6287</v>
      </c>
      <c r="AU20" s="76">
        <v>15657.73</v>
      </c>
      <c r="AV20" s="76">
        <v>5599.13</v>
      </c>
      <c r="AW20" s="76">
        <v>10538.15</v>
      </c>
      <c r="AX20" s="76">
        <v>16048.22</v>
      </c>
      <c r="AY20" s="76">
        <v>7731.01</v>
      </c>
      <c r="AZ20" s="76">
        <v>16683.080000000002</v>
      </c>
      <c r="BA20" s="76">
        <v>9237.84</v>
      </c>
      <c r="BB20" s="76">
        <v>7142.79</v>
      </c>
      <c r="BC20" s="76">
        <v>14910.64</v>
      </c>
      <c r="BD20" s="76">
        <v>3811.43</v>
      </c>
      <c r="BE20" s="76">
        <v>13238.78</v>
      </c>
      <c r="BF20" s="77">
        <v>11186.2</v>
      </c>
      <c r="BG20" s="76">
        <v>17027.62</v>
      </c>
      <c r="BH20" s="76">
        <v>10715.65</v>
      </c>
      <c r="BI20" s="76">
        <v>15767.86</v>
      </c>
      <c r="BJ20" s="76">
        <v>9986.25</v>
      </c>
      <c r="BK20" s="77">
        <v>21984.799999999999</v>
      </c>
      <c r="BL20" s="76">
        <v>16292.49</v>
      </c>
      <c r="BM20" s="76">
        <v>19026.18</v>
      </c>
      <c r="BN20" s="76">
        <v>12705.49</v>
      </c>
      <c r="BO20" s="76">
        <v>16653.82</v>
      </c>
      <c r="BP20" s="76">
        <v>5677.56</v>
      </c>
      <c r="BQ20" s="76">
        <v>17075.61</v>
      </c>
      <c r="BR20" s="76">
        <v>9230.44</v>
      </c>
      <c r="BS20" s="76">
        <v>12795.95</v>
      </c>
      <c r="BT20" s="76">
        <v>10978.38</v>
      </c>
      <c r="BU20" s="76">
        <v>8563.18</v>
      </c>
    </row>
    <row r="21" spans="1:73">
      <c r="A21" s="72" t="s">
        <v>313</v>
      </c>
      <c r="B21" s="75">
        <v>3934.89</v>
      </c>
      <c r="C21" s="75">
        <v>21.52</v>
      </c>
      <c r="D21" s="75">
        <v>555.62</v>
      </c>
      <c r="E21" s="75">
        <v>16.649999999999999</v>
      </c>
      <c r="F21" s="75">
        <v>802.07</v>
      </c>
      <c r="G21" s="75">
        <v>36.64</v>
      </c>
      <c r="H21" s="75">
        <v>860.92</v>
      </c>
      <c r="I21" s="75">
        <v>29.06</v>
      </c>
      <c r="J21" s="75">
        <v>1129.51</v>
      </c>
      <c r="K21" s="75">
        <v>10.77</v>
      </c>
      <c r="L21" s="75">
        <v>927.37</v>
      </c>
      <c r="M21" s="75">
        <v>14.92</v>
      </c>
      <c r="N21" s="78">
        <v>4208.3999999999996</v>
      </c>
      <c r="O21" s="78">
        <v>1520.7</v>
      </c>
      <c r="P21" s="75">
        <v>1315.23</v>
      </c>
      <c r="Q21" s="75">
        <v>19.53</v>
      </c>
      <c r="R21" s="75">
        <v>723.03</v>
      </c>
      <c r="S21" s="75">
        <v>100.12</v>
      </c>
      <c r="T21" s="75">
        <v>1334.95</v>
      </c>
      <c r="U21" s="75">
        <v>2034.26</v>
      </c>
      <c r="V21" s="75">
        <v>3105.08</v>
      </c>
      <c r="W21" s="75">
        <v>16.64</v>
      </c>
      <c r="X21" s="75">
        <v>4564.04</v>
      </c>
      <c r="Y21" s="78">
        <v>23.2</v>
      </c>
      <c r="Z21" s="78">
        <v>697.6</v>
      </c>
      <c r="AA21" s="75">
        <v>45.22</v>
      </c>
      <c r="AB21" s="75">
        <v>756.26</v>
      </c>
      <c r="AC21" s="75">
        <v>18.57</v>
      </c>
      <c r="AD21" s="75">
        <v>1033.69</v>
      </c>
      <c r="AE21" s="75">
        <v>11.36</v>
      </c>
      <c r="AF21" s="75">
        <v>813.67</v>
      </c>
      <c r="AG21" s="75">
        <v>20.34</v>
      </c>
      <c r="AH21" s="75">
        <v>472.04</v>
      </c>
      <c r="AI21" s="75">
        <v>37.619999999999997</v>
      </c>
      <c r="AJ21" s="75">
        <v>1439.16</v>
      </c>
      <c r="AK21" s="75">
        <v>14.97</v>
      </c>
      <c r="AL21" s="75">
        <v>2182.19</v>
      </c>
      <c r="AM21" s="75">
        <v>34.25</v>
      </c>
      <c r="AN21" s="75">
        <v>2395.52</v>
      </c>
      <c r="AO21" s="75">
        <v>18.05</v>
      </c>
      <c r="AP21" s="75">
        <v>1403.14</v>
      </c>
      <c r="AQ21" s="75">
        <v>42.46</v>
      </c>
      <c r="AR21" s="75">
        <v>3883.24</v>
      </c>
      <c r="AS21" s="75">
        <v>33.590000000000003</v>
      </c>
      <c r="AT21" s="75">
        <v>4336.1899999999996</v>
      </c>
      <c r="AU21" s="75">
        <v>41.08</v>
      </c>
      <c r="AV21" s="75">
        <v>1286.8699999999999</v>
      </c>
      <c r="AW21" s="78">
        <v>168.3</v>
      </c>
      <c r="AX21" s="75">
        <v>1205.3800000000001</v>
      </c>
      <c r="AY21" s="75">
        <v>103.58</v>
      </c>
      <c r="AZ21" s="78">
        <v>1098.2</v>
      </c>
      <c r="BA21" s="75">
        <v>190.72</v>
      </c>
      <c r="BB21" s="75">
        <v>495.35</v>
      </c>
      <c r="BC21" s="75">
        <v>2592.06</v>
      </c>
      <c r="BD21" s="75">
        <v>1100.76</v>
      </c>
      <c r="BE21" s="78">
        <v>142.5</v>
      </c>
      <c r="BF21" s="75">
        <v>1133.53</v>
      </c>
      <c r="BG21" s="78">
        <v>345.7</v>
      </c>
      <c r="BH21" s="78">
        <v>777.9</v>
      </c>
      <c r="BI21" s="75">
        <v>182.25</v>
      </c>
      <c r="BJ21" s="75">
        <v>2932.38</v>
      </c>
      <c r="BK21" s="75">
        <v>184.99</v>
      </c>
      <c r="BL21" s="75">
        <v>1783.79</v>
      </c>
      <c r="BM21" s="75">
        <v>144.27000000000001</v>
      </c>
      <c r="BN21" s="75">
        <v>1556.22</v>
      </c>
      <c r="BO21" s="75">
        <v>156.72999999999999</v>
      </c>
      <c r="BP21" s="75">
        <v>938.25</v>
      </c>
      <c r="BQ21" s="75">
        <v>152.27000000000001</v>
      </c>
      <c r="BR21" s="75">
        <v>1405.66</v>
      </c>
      <c r="BS21" s="75">
        <v>199.91</v>
      </c>
      <c r="BT21" s="75">
        <v>2868.94</v>
      </c>
      <c r="BU21" s="75">
        <v>480.13</v>
      </c>
    </row>
    <row r="22" spans="1:73">
      <c r="A22" s="72" t="s">
        <v>319</v>
      </c>
      <c r="B22" s="76">
        <v>828.12</v>
      </c>
      <c r="C22" s="76">
        <v>16.25</v>
      </c>
      <c r="D22" s="76">
        <v>916.15</v>
      </c>
      <c r="E22" s="76">
        <v>10.119999999999999</v>
      </c>
      <c r="F22" s="76">
        <v>467.05</v>
      </c>
      <c r="G22" s="76">
        <v>36.909999999999997</v>
      </c>
      <c r="H22" s="76">
        <v>791.94</v>
      </c>
      <c r="I22" s="76">
        <v>31.99</v>
      </c>
      <c r="J22" s="76">
        <v>589.66</v>
      </c>
      <c r="K22" s="76">
        <v>18.149999999999999</v>
      </c>
      <c r="L22" s="76">
        <v>580.02</v>
      </c>
      <c r="M22" s="76">
        <v>161.78</v>
      </c>
      <c r="N22" s="76">
        <v>821.83</v>
      </c>
      <c r="O22" s="76">
        <v>28.78</v>
      </c>
      <c r="P22" s="76">
        <v>615.49</v>
      </c>
      <c r="Q22" s="76">
        <v>285.06</v>
      </c>
      <c r="R22" s="76">
        <v>335.46</v>
      </c>
      <c r="S22" s="76">
        <v>260.95</v>
      </c>
      <c r="T22" s="76">
        <v>781.76</v>
      </c>
      <c r="U22" s="77">
        <v>26.3</v>
      </c>
      <c r="V22" s="76">
        <v>755.24</v>
      </c>
      <c r="W22" s="76">
        <v>27.06</v>
      </c>
      <c r="X22" s="76">
        <v>593.76</v>
      </c>
      <c r="Y22" s="76">
        <v>70.430000000000007</v>
      </c>
      <c r="Z22" s="76">
        <v>125.14</v>
      </c>
      <c r="AA22" s="76">
        <v>33.19</v>
      </c>
      <c r="AB22" s="76">
        <v>203.93</v>
      </c>
      <c r="AC22" s="76">
        <v>36.03</v>
      </c>
      <c r="AD22" s="76">
        <v>661.78</v>
      </c>
      <c r="AE22" s="76">
        <v>10.78</v>
      </c>
      <c r="AF22" s="76">
        <v>129.13999999999999</v>
      </c>
      <c r="AG22" s="76">
        <v>32.61</v>
      </c>
      <c r="AH22" s="76">
        <v>319.07</v>
      </c>
      <c r="AI22" s="76">
        <v>91.74</v>
      </c>
      <c r="AJ22" s="76">
        <v>286.87</v>
      </c>
      <c r="AK22" s="76">
        <v>54.16</v>
      </c>
      <c r="AL22" s="76">
        <v>181.31</v>
      </c>
      <c r="AM22" s="76">
        <v>9.32</v>
      </c>
      <c r="AN22" s="77">
        <v>258.3</v>
      </c>
      <c r="AO22" s="76">
        <v>24.62</v>
      </c>
      <c r="AP22" s="76">
        <v>677.85</v>
      </c>
      <c r="AQ22" s="76">
        <v>119.85</v>
      </c>
      <c r="AR22" s="76">
        <v>813.25</v>
      </c>
      <c r="AS22" s="76">
        <v>10.24</v>
      </c>
      <c r="AT22" s="76">
        <v>446.03</v>
      </c>
      <c r="AU22" s="76">
        <v>12.52</v>
      </c>
      <c r="AV22" s="76">
        <v>706.38</v>
      </c>
      <c r="AW22" s="76">
        <v>167.18</v>
      </c>
      <c r="AX22" s="76">
        <v>344.54</v>
      </c>
      <c r="AY22" s="77">
        <v>26.6</v>
      </c>
      <c r="AZ22" s="76">
        <v>343.66</v>
      </c>
      <c r="BA22" s="76">
        <v>31.47</v>
      </c>
      <c r="BB22" s="76">
        <v>493.06</v>
      </c>
      <c r="BC22" s="76">
        <v>647.79</v>
      </c>
      <c r="BD22" s="77">
        <v>275.89999999999998</v>
      </c>
      <c r="BE22" s="76">
        <v>82.68</v>
      </c>
      <c r="BF22" s="76">
        <v>282.97000000000003</v>
      </c>
      <c r="BG22" s="77">
        <v>25.3</v>
      </c>
      <c r="BH22" s="76">
        <v>372.87</v>
      </c>
      <c r="BI22" s="76">
        <v>29.42</v>
      </c>
      <c r="BJ22" s="76">
        <v>243.35</v>
      </c>
      <c r="BK22" s="76">
        <v>60.21</v>
      </c>
      <c r="BL22" s="76">
        <v>710.52</v>
      </c>
      <c r="BM22" s="76">
        <v>100.63</v>
      </c>
      <c r="BN22" s="76">
        <v>453.46</v>
      </c>
      <c r="BO22" s="76">
        <v>69.59</v>
      </c>
      <c r="BP22" s="76">
        <v>630.14</v>
      </c>
      <c r="BQ22" s="76">
        <v>54.88</v>
      </c>
      <c r="BR22" s="76">
        <v>205.27</v>
      </c>
      <c r="BS22" s="76">
        <v>77.42</v>
      </c>
      <c r="BT22" s="76">
        <v>305.58999999999997</v>
      </c>
      <c r="BU22" s="76">
        <v>68.069999999999993</v>
      </c>
    </row>
    <row r="23" spans="1:73">
      <c r="A23" s="72" t="s">
        <v>325</v>
      </c>
      <c r="B23" s="75">
        <v>1406.94</v>
      </c>
      <c r="C23" s="75">
        <v>910.85</v>
      </c>
      <c r="D23" s="75">
        <v>1612.52</v>
      </c>
      <c r="E23" s="75">
        <v>130.94999999999999</v>
      </c>
      <c r="F23" s="75">
        <v>281.27</v>
      </c>
      <c r="G23" s="75">
        <v>172.91</v>
      </c>
      <c r="H23" s="75">
        <v>1132.3800000000001</v>
      </c>
      <c r="I23" s="78">
        <v>412.1</v>
      </c>
      <c r="J23" s="75">
        <v>431.03</v>
      </c>
      <c r="K23" s="75">
        <v>482.22</v>
      </c>
      <c r="L23" s="75">
        <v>1005.46</v>
      </c>
      <c r="M23" s="75">
        <v>509.91</v>
      </c>
      <c r="N23" s="75">
        <v>1707.22</v>
      </c>
      <c r="O23" s="78">
        <v>3428.1</v>
      </c>
      <c r="P23" s="75">
        <v>2656.38</v>
      </c>
      <c r="Q23" s="75">
        <v>2212.98</v>
      </c>
      <c r="R23" s="75">
        <v>1851.76</v>
      </c>
      <c r="S23" s="78">
        <v>1119.3</v>
      </c>
      <c r="T23" s="75">
        <v>5754.11</v>
      </c>
      <c r="U23" s="75">
        <v>1344.42</v>
      </c>
      <c r="V23" s="75">
        <v>5938.21</v>
      </c>
      <c r="W23" s="75">
        <v>2957.66</v>
      </c>
      <c r="X23" s="75">
        <v>4736.1099999999997</v>
      </c>
      <c r="Y23" s="75">
        <v>2688.58</v>
      </c>
      <c r="Z23" s="75">
        <v>1514.95</v>
      </c>
      <c r="AA23" s="75">
        <v>329.13</v>
      </c>
      <c r="AB23" s="75">
        <v>517.97</v>
      </c>
      <c r="AC23" s="75">
        <v>383.04</v>
      </c>
      <c r="AD23" s="75">
        <v>685.67</v>
      </c>
      <c r="AE23" s="75">
        <v>936.07</v>
      </c>
      <c r="AF23" s="75">
        <v>826.84</v>
      </c>
      <c r="AG23" s="75">
        <v>1039.05</v>
      </c>
      <c r="AH23" s="75">
        <v>272.77</v>
      </c>
      <c r="AI23" s="75">
        <v>802.91</v>
      </c>
      <c r="AJ23" s="75">
        <v>3295.97</v>
      </c>
      <c r="AK23" s="78">
        <v>2286.1</v>
      </c>
      <c r="AL23" s="78">
        <v>936</v>
      </c>
      <c r="AM23" s="75">
        <v>4602.26</v>
      </c>
      <c r="AN23" s="75">
        <v>625.77</v>
      </c>
      <c r="AO23" s="75">
        <v>3262.88</v>
      </c>
      <c r="AP23" s="75">
        <v>1775.88</v>
      </c>
      <c r="AQ23" s="75">
        <v>5356.34</v>
      </c>
      <c r="AR23" s="75">
        <v>2181.96</v>
      </c>
      <c r="AS23" s="75">
        <v>4378.8100000000004</v>
      </c>
      <c r="AT23" s="78">
        <v>5230.3999999999996</v>
      </c>
      <c r="AU23" s="75">
        <v>2316.91</v>
      </c>
      <c r="AV23" s="75">
        <v>2587.2199999999998</v>
      </c>
      <c r="AW23" s="75">
        <v>2119.9299999999998</v>
      </c>
      <c r="AX23" s="75">
        <v>2112.2600000000002</v>
      </c>
      <c r="AY23" s="75">
        <v>501.05</v>
      </c>
      <c r="AZ23" s="75">
        <v>4006.87</v>
      </c>
      <c r="BA23" s="75">
        <v>262.14999999999998</v>
      </c>
      <c r="BB23" s="75">
        <v>374.07</v>
      </c>
      <c r="BC23" s="75">
        <v>2060.6799999999998</v>
      </c>
      <c r="BD23" s="75">
        <v>460.81</v>
      </c>
      <c r="BE23" s="75">
        <v>250.13</v>
      </c>
      <c r="BF23" s="75">
        <v>685.78</v>
      </c>
      <c r="BG23" s="75">
        <v>733.73</v>
      </c>
      <c r="BH23" s="75">
        <v>306.57</v>
      </c>
      <c r="BI23" s="75">
        <v>4646.17</v>
      </c>
      <c r="BJ23" s="75">
        <v>2666.92</v>
      </c>
      <c r="BK23" s="75">
        <v>2059.77</v>
      </c>
      <c r="BL23" s="75">
        <v>2087.9899999999998</v>
      </c>
      <c r="BM23" s="75">
        <v>2671.14</v>
      </c>
      <c r="BN23" s="75">
        <v>2203.0700000000002</v>
      </c>
      <c r="BO23" s="75">
        <v>2298.1799999999998</v>
      </c>
      <c r="BP23" s="78">
        <v>1730</v>
      </c>
      <c r="BQ23" s="75">
        <v>2726.36</v>
      </c>
      <c r="BR23" s="75">
        <v>4019.64</v>
      </c>
      <c r="BS23" s="75">
        <v>2307.9899999999998</v>
      </c>
      <c r="BT23" s="75">
        <v>3403.49</v>
      </c>
      <c r="BU23" s="75">
        <v>1364.44</v>
      </c>
    </row>
    <row r="24" spans="1:73">
      <c r="A24" s="72" t="s">
        <v>327</v>
      </c>
      <c r="B24" s="76">
        <v>13513.38</v>
      </c>
      <c r="C24" s="76">
        <v>1994.16</v>
      </c>
      <c r="D24" s="76">
        <v>9367.92</v>
      </c>
      <c r="E24" s="76">
        <v>2564.19</v>
      </c>
      <c r="F24" s="76">
        <v>15393.77</v>
      </c>
      <c r="G24" s="77">
        <v>1267.5999999999999</v>
      </c>
      <c r="H24" s="76">
        <v>19501.41</v>
      </c>
      <c r="I24" s="76">
        <v>1487.25</v>
      </c>
      <c r="J24" s="76">
        <v>34175.360000000001</v>
      </c>
      <c r="K24" s="76">
        <v>2181.27</v>
      </c>
      <c r="L24" s="76">
        <v>22559.42</v>
      </c>
      <c r="M24" s="76">
        <v>1535.15</v>
      </c>
      <c r="N24" s="76">
        <v>35191.870000000003</v>
      </c>
      <c r="O24" s="76">
        <v>2815.21</v>
      </c>
      <c r="P24" s="76">
        <v>51641.11</v>
      </c>
      <c r="Q24" s="77">
        <v>4252.7</v>
      </c>
      <c r="R24" s="76">
        <v>49048.73</v>
      </c>
      <c r="S24" s="76">
        <v>3085.26</v>
      </c>
      <c r="T24" s="76">
        <v>30960.48</v>
      </c>
      <c r="U24" s="76">
        <v>3211.01</v>
      </c>
      <c r="V24" s="76">
        <v>15820.96</v>
      </c>
      <c r="W24" s="76">
        <v>3674.25</v>
      </c>
      <c r="X24" s="76">
        <v>16560.62</v>
      </c>
      <c r="Y24" s="76">
        <v>1858.41</v>
      </c>
      <c r="Z24" s="76">
        <v>7355.84</v>
      </c>
      <c r="AA24" s="76">
        <v>975.25</v>
      </c>
      <c r="AB24" s="76">
        <v>8927.86</v>
      </c>
      <c r="AC24" s="76">
        <v>816.95</v>
      </c>
      <c r="AD24" s="76">
        <v>24108.43</v>
      </c>
      <c r="AE24" s="76">
        <v>4673.74</v>
      </c>
      <c r="AF24" s="77">
        <v>28757.4</v>
      </c>
      <c r="AG24" s="76">
        <v>7261.72</v>
      </c>
      <c r="AH24" s="76">
        <v>40798.17</v>
      </c>
      <c r="AI24" s="76">
        <v>2205.1799999999998</v>
      </c>
      <c r="AJ24" s="76">
        <v>37332.22</v>
      </c>
      <c r="AK24" s="76">
        <v>3886.17</v>
      </c>
      <c r="AL24" s="77">
        <v>29506.1</v>
      </c>
      <c r="AM24" s="76">
        <v>4359.38</v>
      </c>
      <c r="AN24" s="76">
        <v>46715.93</v>
      </c>
      <c r="AO24" s="76">
        <v>5137.6499999999996</v>
      </c>
      <c r="AP24" s="76">
        <v>25875.040000000001</v>
      </c>
      <c r="AQ24" s="76">
        <v>7281.59</v>
      </c>
      <c r="AR24" s="76">
        <v>37505.550000000003</v>
      </c>
      <c r="AS24" s="76">
        <v>9891.76</v>
      </c>
      <c r="AT24" s="76">
        <v>24350.77</v>
      </c>
      <c r="AU24" s="76">
        <v>5252.72</v>
      </c>
      <c r="AV24" s="76">
        <v>20675.060000000001</v>
      </c>
      <c r="AW24" s="76">
        <v>3760.43</v>
      </c>
      <c r="AX24" s="76">
        <v>17458.03</v>
      </c>
      <c r="AY24" s="76">
        <v>1832.65</v>
      </c>
      <c r="AZ24" s="76">
        <v>12260.54</v>
      </c>
      <c r="BA24" s="76">
        <v>1604.56</v>
      </c>
      <c r="BB24" s="76">
        <v>23617.759999999998</v>
      </c>
      <c r="BC24" s="76">
        <v>2408.09</v>
      </c>
      <c r="BD24" s="77">
        <v>34871.1</v>
      </c>
      <c r="BE24" s="76">
        <v>6432.18</v>
      </c>
      <c r="BF24" s="76">
        <v>32258.36</v>
      </c>
      <c r="BG24" s="76">
        <v>5998.48</v>
      </c>
      <c r="BH24" s="76">
        <v>30472.09</v>
      </c>
      <c r="BI24" s="76">
        <v>3597.39</v>
      </c>
      <c r="BJ24" s="76">
        <v>36570.92</v>
      </c>
      <c r="BK24" s="76">
        <v>3738.76</v>
      </c>
      <c r="BL24" s="76">
        <v>27108.87</v>
      </c>
      <c r="BM24" s="76">
        <v>7980.89</v>
      </c>
      <c r="BN24" s="76">
        <v>22790.41</v>
      </c>
      <c r="BO24" s="76">
        <v>7527.77</v>
      </c>
      <c r="BP24" s="76">
        <v>33979.96</v>
      </c>
      <c r="BQ24" s="77">
        <v>4755.8999999999996</v>
      </c>
      <c r="BR24" s="76">
        <v>22049.88</v>
      </c>
      <c r="BS24" s="76">
        <v>4387.51</v>
      </c>
      <c r="BT24" s="76">
        <v>21403.87</v>
      </c>
      <c r="BU24" s="77">
        <v>7864.2</v>
      </c>
    </row>
    <row r="25" spans="1:73">
      <c r="A25" s="72" t="s">
        <v>329</v>
      </c>
      <c r="B25" s="73" t="s">
        <v>207</v>
      </c>
      <c r="C25" s="73" t="s">
        <v>207</v>
      </c>
      <c r="D25" s="73" t="s">
        <v>207</v>
      </c>
      <c r="E25" s="73" t="s">
        <v>207</v>
      </c>
      <c r="F25" s="78">
        <v>537.20000000000005</v>
      </c>
      <c r="G25" s="73" t="s">
        <v>207</v>
      </c>
      <c r="H25" s="78">
        <v>20</v>
      </c>
      <c r="I25" s="73" t="s">
        <v>207</v>
      </c>
      <c r="J25" s="73" t="s">
        <v>207</v>
      </c>
      <c r="K25" s="73" t="s">
        <v>207</v>
      </c>
      <c r="L25" s="73" t="s">
        <v>207</v>
      </c>
      <c r="M25" s="78">
        <v>33.5</v>
      </c>
      <c r="N25" s="73" t="s">
        <v>207</v>
      </c>
      <c r="O25" s="73" t="s">
        <v>207</v>
      </c>
      <c r="P25" s="73" t="s">
        <v>207</v>
      </c>
      <c r="Q25" s="78">
        <v>2.1</v>
      </c>
      <c r="R25" s="78">
        <v>566.79999999999995</v>
      </c>
      <c r="S25" s="73" t="s">
        <v>207</v>
      </c>
      <c r="T25" s="73" t="s">
        <v>207</v>
      </c>
      <c r="U25" s="75">
        <v>1.58</v>
      </c>
      <c r="V25" s="78">
        <v>2.4</v>
      </c>
      <c r="W25" s="75">
        <v>0.05</v>
      </c>
      <c r="X25" s="78">
        <v>10</v>
      </c>
      <c r="Y25" s="78">
        <v>5</v>
      </c>
      <c r="Z25" s="78">
        <v>21.1</v>
      </c>
      <c r="AA25" s="73" t="s">
        <v>207</v>
      </c>
      <c r="AB25" s="73" t="s">
        <v>207</v>
      </c>
      <c r="AC25" s="78">
        <v>2.4</v>
      </c>
      <c r="AD25" s="73" t="s">
        <v>207</v>
      </c>
      <c r="AE25" s="73" t="s">
        <v>207</v>
      </c>
      <c r="AF25" s="73" t="s">
        <v>207</v>
      </c>
      <c r="AG25" s="73" t="s">
        <v>207</v>
      </c>
      <c r="AH25" s="73" t="s">
        <v>207</v>
      </c>
      <c r="AI25" s="73" t="s">
        <v>207</v>
      </c>
      <c r="AJ25" s="73" t="s">
        <v>207</v>
      </c>
      <c r="AK25" s="73" t="s">
        <v>207</v>
      </c>
      <c r="AL25" s="73" t="s">
        <v>207</v>
      </c>
      <c r="AM25" s="73" t="s">
        <v>207</v>
      </c>
      <c r="AN25" s="73" t="s">
        <v>207</v>
      </c>
      <c r="AO25" s="73" t="s">
        <v>207</v>
      </c>
      <c r="AP25" s="73" t="s">
        <v>207</v>
      </c>
      <c r="AQ25" s="73" t="s">
        <v>207</v>
      </c>
      <c r="AR25" s="75">
        <v>17.809999999999999</v>
      </c>
      <c r="AS25" s="73" t="s">
        <v>207</v>
      </c>
      <c r="AT25" s="75">
        <v>15.11</v>
      </c>
      <c r="AU25" s="73" t="s">
        <v>207</v>
      </c>
      <c r="AV25" s="75">
        <v>24.11</v>
      </c>
      <c r="AW25" s="73" t="s">
        <v>207</v>
      </c>
      <c r="AX25" s="78">
        <v>248.5</v>
      </c>
      <c r="AY25" s="78">
        <v>0.6</v>
      </c>
      <c r="AZ25" s="75">
        <v>0.86</v>
      </c>
      <c r="BA25" s="75">
        <v>0.86</v>
      </c>
      <c r="BB25" s="78">
        <v>40</v>
      </c>
      <c r="BC25" s="73" t="s">
        <v>207</v>
      </c>
      <c r="BD25" s="75">
        <v>11.68</v>
      </c>
      <c r="BE25" s="75">
        <v>1.68</v>
      </c>
      <c r="BF25" s="78">
        <v>0.9</v>
      </c>
      <c r="BG25" s="78">
        <v>0.9</v>
      </c>
      <c r="BH25" s="78">
        <v>220</v>
      </c>
      <c r="BI25" s="78">
        <v>5</v>
      </c>
      <c r="BJ25" s="78">
        <v>1158.7</v>
      </c>
      <c r="BK25" s="78">
        <v>2.2000000000000002</v>
      </c>
      <c r="BL25" s="75">
        <v>1630.55</v>
      </c>
      <c r="BM25" s="73" t="s">
        <v>207</v>
      </c>
      <c r="BN25" s="78">
        <v>252</v>
      </c>
      <c r="BO25" s="78">
        <v>3.6</v>
      </c>
      <c r="BP25" s="75">
        <v>979.31</v>
      </c>
      <c r="BQ25" s="75">
        <v>1.1599999999999999</v>
      </c>
      <c r="BR25" s="75">
        <v>963.89</v>
      </c>
      <c r="BS25" s="73" t="s">
        <v>207</v>
      </c>
      <c r="BT25" s="75">
        <v>2160.96</v>
      </c>
      <c r="BU25" s="75">
        <v>0.96</v>
      </c>
    </row>
    <row r="26" spans="1:73">
      <c r="A26" s="72" t="s">
        <v>331</v>
      </c>
      <c r="B26" s="74" t="s">
        <v>207</v>
      </c>
      <c r="C26" s="74" t="s">
        <v>207</v>
      </c>
      <c r="D26" s="76">
        <v>12.31</v>
      </c>
      <c r="E26" s="74" t="s">
        <v>207</v>
      </c>
      <c r="F26" s="76">
        <v>0.27</v>
      </c>
      <c r="G26" s="74" t="s">
        <v>207</v>
      </c>
      <c r="H26" s="76">
        <v>20.69</v>
      </c>
      <c r="I26" s="74" t="s">
        <v>207</v>
      </c>
      <c r="J26" s="76">
        <v>18.670000000000002</v>
      </c>
      <c r="K26" s="74" t="s">
        <v>207</v>
      </c>
      <c r="L26" s="76">
        <v>0.13</v>
      </c>
      <c r="M26" s="74" t="s">
        <v>207</v>
      </c>
      <c r="N26" s="76">
        <v>257.33999999999997</v>
      </c>
      <c r="O26" s="74" t="s">
        <v>207</v>
      </c>
      <c r="P26" s="77">
        <v>19.5</v>
      </c>
      <c r="Q26" s="74" t="s">
        <v>207</v>
      </c>
      <c r="R26" s="76">
        <v>22.78</v>
      </c>
      <c r="S26" s="74" t="s">
        <v>207</v>
      </c>
      <c r="T26" s="76">
        <v>236.07</v>
      </c>
      <c r="U26" s="74" t="s">
        <v>207</v>
      </c>
      <c r="V26" s="77">
        <v>1.8</v>
      </c>
      <c r="W26" s="74" t="s">
        <v>207</v>
      </c>
      <c r="X26" s="77">
        <v>251</v>
      </c>
      <c r="Y26" s="74" t="s">
        <v>207</v>
      </c>
      <c r="Z26" s="76">
        <v>9.51</v>
      </c>
      <c r="AA26" s="74" t="s">
        <v>207</v>
      </c>
      <c r="AB26" s="76">
        <v>0.56000000000000005</v>
      </c>
      <c r="AC26" s="74" t="s">
        <v>207</v>
      </c>
      <c r="AD26" s="77">
        <v>250</v>
      </c>
      <c r="AE26" s="74" t="s">
        <v>207</v>
      </c>
      <c r="AF26" s="76">
        <v>337.35</v>
      </c>
      <c r="AG26" s="74" t="s">
        <v>207</v>
      </c>
      <c r="AH26" s="76">
        <v>234.56</v>
      </c>
      <c r="AI26" s="74" t="s">
        <v>207</v>
      </c>
      <c r="AJ26" s="76">
        <v>13.54</v>
      </c>
      <c r="AK26" s="74" t="s">
        <v>207</v>
      </c>
      <c r="AL26" s="76">
        <v>591.75</v>
      </c>
      <c r="AM26" s="74" t="s">
        <v>207</v>
      </c>
      <c r="AN26" s="76">
        <v>272.64</v>
      </c>
      <c r="AO26" s="74" t="s">
        <v>207</v>
      </c>
      <c r="AP26" s="76">
        <v>11.46</v>
      </c>
      <c r="AQ26" s="77">
        <v>7</v>
      </c>
      <c r="AR26" s="76">
        <v>5.46</v>
      </c>
      <c r="AS26" s="74" t="s">
        <v>207</v>
      </c>
      <c r="AT26" s="76">
        <v>15.19</v>
      </c>
      <c r="AU26" s="74" t="s">
        <v>207</v>
      </c>
      <c r="AV26" s="76">
        <v>2.71</v>
      </c>
      <c r="AW26" s="76">
        <v>0.62</v>
      </c>
      <c r="AX26" s="76">
        <v>54.06</v>
      </c>
      <c r="AY26" s="77">
        <v>15</v>
      </c>
      <c r="AZ26" s="77">
        <v>1038.2</v>
      </c>
      <c r="BA26" s="76">
        <v>0.63</v>
      </c>
      <c r="BB26" s="76">
        <v>101.66</v>
      </c>
      <c r="BC26" s="74" t="s">
        <v>207</v>
      </c>
      <c r="BD26" s="77">
        <v>544.20000000000005</v>
      </c>
      <c r="BE26" s="77">
        <v>29.8</v>
      </c>
      <c r="BF26" s="76">
        <v>242.26</v>
      </c>
      <c r="BG26" s="74" t="s">
        <v>207</v>
      </c>
      <c r="BH26" s="76">
        <v>108.37</v>
      </c>
      <c r="BI26" s="74" t="s">
        <v>207</v>
      </c>
      <c r="BJ26" s="76">
        <v>275.83999999999997</v>
      </c>
      <c r="BK26" s="77">
        <v>40</v>
      </c>
      <c r="BL26" s="77">
        <v>134.1</v>
      </c>
      <c r="BM26" s="77">
        <v>69.7</v>
      </c>
      <c r="BN26" s="76">
        <v>37.24</v>
      </c>
      <c r="BO26" s="77">
        <v>25</v>
      </c>
      <c r="BP26" s="76">
        <v>60.39</v>
      </c>
      <c r="BQ26" s="77">
        <v>0.9</v>
      </c>
      <c r="BR26" s="76">
        <v>114.47</v>
      </c>
      <c r="BS26" s="76">
        <v>0.96</v>
      </c>
      <c r="BT26" s="76">
        <v>32.270000000000003</v>
      </c>
      <c r="BU26" s="76">
        <v>0.96</v>
      </c>
    </row>
    <row r="27" spans="1:73">
      <c r="A27" s="72" t="s">
        <v>333</v>
      </c>
      <c r="B27" s="75">
        <v>1728.61</v>
      </c>
      <c r="C27" s="75">
        <v>19.13</v>
      </c>
      <c r="D27" s="78">
        <v>3373.1</v>
      </c>
      <c r="E27" s="75">
        <v>387.14</v>
      </c>
      <c r="F27" s="75">
        <v>3073.74</v>
      </c>
      <c r="G27" s="75">
        <v>26.43</v>
      </c>
      <c r="H27" s="75">
        <v>3370.39</v>
      </c>
      <c r="I27" s="75">
        <v>38.19</v>
      </c>
      <c r="J27" s="75">
        <v>5497.28</v>
      </c>
      <c r="K27" s="75">
        <v>133.75</v>
      </c>
      <c r="L27" s="75">
        <v>3320.87</v>
      </c>
      <c r="M27" s="75">
        <v>202.08</v>
      </c>
      <c r="N27" s="78">
        <v>3200.5</v>
      </c>
      <c r="O27" s="75">
        <v>265.07</v>
      </c>
      <c r="P27" s="75">
        <v>5558.72</v>
      </c>
      <c r="Q27" s="75">
        <v>183.58</v>
      </c>
      <c r="R27" s="75">
        <v>4073.97</v>
      </c>
      <c r="S27" s="75">
        <v>121.96</v>
      </c>
      <c r="T27" s="75">
        <v>4574.66</v>
      </c>
      <c r="U27" s="75">
        <v>140.24</v>
      </c>
      <c r="V27" s="75">
        <v>2869.47</v>
      </c>
      <c r="W27" s="75">
        <v>41.09</v>
      </c>
      <c r="X27" s="75">
        <v>3031.52</v>
      </c>
      <c r="Y27" s="75">
        <v>32.01</v>
      </c>
      <c r="Z27" s="75">
        <v>3637.22</v>
      </c>
      <c r="AA27" s="78">
        <v>232.7</v>
      </c>
      <c r="AB27" s="75">
        <v>1233.77</v>
      </c>
      <c r="AC27" s="75">
        <v>14.51</v>
      </c>
      <c r="AD27" s="75">
        <v>3123.33</v>
      </c>
      <c r="AE27" s="78">
        <v>178.3</v>
      </c>
      <c r="AF27" s="78">
        <v>3958.5</v>
      </c>
      <c r="AG27" s="75">
        <v>267.48</v>
      </c>
      <c r="AH27" s="75">
        <v>2917.71</v>
      </c>
      <c r="AI27" s="75">
        <v>438.41</v>
      </c>
      <c r="AJ27" s="75">
        <v>2715.71</v>
      </c>
      <c r="AK27" s="75">
        <v>346.55</v>
      </c>
      <c r="AL27" s="75">
        <v>2156.39</v>
      </c>
      <c r="AM27" s="75">
        <v>631.54999999999995</v>
      </c>
      <c r="AN27" s="75">
        <v>3567.52</v>
      </c>
      <c r="AO27" s="75">
        <v>411.72</v>
      </c>
      <c r="AP27" s="75">
        <v>5209.74</v>
      </c>
      <c r="AQ27" s="75">
        <v>918.81</v>
      </c>
      <c r="AR27" s="75">
        <v>3578.43</v>
      </c>
      <c r="AS27" s="75">
        <v>650.85</v>
      </c>
      <c r="AT27" s="75">
        <v>5315.33</v>
      </c>
      <c r="AU27" s="75">
        <v>661.42</v>
      </c>
      <c r="AV27" s="75">
        <v>2702.28</v>
      </c>
      <c r="AW27" s="75">
        <v>483.33</v>
      </c>
      <c r="AX27" s="75">
        <v>2248.9899999999998</v>
      </c>
      <c r="AY27" s="75">
        <v>221.14</v>
      </c>
      <c r="AZ27" s="75">
        <v>2138.94</v>
      </c>
      <c r="BA27" s="75">
        <v>697.15</v>
      </c>
      <c r="BB27" s="75">
        <v>3125.05</v>
      </c>
      <c r="BC27" s="75">
        <v>1638.63</v>
      </c>
      <c r="BD27" s="75">
        <v>3012.45</v>
      </c>
      <c r="BE27" s="78">
        <v>1983.7</v>
      </c>
      <c r="BF27" s="75">
        <v>2857.71</v>
      </c>
      <c r="BG27" s="78">
        <v>971.3</v>
      </c>
      <c r="BH27" s="75">
        <v>3532.88</v>
      </c>
      <c r="BI27" s="75">
        <v>784.74</v>
      </c>
      <c r="BJ27" s="75">
        <v>4386.28</v>
      </c>
      <c r="BK27" s="75">
        <v>1390.84</v>
      </c>
      <c r="BL27" s="75">
        <v>3314.54</v>
      </c>
      <c r="BM27" s="75">
        <v>2067.7199999999998</v>
      </c>
      <c r="BN27" s="75">
        <v>2586.65</v>
      </c>
      <c r="BO27" s="78">
        <v>1496</v>
      </c>
      <c r="BP27" s="75">
        <v>2847.65</v>
      </c>
      <c r="BQ27" s="75">
        <v>1489.36</v>
      </c>
      <c r="BR27" s="75">
        <v>1928.13</v>
      </c>
      <c r="BS27" s="75">
        <v>1436.47</v>
      </c>
      <c r="BT27" s="75">
        <v>1955.01</v>
      </c>
      <c r="BU27" s="75">
        <v>924.14</v>
      </c>
    </row>
    <row r="28" spans="1:73">
      <c r="A28" s="72" t="s">
        <v>339</v>
      </c>
      <c r="B28" s="77">
        <v>22055.200000000001</v>
      </c>
      <c r="C28" s="76">
        <v>4239.5200000000004</v>
      </c>
      <c r="D28" s="77">
        <v>16665.2</v>
      </c>
      <c r="E28" s="76">
        <v>1731.88</v>
      </c>
      <c r="F28" s="76">
        <v>15760.92</v>
      </c>
      <c r="G28" s="77">
        <v>1856.4</v>
      </c>
      <c r="H28" s="76">
        <v>20566.97</v>
      </c>
      <c r="I28" s="76">
        <v>3339.29</v>
      </c>
      <c r="J28" s="77">
        <v>33284.1</v>
      </c>
      <c r="K28" s="76">
        <v>4717.88</v>
      </c>
      <c r="L28" s="76">
        <v>31369.18</v>
      </c>
      <c r="M28" s="76">
        <v>5234.4399999999996</v>
      </c>
      <c r="N28" s="76">
        <v>35291.85</v>
      </c>
      <c r="O28" s="77">
        <v>2706.2</v>
      </c>
      <c r="P28" s="76">
        <v>31255.93</v>
      </c>
      <c r="Q28" s="76">
        <v>3736.52</v>
      </c>
      <c r="R28" s="76">
        <v>26964.52</v>
      </c>
      <c r="S28" s="76">
        <v>5408.82</v>
      </c>
      <c r="T28" s="76">
        <v>23521.97</v>
      </c>
      <c r="U28" s="76">
        <v>5404.42</v>
      </c>
      <c r="V28" s="76">
        <v>18383.95</v>
      </c>
      <c r="W28" s="76">
        <v>4324.93</v>
      </c>
      <c r="X28" s="76">
        <v>13111.04</v>
      </c>
      <c r="Y28" s="76">
        <v>4677.08</v>
      </c>
      <c r="Z28" s="76">
        <v>19685.349999999999</v>
      </c>
      <c r="AA28" s="76">
        <v>3754.74</v>
      </c>
      <c r="AB28" s="76">
        <v>14125.84</v>
      </c>
      <c r="AC28" s="76">
        <v>4425.82</v>
      </c>
      <c r="AD28" s="76">
        <v>15396.75</v>
      </c>
      <c r="AE28" s="77">
        <v>3914.3</v>
      </c>
      <c r="AF28" s="77">
        <v>21640.400000000001</v>
      </c>
      <c r="AG28" s="77">
        <v>8025.2</v>
      </c>
      <c r="AH28" s="76">
        <v>18301.79</v>
      </c>
      <c r="AI28" s="76">
        <v>4010.68</v>
      </c>
      <c r="AJ28" s="76">
        <v>20704.919999999998</v>
      </c>
      <c r="AK28" s="76">
        <v>3116.62</v>
      </c>
      <c r="AL28" s="76">
        <v>28246.58</v>
      </c>
      <c r="AM28" s="76">
        <v>4640.0200000000004</v>
      </c>
      <c r="AN28" s="76">
        <v>23742.73</v>
      </c>
      <c r="AO28" s="76">
        <v>4792.47</v>
      </c>
      <c r="AP28" s="76">
        <v>24960.01</v>
      </c>
      <c r="AQ28" s="76">
        <v>6332.65</v>
      </c>
      <c r="AR28" s="76">
        <v>20848.95</v>
      </c>
      <c r="AS28" s="76">
        <v>5664.69</v>
      </c>
      <c r="AT28" s="76">
        <v>34731.85</v>
      </c>
      <c r="AU28" s="76">
        <v>6898.04</v>
      </c>
      <c r="AV28" s="76">
        <v>34086.22</v>
      </c>
      <c r="AW28" s="76">
        <v>4855.09</v>
      </c>
      <c r="AX28" s="76">
        <v>18277.650000000001</v>
      </c>
      <c r="AY28" s="76">
        <v>1199.3399999999999</v>
      </c>
      <c r="AZ28" s="76">
        <v>14386.04</v>
      </c>
      <c r="BA28" s="76">
        <v>3200.52</v>
      </c>
      <c r="BB28" s="76">
        <v>18207.310000000001</v>
      </c>
      <c r="BC28" s="76">
        <v>2771.44</v>
      </c>
      <c r="BD28" s="76">
        <v>43700.84</v>
      </c>
      <c r="BE28" s="76">
        <v>5417.57</v>
      </c>
      <c r="BF28" s="76">
        <v>38146.61</v>
      </c>
      <c r="BG28" s="76">
        <v>2955.78</v>
      </c>
      <c r="BH28" s="76">
        <v>31654.97</v>
      </c>
      <c r="BI28" s="76">
        <v>1487.43</v>
      </c>
      <c r="BJ28" s="76">
        <v>46918.239999999998</v>
      </c>
      <c r="BK28" s="76">
        <v>3003.98</v>
      </c>
      <c r="BL28" s="76">
        <v>47022.46</v>
      </c>
      <c r="BM28" s="76">
        <v>3167.48</v>
      </c>
      <c r="BN28" s="76">
        <v>29843.87</v>
      </c>
      <c r="BO28" s="77">
        <v>4015.3</v>
      </c>
      <c r="BP28" s="76">
        <v>33516.120000000003</v>
      </c>
      <c r="BQ28" s="76">
        <v>3104.01</v>
      </c>
      <c r="BR28" s="76">
        <v>32473.55</v>
      </c>
      <c r="BS28" s="76">
        <v>5084.8500000000004</v>
      </c>
      <c r="BT28" s="76">
        <v>24054.76</v>
      </c>
      <c r="BU28" s="76">
        <v>2760.53</v>
      </c>
    </row>
    <row r="29" spans="1:73">
      <c r="A29" s="72" t="s">
        <v>345</v>
      </c>
      <c r="B29" s="75">
        <v>601.47</v>
      </c>
      <c r="C29" s="75">
        <v>126621.68</v>
      </c>
      <c r="D29" s="78">
        <v>719.3</v>
      </c>
      <c r="E29" s="75">
        <v>69741.62</v>
      </c>
      <c r="F29" s="75">
        <v>2333.6799999999998</v>
      </c>
      <c r="G29" s="75">
        <v>178920.61</v>
      </c>
      <c r="H29" s="75">
        <v>66304.009999999995</v>
      </c>
      <c r="I29" s="75">
        <v>50598.02</v>
      </c>
      <c r="J29" s="75">
        <v>31619.96</v>
      </c>
      <c r="K29" s="75">
        <v>35453.379999999997</v>
      </c>
      <c r="L29" s="78">
        <v>2657.2</v>
      </c>
      <c r="M29" s="75">
        <v>49569.67</v>
      </c>
      <c r="N29" s="75">
        <v>3343.24</v>
      </c>
      <c r="O29" s="75">
        <v>31039.85</v>
      </c>
      <c r="P29" s="75">
        <v>2794.76</v>
      </c>
      <c r="Q29" s="75">
        <v>54383.32</v>
      </c>
      <c r="R29" s="78">
        <v>5251.4</v>
      </c>
      <c r="S29" s="75">
        <v>58972.52</v>
      </c>
      <c r="T29" s="78">
        <v>3947.7</v>
      </c>
      <c r="U29" s="75">
        <v>52942.04</v>
      </c>
      <c r="V29" s="75">
        <v>31110.85</v>
      </c>
      <c r="W29" s="75">
        <v>56009.34</v>
      </c>
      <c r="X29" s="75">
        <v>1650.74</v>
      </c>
      <c r="Y29" s="75">
        <v>164116.60999999999</v>
      </c>
      <c r="Z29" s="75">
        <v>1042.49</v>
      </c>
      <c r="AA29" s="78">
        <v>60498.400000000001</v>
      </c>
      <c r="AB29" s="75">
        <v>2868.32</v>
      </c>
      <c r="AC29" s="75">
        <v>45150.71</v>
      </c>
      <c r="AD29" s="75">
        <v>57861.07</v>
      </c>
      <c r="AE29" s="75">
        <v>35583.75</v>
      </c>
      <c r="AF29" s="75">
        <v>2676.15</v>
      </c>
      <c r="AG29" s="75">
        <v>32650.34</v>
      </c>
      <c r="AH29" s="75">
        <v>34544.129999999997</v>
      </c>
      <c r="AI29" s="75">
        <v>7365.85</v>
      </c>
      <c r="AJ29" s="75">
        <v>34233.01</v>
      </c>
      <c r="AK29" s="75">
        <v>32558.87</v>
      </c>
      <c r="AL29" s="75">
        <v>35236.910000000003</v>
      </c>
      <c r="AM29" s="75">
        <v>16718.55</v>
      </c>
      <c r="AN29" s="75">
        <v>2358.33</v>
      </c>
      <c r="AO29" s="75">
        <v>32660.83</v>
      </c>
      <c r="AP29" s="78">
        <v>2956.4</v>
      </c>
      <c r="AQ29" s="75">
        <v>54814.06</v>
      </c>
      <c r="AR29" s="75">
        <v>2647.89</v>
      </c>
      <c r="AS29" s="75">
        <v>58695.69</v>
      </c>
      <c r="AT29" s="75">
        <v>31409.66</v>
      </c>
      <c r="AU29" s="75">
        <v>43021.04</v>
      </c>
      <c r="AV29" s="75">
        <v>95780.45</v>
      </c>
      <c r="AW29" s="75">
        <v>40428.629999999997</v>
      </c>
      <c r="AX29" s="75">
        <v>94446.22</v>
      </c>
      <c r="AY29" s="75">
        <v>67204.149999999994</v>
      </c>
      <c r="AZ29" s="75">
        <v>97811.76</v>
      </c>
      <c r="BA29" s="75">
        <v>83611.289999999994</v>
      </c>
      <c r="BB29" s="75">
        <v>3011.69</v>
      </c>
      <c r="BC29" s="78">
        <v>81896.399999999994</v>
      </c>
      <c r="BD29" s="75">
        <v>2014.44</v>
      </c>
      <c r="BE29" s="75">
        <v>85180.43</v>
      </c>
      <c r="BF29" s="75">
        <v>30078.37</v>
      </c>
      <c r="BG29" s="75">
        <v>39653.97</v>
      </c>
      <c r="BH29" s="75">
        <v>1007.58</v>
      </c>
      <c r="BI29" s="75">
        <v>22300.27</v>
      </c>
      <c r="BJ29" s="75">
        <v>2375.94</v>
      </c>
      <c r="BK29" s="75">
        <v>89526.62</v>
      </c>
      <c r="BL29" s="75">
        <v>33583.97</v>
      </c>
      <c r="BM29" s="75">
        <v>51923.81</v>
      </c>
      <c r="BN29" s="75">
        <v>1687.98</v>
      </c>
      <c r="BO29" s="75">
        <v>44771.66</v>
      </c>
      <c r="BP29" s="75">
        <v>64412.31</v>
      </c>
      <c r="BQ29" s="75">
        <v>63767.93</v>
      </c>
      <c r="BR29" s="75">
        <v>32845.440000000002</v>
      </c>
      <c r="BS29" s="75">
        <v>31988.21</v>
      </c>
      <c r="BT29" s="75">
        <v>585.91999999999996</v>
      </c>
      <c r="BU29" s="75">
        <v>86135.53</v>
      </c>
    </row>
    <row r="30" spans="1:73">
      <c r="A30" s="72" t="s">
        <v>351</v>
      </c>
      <c r="B30" s="74" t="s">
        <v>207</v>
      </c>
      <c r="C30" s="77">
        <v>2301.6</v>
      </c>
      <c r="D30" s="76">
        <v>143.07</v>
      </c>
      <c r="E30" s="74" t="s">
        <v>207</v>
      </c>
      <c r="F30" s="76">
        <v>4.5199999999999996</v>
      </c>
      <c r="G30" s="77">
        <v>1526.6</v>
      </c>
      <c r="H30" s="76">
        <v>126.99</v>
      </c>
      <c r="I30" s="77">
        <v>3927.8</v>
      </c>
      <c r="J30" s="76">
        <v>27.81</v>
      </c>
      <c r="K30" s="77">
        <v>2621</v>
      </c>
      <c r="L30" s="76">
        <v>125.75</v>
      </c>
      <c r="M30" s="77">
        <v>4430.8</v>
      </c>
      <c r="N30" s="74" t="s">
        <v>207</v>
      </c>
      <c r="O30" s="77">
        <v>4705.2</v>
      </c>
      <c r="P30" s="77">
        <v>139.9</v>
      </c>
      <c r="Q30" s="77">
        <v>5920.6</v>
      </c>
      <c r="R30" s="76">
        <v>123.99</v>
      </c>
      <c r="S30" s="77">
        <v>34989.599999999999</v>
      </c>
      <c r="T30" s="76">
        <v>15.06</v>
      </c>
      <c r="U30" s="77">
        <v>1592.4</v>
      </c>
      <c r="V30" s="76">
        <v>209.99</v>
      </c>
      <c r="W30" s="77">
        <v>2875.8</v>
      </c>
      <c r="X30" s="77">
        <v>360</v>
      </c>
      <c r="Y30" s="74" t="s">
        <v>207</v>
      </c>
      <c r="Z30" s="77">
        <v>10.9</v>
      </c>
      <c r="AA30" s="74" t="s">
        <v>207</v>
      </c>
      <c r="AB30" s="76">
        <v>159.88999999999999</v>
      </c>
      <c r="AC30" s="77">
        <v>6866.2</v>
      </c>
      <c r="AD30" s="76">
        <v>237.44</v>
      </c>
      <c r="AE30" s="77">
        <v>3113</v>
      </c>
      <c r="AF30" s="77">
        <v>1</v>
      </c>
      <c r="AG30" s="77">
        <v>1031.4000000000001</v>
      </c>
      <c r="AH30" s="76">
        <v>14.14</v>
      </c>
      <c r="AI30" s="74" t="s">
        <v>207</v>
      </c>
      <c r="AJ30" s="76">
        <v>1.1299999999999999</v>
      </c>
      <c r="AK30" s="77">
        <v>272</v>
      </c>
      <c r="AL30" s="76">
        <v>2.27</v>
      </c>
      <c r="AM30" s="77">
        <v>8013.4</v>
      </c>
      <c r="AN30" s="76">
        <v>33.06</v>
      </c>
      <c r="AO30" s="77">
        <v>1892.4</v>
      </c>
      <c r="AP30" s="77">
        <v>20.6</v>
      </c>
      <c r="AQ30" s="77">
        <v>3879.8</v>
      </c>
      <c r="AR30" s="76">
        <v>242.72</v>
      </c>
      <c r="AS30" s="77">
        <v>3503.2</v>
      </c>
      <c r="AT30" s="76">
        <v>4.8899999999999997</v>
      </c>
      <c r="AU30" s="77">
        <v>4491.8</v>
      </c>
      <c r="AV30" s="74" t="s">
        <v>207</v>
      </c>
      <c r="AW30" s="77">
        <v>7040.4</v>
      </c>
      <c r="AX30" s="76">
        <v>349.36</v>
      </c>
      <c r="AY30" s="76">
        <v>1.85</v>
      </c>
      <c r="AZ30" s="77">
        <v>20</v>
      </c>
      <c r="BA30" s="77">
        <v>2400.1</v>
      </c>
      <c r="BB30" s="76">
        <v>979.87</v>
      </c>
      <c r="BC30" s="76">
        <v>4.32</v>
      </c>
      <c r="BD30" s="74" t="s">
        <v>207</v>
      </c>
      <c r="BE30" s="76">
        <v>0.15</v>
      </c>
      <c r="BF30" s="77">
        <v>251.5</v>
      </c>
      <c r="BG30" s="76">
        <v>555.65</v>
      </c>
      <c r="BH30" s="76">
        <v>592.37</v>
      </c>
      <c r="BI30" s="77">
        <v>1422</v>
      </c>
      <c r="BJ30" s="76">
        <v>280.64</v>
      </c>
      <c r="BK30" s="76">
        <v>30.57</v>
      </c>
      <c r="BL30" s="76">
        <v>24.16</v>
      </c>
      <c r="BM30" s="77">
        <v>2525.8000000000002</v>
      </c>
      <c r="BN30" s="77">
        <v>39.299999999999997</v>
      </c>
      <c r="BO30" s="77">
        <v>4722.5</v>
      </c>
      <c r="BP30" s="77">
        <v>2167.4</v>
      </c>
      <c r="BQ30" s="76">
        <v>0.05</v>
      </c>
      <c r="BR30" s="76">
        <v>15.67</v>
      </c>
      <c r="BS30" s="76">
        <v>8.69</v>
      </c>
      <c r="BT30" s="76">
        <v>10.63</v>
      </c>
      <c r="BU30" s="76">
        <v>0.05</v>
      </c>
    </row>
    <row r="31" spans="1:73">
      <c r="A31" s="72" t="s">
        <v>353</v>
      </c>
      <c r="B31" s="78">
        <v>91.6</v>
      </c>
      <c r="C31" s="75">
        <v>559.05999999999995</v>
      </c>
      <c r="D31" s="75">
        <v>334.27</v>
      </c>
      <c r="E31" s="75">
        <v>502.59</v>
      </c>
      <c r="F31" s="75">
        <v>740.11</v>
      </c>
      <c r="G31" s="75">
        <v>1080.25</v>
      </c>
      <c r="H31" s="75">
        <v>657.82</v>
      </c>
      <c r="I31" s="75">
        <v>3591.87</v>
      </c>
      <c r="J31" s="75">
        <v>1082.3499999999999</v>
      </c>
      <c r="K31" s="75">
        <v>4202.87</v>
      </c>
      <c r="L31" s="75">
        <v>750.53</v>
      </c>
      <c r="M31" s="75">
        <v>375.56</v>
      </c>
      <c r="N31" s="75">
        <v>2543.42</v>
      </c>
      <c r="O31" s="78">
        <v>642.20000000000005</v>
      </c>
      <c r="P31" s="75">
        <v>2610.2800000000002</v>
      </c>
      <c r="Q31" s="75">
        <v>505.71</v>
      </c>
      <c r="R31" s="75">
        <v>2801.79</v>
      </c>
      <c r="S31" s="75">
        <v>1154.17</v>
      </c>
      <c r="T31" s="78">
        <v>710</v>
      </c>
      <c r="U31" s="75">
        <v>378.68</v>
      </c>
      <c r="V31" s="78">
        <v>1286.4000000000001</v>
      </c>
      <c r="W31" s="78">
        <v>228.6</v>
      </c>
      <c r="X31" s="75">
        <v>1069.03</v>
      </c>
      <c r="Y31" s="75">
        <v>405.89</v>
      </c>
      <c r="Z31" s="75">
        <v>703.04</v>
      </c>
      <c r="AA31" s="75">
        <v>20200.509999999998</v>
      </c>
      <c r="AB31" s="75">
        <v>104.03</v>
      </c>
      <c r="AC31" s="78">
        <v>700.8</v>
      </c>
      <c r="AD31" s="75">
        <v>1010.01</v>
      </c>
      <c r="AE31" s="75">
        <v>2357.81</v>
      </c>
      <c r="AF31" s="75">
        <v>545.28</v>
      </c>
      <c r="AG31" s="78">
        <v>8644.1</v>
      </c>
      <c r="AH31" s="75">
        <v>1354.92</v>
      </c>
      <c r="AI31" s="75">
        <v>8389.93</v>
      </c>
      <c r="AJ31" s="75">
        <v>1820.34</v>
      </c>
      <c r="AK31" s="75">
        <v>14167.15</v>
      </c>
      <c r="AL31" s="75">
        <v>3154.89</v>
      </c>
      <c r="AM31" s="75">
        <v>23046.73</v>
      </c>
      <c r="AN31" s="75">
        <v>2758.58</v>
      </c>
      <c r="AO31" s="75">
        <v>2028.04</v>
      </c>
      <c r="AP31" s="75">
        <v>3839.56</v>
      </c>
      <c r="AQ31" s="75">
        <v>1014.85</v>
      </c>
      <c r="AR31" s="75">
        <v>1984.11</v>
      </c>
      <c r="AS31" s="75">
        <v>2205.83</v>
      </c>
      <c r="AT31" s="75">
        <v>1396.41</v>
      </c>
      <c r="AU31" s="75">
        <v>2504.04</v>
      </c>
      <c r="AV31" s="75">
        <v>1313.71</v>
      </c>
      <c r="AW31" s="75">
        <v>4798.1099999999997</v>
      </c>
      <c r="AX31" s="75">
        <v>684.82</v>
      </c>
      <c r="AY31" s="75">
        <v>938.28</v>
      </c>
      <c r="AZ31" s="75">
        <v>228.71</v>
      </c>
      <c r="BA31" s="75">
        <v>689.94</v>
      </c>
      <c r="BB31" s="75">
        <v>1813.09</v>
      </c>
      <c r="BC31" s="78">
        <v>436</v>
      </c>
      <c r="BD31" s="78">
        <v>231</v>
      </c>
      <c r="BE31" s="75">
        <v>993.15</v>
      </c>
      <c r="BF31" s="75">
        <v>1696.76</v>
      </c>
      <c r="BG31" s="75">
        <v>2066.87</v>
      </c>
      <c r="BH31" s="78">
        <v>585.6</v>
      </c>
      <c r="BI31" s="75">
        <v>917.25</v>
      </c>
      <c r="BJ31" s="75">
        <v>566.92999999999995</v>
      </c>
      <c r="BK31" s="75">
        <v>894.14</v>
      </c>
      <c r="BL31" s="75">
        <v>1035.75</v>
      </c>
      <c r="BM31" s="75">
        <v>2115.54</v>
      </c>
      <c r="BN31" s="75">
        <v>814.36</v>
      </c>
      <c r="BO31" s="75">
        <v>3863.08</v>
      </c>
      <c r="BP31" s="75">
        <v>885.91</v>
      </c>
      <c r="BQ31" s="78">
        <v>2790.9</v>
      </c>
      <c r="BR31" s="75">
        <v>864.26</v>
      </c>
      <c r="BS31" s="75">
        <v>1499.39</v>
      </c>
      <c r="BT31" s="75">
        <v>641.83000000000004</v>
      </c>
      <c r="BU31" s="78">
        <v>2798</v>
      </c>
    </row>
    <row r="32" spans="1:73">
      <c r="A32" s="72" t="s">
        <v>359</v>
      </c>
      <c r="B32" s="76">
        <v>1627.98</v>
      </c>
      <c r="C32" s="77">
        <v>8283</v>
      </c>
      <c r="D32" s="76">
        <v>841.04</v>
      </c>
      <c r="E32" s="76">
        <v>10561.38</v>
      </c>
      <c r="F32" s="76">
        <v>444.92</v>
      </c>
      <c r="G32" s="76">
        <v>7305.53</v>
      </c>
      <c r="H32" s="76">
        <v>1664.92</v>
      </c>
      <c r="I32" s="76">
        <v>8573.39</v>
      </c>
      <c r="J32" s="76">
        <v>1130.8399999999999</v>
      </c>
      <c r="K32" s="76">
        <v>8414.02</v>
      </c>
      <c r="L32" s="76">
        <v>1316.89</v>
      </c>
      <c r="M32" s="76">
        <v>7917.97</v>
      </c>
      <c r="N32" s="76">
        <v>988.09</v>
      </c>
      <c r="O32" s="76">
        <v>7520.85</v>
      </c>
      <c r="P32" s="76">
        <v>894.01</v>
      </c>
      <c r="Q32" s="76">
        <v>7432.84</v>
      </c>
      <c r="R32" s="76">
        <v>997.37</v>
      </c>
      <c r="S32" s="76">
        <v>9405.1200000000008</v>
      </c>
      <c r="T32" s="76">
        <v>1239.67</v>
      </c>
      <c r="U32" s="77">
        <v>8415.1</v>
      </c>
      <c r="V32" s="76">
        <v>1512.71</v>
      </c>
      <c r="W32" s="77">
        <v>7523</v>
      </c>
      <c r="X32" s="76">
        <v>1208.1500000000001</v>
      </c>
      <c r="Y32" s="76">
        <v>8624.14</v>
      </c>
      <c r="Z32" s="76">
        <v>1566.52</v>
      </c>
      <c r="AA32" s="77">
        <v>12652.6</v>
      </c>
      <c r="AB32" s="76">
        <v>537.75</v>
      </c>
      <c r="AC32" s="76">
        <v>12253.04</v>
      </c>
      <c r="AD32" s="76">
        <v>2433.88</v>
      </c>
      <c r="AE32" s="76">
        <v>10869.27</v>
      </c>
      <c r="AF32" s="76">
        <v>1540.03</v>
      </c>
      <c r="AG32" s="76">
        <v>12675.25</v>
      </c>
      <c r="AH32" s="76">
        <v>19943.25</v>
      </c>
      <c r="AI32" s="76">
        <v>9803.4500000000007</v>
      </c>
      <c r="AJ32" s="76">
        <v>1061.67</v>
      </c>
      <c r="AK32" s="76">
        <v>11699.35</v>
      </c>
      <c r="AL32" s="76">
        <v>2065.12</v>
      </c>
      <c r="AM32" s="76">
        <v>11185.77</v>
      </c>
      <c r="AN32" s="77">
        <v>2262</v>
      </c>
      <c r="AO32" s="76">
        <v>11148.98</v>
      </c>
      <c r="AP32" s="77">
        <v>2197.5</v>
      </c>
      <c r="AQ32" s="76">
        <v>13765.23</v>
      </c>
      <c r="AR32" s="76">
        <v>2426.52</v>
      </c>
      <c r="AS32" s="76">
        <v>14175.12</v>
      </c>
      <c r="AT32" s="76">
        <v>2009.47</v>
      </c>
      <c r="AU32" s="77">
        <v>11271.3</v>
      </c>
      <c r="AV32" s="76">
        <v>1609.36</v>
      </c>
      <c r="AW32" s="76">
        <v>11233.14</v>
      </c>
      <c r="AX32" s="76">
        <v>2720.54</v>
      </c>
      <c r="AY32" s="77">
        <v>10281.6</v>
      </c>
      <c r="AZ32" s="76">
        <v>4192.99</v>
      </c>
      <c r="BA32" s="77">
        <v>7050.5</v>
      </c>
      <c r="BB32" s="76">
        <v>3662.55</v>
      </c>
      <c r="BC32" s="76">
        <v>8799.31</v>
      </c>
      <c r="BD32" s="76">
        <v>2337.3200000000002</v>
      </c>
      <c r="BE32" s="76">
        <v>14680.08</v>
      </c>
      <c r="BF32" s="76">
        <v>3766.47</v>
      </c>
      <c r="BG32" s="76">
        <v>10155.92</v>
      </c>
      <c r="BH32" s="76">
        <v>4329.41</v>
      </c>
      <c r="BI32" s="76">
        <v>6790.92</v>
      </c>
      <c r="BJ32" s="76">
        <v>6683.49</v>
      </c>
      <c r="BK32" s="76">
        <v>11221.29</v>
      </c>
      <c r="BL32" s="77">
        <v>4051.8</v>
      </c>
      <c r="BM32" s="76">
        <v>11600.12</v>
      </c>
      <c r="BN32" s="76">
        <v>4606.29</v>
      </c>
      <c r="BO32" s="76">
        <v>11421.74</v>
      </c>
      <c r="BP32" s="76">
        <v>3118.45</v>
      </c>
      <c r="BQ32" s="76">
        <v>12061.33</v>
      </c>
      <c r="BR32" s="76">
        <v>3960.11</v>
      </c>
      <c r="BS32" s="76">
        <v>11181.75</v>
      </c>
      <c r="BT32" s="76">
        <v>2935.94</v>
      </c>
      <c r="BU32" s="76">
        <v>8716.74</v>
      </c>
    </row>
    <row r="33" spans="1:73">
      <c r="A33" s="72" t="s">
        <v>361</v>
      </c>
      <c r="B33" s="75">
        <v>599.51</v>
      </c>
      <c r="C33" s="78">
        <v>22431.9</v>
      </c>
      <c r="D33" s="75">
        <v>179.57</v>
      </c>
      <c r="E33" s="75">
        <v>17011.05</v>
      </c>
      <c r="F33" s="75">
        <v>320.94</v>
      </c>
      <c r="G33" s="75">
        <v>13913.95</v>
      </c>
      <c r="H33" s="75">
        <v>455.17</v>
      </c>
      <c r="I33" s="75">
        <v>14011.45</v>
      </c>
      <c r="J33" s="75">
        <v>280.94</v>
      </c>
      <c r="K33" s="75">
        <v>12127.21</v>
      </c>
      <c r="L33" s="75">
        <v>448.67</v>
      </c>
      <c r="M33" s="75">
        <v>13404.92</v>
      </c>
      <c r="N33" s="75">
        <v>328.45</v>
      </c>
      <c r="O33" s="75">
        <v>12665.87</v>
      </c>
      <c r="P33" s="75">
        <v>250.55</v>
      </c>
      <c r="Q33" s="75">
        <v>16479.740000000002</v>
      </c>
      <c r="R33" s="75">
        <v>710.32</v>
      </c>
      <c r="S33" s="75">
        <v>18784.45</v>
      </c>
      <c r="T33" s="78">
        <v>761.2</v>
      </c>
      <c r="U33" s="75">
        <v>14906.91</v>
      </c>
      <c r="V33" s="75">
        <v>345.73</v>
      </c>
      <c r="W33" s="75">
        <v>14492.34</v>
      </c>
      <c r="X33" s="75">
        <v>619.97</v>
      </c>
      <c r="Y33" s="75">
        <v>14321.99</v>
      </c>
      <c r="Z33" s="75">
        <v>6175.76</v>
      </c>
      <c r="AA33" s="78">
        <v>9751.2000000000007</v>
      </c>
      <c r="AB33" s="75">
        <v>1431.65</v>
      </c>
      <c r="AC33" s="75">
        <v>9205.4599999999991</v>
      </c>
      <c r="AD33" s="75">
        <v>7413.52</v>
      </c>
      <c r="AE33" s="78">
        <v>5478.7</v>
      </c>
      <c r="AF33" s="75">
        <v>1399.05</v>
      </c>
      <c r="AG33" s="75">
        <v>10363.92</v>
      </c>
      <c r="AH33" s="75">
        <v>5331.16</v>
      </c>
      <c r="AI33" s="75">
        <v>4732.9799999999996</v>
      </c>
      <c r="AJ33" s="75">
        <v>2577.66</v>
      </c>
      <c r="AK33" s="75">
        <v>4170.12</v>
      </c>
      <c r="AL33" s="75">
        <v>4996.24</v>
      </c>
      <c r="AM33" s="78">
        <v>6969.2</v>
      </c>
      <c r="AN33" s="75">
        <v>3521.99</v>
      </c>
      <c r="AO33" s="75">
        <v>6021.97</v>
      </c>
      <c r="AP33" s="75">
        <v>3456.02</v>
      </c>
      <c r="AQ33" s="75">
        <v>11945.93</v>
      </c>
      <c r="AR33" s="75">
        <v>4020.38</v>
      </c>
      <c r="AS33" s="75">
        <v>7004.73</v>
      </c>
      <c r="AT33" s="75">
        <v>1034.5899999999999</v>
      </c>
      <c r="AU33" s="75">
        <v>9234.2800000000007</v>
      </c>
      <c r="AV33" s="75">
        <v>3305.55</v>
      </c>
      <c r="AW33" s="75">
        <v>5363.41</v>
      </c>
      <c r="AX33" s="75">
        <v>1508.48</v>
      </c>
      <c r="AY33" s="75">
        <v>5288.95</v>
      </c>
      <c r="AZ33" s="75">
        <v>2090.42</v>
      </c>
      <c r="BA33" s="75">
        <v>8141.28</v>
      </c>
      <c r="BB33" s="78">
        <v>986.4</v>
      </c>
      <c r="BC33" s="75">
        <v>6993.63</v>
      </c>
      <c r="BD33" s="75">
        <v>2791.45</v>
      </c>
      <c r="BE33" s="75">
        <v>5806.06</v>
      </c>
      <c r="BF33" s="78">
        <v>2093.3000000000002</v>
      </c>
      <c r="BG33" s="75">
        <v>7980.35</v>
      </c>
      <c r="BH33" s="75">
        <v>2122.5700000000002</v>
      </c>
      <c r="BI33" s="75">
        <v>3745.41</v>
      </c>
      <c r="BJ33" s="75">
        <v>2115.23</v>
      </c>
      <c r="BK33" s="75">
        <v>7291.73</v>
      </c>
      <c r="BL33" s="75">
        <v>2538.54</v>
      </c>
      <c r="BM33" s="75">
        <v>6815.11</v>
      </c>
      <c r="BN33" s="78">
        <v>2699.5</v>
      </c>
      <c r="BO33" s="75">
        <v>11531.71</v>
      </c>
      <c r="BP33" s="75">
        <v>2196.1799999999998</v>
      </c>
      <c r="BQ33" s="75">
        <v>8215.39</v>
      </c>
      <c r="BR33" s="75">
        <v>1838.28</v>
      </c>
      <c r="BS33" s="75">
        <v>9099.52</v>
      </c>
      <c r="BT33" s="75">
        <v>2542.96</v>
      </c>
      <c r="BU33" s="75">
        <v>5651.04</v>
      </c>
    </row>
    <row r="34" spans="1:73">
      <c r="A34" s="72" t="s">
        <v>363</v>
      </c>
      <c r="B34" s="76">
        <v>1798.72</v>
      </c>
      <c r="C34" s="76">
        <v>1208.42</v>
      </c>
      <c r="D34" s="77">
        <v>1291.5999999999999</v>
      </c>
      <c r="E34" s="76">
        <v>963.66</v>
      </c>
      <c r="F34" s="76">
        <v>521.85</v>
      </c>
      <c r="G34" s="77">
        <v>964.8</v>
      </c>
      <c r="H34" s="76">
        <v>264.83999999999997</v>
      </c>
      <c r="I34" s="76">
        <v>5.24</v>
      </c>
      <c r="J34" s="76">
        <v>801.37</v>
      </c>
      <c r="K34" s="76">
        <v>1748.82</v>
      </c>
      <c r="L34" s="76">
        <v>7.75</v>
      </c>
      <c r="M34" s="76">
        <v>817.17</v>
      </c>
      <c r="N34" s="76">
        <v>4.5199999999999996</v>
      </c>
      <c r="O34" s="76">
        <v>5451.72</v>
      </c>
      <c r="P34" s="76">
        <v>482.38</v>
      </c>
      <c r="Q34" s="76">
        <v>5656.93</v>
      </c>
      <c r="R34" s="76">
        <v>1200.67</v>
      </c>
      <c r="S34" s="76">
        <v>5864.49</v>
      </c>
      <c r="T34" s="76">
        <v>1944.76</v>
      </c>
      <c r="U34" s="76">
        <v>7393.01</v>
      </c>
      <c r="V34" s="76">
        <v>9.5299999999999994</v>
      </c>
      <c r="W34" s="76">
        <v>3610.35</v>
      </c>
      <c r="X34" s="76">
        <v>1899.49</v>
      </c>
      <c r="Y34" s="76">
        <v>4343.58</v>
      </c>
      <c r="Z34" s="76">
        <v>2134.65</v>
      </c>
      <c r="AA34" s="77">
        <v>279.60000000000002</v>
      </c>
      <c r="AB34" s="76">
        <v>517.58000000000004</v>
      </c>
      <c r="AC34" s="77">
        <v>10</v>
      </c>
      <c r="AD34" s="76">
        <v>242.71</v>
      </c>
      <c r="AE34" s="76">
        <v>224.08</v>
      </c>
      <c r="AF34" s="76">
        <v>2928.65</v>
      </c>
      <c r="AG34" s="76">
        <v>0.03</v>
      </c>
      <c r="AH34" s="76">
        <v>768.54</v>
      </c>
      <c r="AI34" s="76">
        <v>0.16</v>
      </c>
      <c r="AJ34" s="76">
        <v>1567.19</v>
      </c>
      <c r="AK34" s="76">
        <v>46.73</v>
      </c>
      <c r="AL34" s="77">
        <v>4075.8</v>
      </c>
      <c r="AM34" s="76">
        <v>3473.21</v>
      </c>
      <c r="AN34" s="76">
        <v>3132.01</v>
      </c>
      <c r="AO34" s="76">
        <v>4956.6899999999996</v>
      </c>
      <c r="AP34" s="76">
        <v>8098.65</v>
      </c>
      <c r="AQ34" s="76">
        <v>10429.65</v>
      </c>
      <c r="AR34" s="76">
        <v>5243.67</v>
      </c>
      <c r="AS34" s="76">
        <v>4156.83</v>
      </c>
      <c r="AT34" s="77">
        <v>1923.6</v>
      </c>
      <c r="AU34" s="76">
        <v>135.24</v>
      </c>
      <c r="AV34" s="76">
        <v>3919.86</v>
      </c>
      <c r="AW34" s="76">
        <v>1220.68</v>
      </c>
      <c r="AX34" s="76">
        <v>3767.17</v>
      </c>
      <c r="AY34" s="77">
        <v>782.3</v>
      </c>
      <c r="AZ34" s="76">
        <v>1667.81</v>
      </c>
      <c r="BA34" s="76">
        <v>262.86</v>
      </c>
      <c r="BB34" s="77">
        <v>950.4</v>
      </c>
      <c r="BC34" s="76">
        <v>1836.84</v>
      </c>
      <c r="BD34" s="76">
        <v>1513.13</v>
      </c>
      <c r="BE34" s="76">
        <v>3040.17</v>
      </c>
      <c r="BF34" s="76">
        <v>1786.56</v>
      </c>
      <c r="BG34" s="76">
        <v>1752.53</v>
      </c>
      <c r="BH34" s="76">
        <v>715.91</v>
      </c>
      <c r="BI34" s="76">
        <v>1230.6600000000001</v>
      </c>
      <c r="BJ34" s="76">
        <v>1580.01</v>
      </c>
      <c r="BK34" s="77">
        <v>3003.3</v>
      </c>
      <c r="BL34" s="76">
        <v>1513.99</v>
      </c>
      <c r="BM34" s="76">
        <v>3215.52</v>
      </c>
      <c r="BN34" s="76">
        <v>14755.85</v>
      </c>
      <c r="BO34" s="76">
        <v>3206.29</v>
      </c>
      <c r="BP34" s="76">
        <v>8231.32</v>
      </c>
      <c r="BQ34" s="76">
        <v>3866.99</v>
      </c>
      <c r="BR34" s="76">
        <v>4204.5200000000004</v>
      </c>
      <c r="BS34" s="76">
        <v>2251.09</v>
      </c>
      <c r="BT34" s="76">
        <v>3426.64</v>
      </c>
      <c r="BU34" s="76">
        <v>1491.94</v>
      </c>
    </row>
    <row r="35" spans="1:73">
      <c r="A35" s="72" t="s">
        <v>365</v>
      </c>
      <c r="B35" s="75">
        <v>821471.52</v>
      </c>
      <c r="C35" s="75">
        <v>37880.959999999999</v>
      </c>
      <c r="D35" s="75">
        <v>528968.42000000004</v>
      </c>
      <c r="E35" s="75">
        <v>20730.439999999999</v>
      </c>
      <c r="F35" s="75">
        <v>83625.240000000005</v>
      </c>
      <c r="G35" s="75">
        <v>31661.45</v>
      </c>
      <c r="H35" s="75">
        <v>658814.03</v>
      </c>
      <c r="I35" s="75">
        <v>68913.05</v>
      </c>
      <c r="J35" s="75">
        <v>856730.06</v>
      </c>
      <c r="K35" s="75">
        <v>50588.28</v>
      </c>
      <c r="L35" s="75">
        <v>469006.32</v>
      </c>
      <c r="M35" s="75">
        <v>71923.740000000005</v>
      </c>
      <c r="N35" s="75">
        <v>1051771.8500000001</v>
      </c>
      <c r="O35" s="75">
        <v>73613.81</v>
      </c>
      <c r="P35" s="75">
        <v>1306910.75</v>
      </c>
      <c r="Q35" s="75">
        <v>172688.82</v>
      </c>
      <c r="R35" s="75">
        <v>613788.77</v>
      </c>
      <c r="S35" s="75">
        <v>113867.36</v>
      </c>
      <c r="T35" s="75">
        <v>358970.81</v>
      </c>
      <c r="U35" s="75">
        <v>55271.88</v>
      </c>
      <c r="V35" s="75">
        <v>1147213.31</v>
      </c>
      <c r="W35" s="75">
        <v>113305.65</v>
      </c>
      <c r="X35" s="78">
        <v>574664.4</v>
      </c>
      <c r="Y35" s="78">
        <v>111576.9</v>
      </c>
      <c r="Z35" s="75">
        <v>664749.61</v>
      </c>
      <c r="AA35" s="75">
        <v>71818.179999999993</v>
      </c>
      <c r="AB35" s="75">
        <v>342671.73</v>
      </c>
      <c r="AC35" s="78">
        <v>41493.5</v>
      </c>
      <c r="AD35" s="75">
        <v>467933.48</v>
      </c>
      <c r="AE35" s="75">
        <v>52072.04</v>
      </c>
      <c r="AF35" s="75">
        <v>625332.56999999995</v>
      </c>
      <c r="AG35" s="75">
        <v>111009.29</v>
      </c>
      <c r="AH35" s="75">
        <v>430744.68</v>
      </c>
      <c r="AI35" s="75">
        <v>144607.72</v>
      </c>
      <c r="AJ35" s="75">
        <v>520015.41</v>
      </c>
      <c r="AK35" s="75">
        <v>113328.42</v>
      </c>
      <c r="AL35" s="75">
        <v>494908.96</v>
      </c>
      <c r="AM35" s="75">
        <v>144987.07</v>
      </c>
      <c r="AN35" s="75">
        <v>588116.72</v>
      </c>
      <c r="AO35" s="75">
        <v>147562.42000000001</v>
      </c>
      <c r="AP35" s="75">
        <v>579538.89</v>
      </c>
      <c r="AQ35" s="75">
        <v>207286.27</v>
      </c>
      <c r="AR35" s="75">
        <v>458477.27</v>
      </c>
      <c r="AS35" s="75">
        <v>227719.35</v>
      </c>
      <c r="AT35" s="75">
        <v>741499.47</v>
      </c>
      <c r="AU35" s="75">
        <v>159638.03</v>
      </c>
      <c r="AV35" s="75">
        <v>632634.63</v>
      </c>
      <c r="AW35" s="78">
        <v>190291.1</v>
      </c>
      <c r="AX35" s="75">
        <v>806936.04</v>
      </c>
      <c r="AY35" s="75">
        <v>80733.77</v>
      </c>
      <c r="AZ35" s="75">
        <v>101277.31</v>
      </c>
      <c r="BA35" s="75">
        <v>76584.36</v>
      </c>
      <c r="BB35" s="75">
        <v>31768.61</v>
      </c>
      <c r="BC35" s="75">
        <v>150694.63</v>
      </c>
      <c r="BD35" s="75">
        <v>44953.03</v>
      </c>
      <c r="BE35" s="75">
        <v>157098.76</v>
      </c>
      <c r="BF35" s="75">
        <v>25703.74</v>
      </c>
      <c r="BG35" s="75">
        <v>163770.23000000001</v>
      </c>
      <c r="BH35" s="75">
        <v>438401.61</v>
      </c>
      <c r="BI35" s="75">
        <v>103899.14</v>
      </c>
      <c r="BJ35" s="75">
        <v>381257.45</v>
      </c>
      <c r="BK35" s="75">
        <v>155329.48000000001</v>
      </c>
      <c r="BL35" s="75">
        <v>231529.62</v>
      </c>
      <c r="BM35" s="78">
        <v>129874.2</v>
      </c>
      <c r="BN35" s="75">
        <v>536654.46</v>
      </c>
      <c r="BO35" s="75">
        <v>139702.82</v>
      </c>
      <c r="BP35" s="78">
        <v>719923.1</v>
      </c>
      <c r="BQ35" s="75">
        <v>97867.83</v>
      </c>
      <c r="BR35" s="75">
        <v>527911.47</v>
      </c>
      <c r="BS35" s="78">
        <v>42611.6</v>
      </c>
      <c r="BT35" s="78">
        <v>135796.4</v>
      </c>
      <c r="BU35" s="75">
        <v>79129.77</v>
      </c>
    </row>
    <row r="36" spans="1:73">
      <c r="A36" s="72" t="s">
        <v>367</v>
      </c>
      <c r="B36" s="76">
        <v>160.07</v>
      </c>
      <c r="C36" s="76">
        <v>257.44</v>
      </c>
      <c r="D36" s="77">
        <v>15</v>
      </c>
      <c r="E36" s="76">
        <v>916.76</v>
      </c>
      <c r="F36" s="76">
        <v>164.16</v>
      </c>
      <c r="G36" s="76">
        <v>1589.62</v>
      </c>
      <c r="H36" s="77">
        <v>6</v>
      </c>
      <c r="I36" s="76">
        <v>819.44</v>
      </c>
      <c r="J36" s="76">
        <v>15.39</v>
      </c>
      <c r="K36" s="76">
        <v>845.31</v>
      </c>
      <c r="L36" s="76">
        <v>32.729999999999997</v>
      </c>
      <c r="M36" s="76">
        <v>497.82</v>
      </c>
      <c r="N36" s="77">
        <v>515</v>
      </c>
      <c r="O36" s="76">
        <v>212.71</v>
      </c>
      <c r="P36" s="76">
        <v>1289.42</v>
      </c>
      <c r="Q36" s="76">
        <v>2689.97</v>
      </c>
      <c r="R36" s="76">
        <v>5767.09</v>
      </c>
      <c r="S36" s="76">
        <v>5297.31</v>
      </c>
      <c r="T36" s="76">
        <v>4489.92</v>
      </c>
      <c r="U36" s="76">
        <v>1313.35</v>
      </c>
      <c r="V36" s="76">
        <v>993.45</v>
      </c>
      <c r="W36" s="76">
        <v>134.36000000000001</v>
      </c>
      <c r="X36" s="76">
        <v>465.71</v>
      </c>
      <c r="Y36" s="76">
        <v>1.98</v>
      </c>
      <c r="Z36" s="76">
        <v>1708.01</v>
      </c>
      <c r="AA36" s="76">
        <v>483.61</v>
      </c>
      <c r="AB36" s="76">
        <v>289.64</v>
      </c>
      <c r="AC36" s="76">
        <v>484.37</v>
      </c>
      <c r="AD36" s="76">
        <v>322.42</v>
      </c>
      <c r="AE36" s="76">
        <v>903.59</v>
      </c>
      <c r="AF36" s="76">
        <v>81.13</v>
      </c>
      <c r="AG36" s="76">
        <v>239.14</v>
      </c>
      <c r="AH36" s="77">
        <v>384.6</v>
      </c>
      <c r="AI36" s="77">
        <v>138.9</v>
      </c>
      <c r="AJ36" s="76">
        <v>847.88</v>
      </c>
      <c r="AK36" s="76">
        <v>482.48</v>
      </c>
      <c r="AL36" s="77">
        <v>6256.5</v>
      </c>
      <c r="AM36" s="76">
        <v>296.39</v>
      </c>
      <c r="AN36" s="76">
        <v>6540.44</v>
      </c>
      <c r="AO36" s="76">
        <v>2202.54</v>
      </c>
      <c r="AP36" s="76">
        <v>4800.95</v>
      </c>
      <c r="AQ36" s="77">
        <v>5214.7</v>
      </c>
      <c r="AR36" s="76">
        <v>16169.27</v>
      </c>
      <c r="AS36" s="76">
        <v>144.02000000000001</v>
      </c>
      <c r="AT36" s="76">
        <v>1611.18</v>
      </c>
      <c r="AU36" s="76">
        <v>179.84</v>
      </c>
      <c r="AV36" s="77">
        <v>832</v>
      </c>
      <c r="AW36" s="76">
        <v>3.84</v>
      </c>
      <c r="AX36" s="77">
        <v>47</v>
      </c>
      <c r="AY36" s="76">
        <v>303.12</v>
      </c>
      <c r="AZ36" s="76">
        <v>80.45</v>
      </c>
      <c r="BA36" s="76">
        <v>641.80999999999995</v>
      </c>
      <c r="BB36" s="76">
        <v>2498.06</v>
      </c>
      <c r="BC36" s="76">
        <v>99.93</v>
      </c>
      <c r="BD36" s="76">
        <v>2676.54</v>
      </c>
      <c r="BE36" s="76">
        <v>2879.22</v>
      </c>
      <c r="BF36" s="76">
        <v>2339.84</v>
      </c>
      <c r="BG36" s="77">
        <v>113.2</v>
      </c>
      <c r="BH36" s="76">
        <v>206.44</v>
      </c>
      <c r="BI36" s="76">
        <v>1691.81</v>
      </c>
      <c r="BJ36" s="76">
        <v>1004.74</v>
      </c>
      <c r="BK36" s="76">
        <v>264.12</v>
      </c>
      <c r="BL36" s="76">
        <v>5461.32</v>
      </c>
      <c r="BM36" s="76">
        <v>270.42</v>
      </c>
      <c r="BN36" s="76">
        <v>5176.49</v>
      </c>
      <c r="BO36" s="76">
        <v>5425.04</v>
      </c>
      <c r="BP36" s="76">
        <v>9125.58</v>
      </c>
      <c r="BQ36" s="76">
        <v>1269.56</v>
      </c>
      <c r="BR36" s="76">
        <v>2618.92</v>
      </c>
      <c r="BS36" s="76">
        <v>861.91</v>
      </c>
      <c r="BT36" s="76">
        <v>44.43</v>
      </c>
      <c r="BU36" s="76">
        <v>1624.76</v>
      </c>
    </row>
    <row r="37" spans="1:73">
      <c r="A37" s="72" t="s">
        <v>369</v>
      </c>
      <c r="B37" s="75">
        <v>10296.76</v>
      </c>
      <c r="C37" s="75">
        <v>5627.48</v>
      </c>
      <c r="D37" s="75">
        <v>14333.43</v>
      </c>
      <c r="E37" s="75">
        <v>2454.5700000000002</v>
      </c>
      <c r="F37" s="75">
        <v>22650.61</v>
      </c>
      <c r="G37" s="75">
        <v>4166.38</v>
      </c>
      <c r="H37" s="75">
        <v>17193.490000000002</v>
      </c>
      <c r="I37" s="75">
        <v>4836.5600000000004</v>
      </c>
      <c r="J37" s="75">
        <v>15881.24</v>
      </c>
      <c r="K37" s="75">
        <v>6128.71</v>
      </c>
      <c r="L37" s="75">
        <v>20733.38</v>
      </c>
      <c r="M37" s="75">
        <v>5940.87</v>
      </c>
      <c r="N37" s="78">
        <v>19987.2</v>
      </c>
      <c r="O37" s="75">
        <v>6792.83</v>
      </c>
      <c r="P37" s="75">
        <v>16730.77</v>
      </c>
      <c r="Q37" s="78">
        <v>6650.8</v>
      </c>
      <c r="R37" s="75">
        <v>20841.89</v>
      </c>
      <c r="S37" s="75">
        <v>9594.57</v>
      </c>
      <c r="T37" s="78">
        <v>55280.5</v>
      </c>
      <c r="U37" s="75">
        <v>9593.02</v>
      </c>
      <c r="V37" s="75">
        <v>10463.57</v>
      </c>
      <c r="W37" s="75">
        <v>6873.18</v>
      </c>
      <c r="X37" s="75">
        <v>11878.05</v>
      </c>
      <c r="Y37" s="75">
        <v>14270.29</v>
      </c>
      <c r="Z37" s="75">
        <v>26968.28</v>
      </c>
      <c r="AA37" s="75">
        <v>9682.4500000000007</v>
      </c>
      <c r="AB37" s="75">
        <v>22223.61</v>
      </c>
      <c r="AC37" s="75">
        <v>8326.49</v>
      </c>
      <c r="AD37" s="75">
        <v>22898.720000000001</v>
      </c>
      <c r="AE37" s="75">
        <v>8142.67</v>
      </c>
      <c r="AF37" s="75">
        <v>23736.85</v>
      </c>
      <c r="AG37" s="75">
        <v>14700.54</v>
      </c>
      <c r="AH37" s="78">
        <v>24021.200000000001</v>
      </c>
      <c r="AI37" s="75">
        <v>10117.719999999999</v>
      </c>
      <c r="AJ37" s="75">
        <v>27210.48</v>
      </c>
      <c r="AK37" s="75">
        <v>9853.3799999999992</v>
      </c>
      <c r="AL37" s="75">
        <v>23924.73</v>
      </c>
      <c r="AM37" s="75">
        <v>12127.38</v>
      </c>
      <c r="AN37" s="75">
        <v>20518.37</v>
      </c>
      <c r="AO37" s="75">
        <v>14631.14</v>
      </c>
      <c r="AP37" s="75">
        <v>33099.360000000001</v>
      </c>
      <c r="AQ37" s="75">
        <v>13023.64</v>
      </c>
      <c r="AR37" s="75">
        <v>19786.990000000002</v>
      </c>
      <c r="AS37" s="75">
        <v>3619.03</v>
      </c>
      <c r="AT37" s="75">
        <v>38663.730000000003</v>
      </c>
      <c r="AU37" s="75">
        <v>7159.06</v>
      </c>
      <c r="AV37" s="78">
        <v>26526.7</v>
      </c>
      <c r="AW37" s="75">
        <v>7610.53</v>
      </c>
      <c r="AX37" s="75">
        <v>35377.29</v>
      </c>
      <c r="AY37" s="75">
        <v>9327.7900000000009</v>
      </c>
      <c r="AZ37" s="75">
        <v>28274.19</v>
      </c>
      <c r="BA37" s="75">
        <v>18095.59</v>
      </c>
      <c r="BB37" s="75">
        <v>21421.56</v>
      </c>
      <c r="BC37" s="75">
        <v>10256.25</v>
      </c>
      <c r="BD37" s="75">
        <v>29569.439999999999</v>
      </c>
      <c r="BE37" s="75">
        <v>8115.16</v>
      </c>
      <c r="BF37" s="75">
        <v>27661.41</v>
      </c>
      <c r="BG37" s="75">
        <v>12810.13</v>
      </c>
      <c r="BH37" s="75">
        <v>20510.97</v>
      </c>
      <c r="BI37" s="75">
        <v>14847.89</v>
      </c>
      <c r="BJ37" s="75">
        <v>24618.34</v>
      </c>
      <c r="BK37" s="75">
        <v>5829.41</v>
      </c>
      <c r="BL37" s="75">
        <v>31218.75</v>
      </c>
      <c r="BM37" s="75">
        <v>10028.620000000001</v>
      </c>
      <c r="BN37" s="75">
        <v>29278.46</v>
      </c>
      <c r="BO37" s="75">
        <v>10401.73</v>
      </c>
      <c r="BP37" s="75">
        <v>24597.93</v>
      </c>
      <c r="BQ37" s="75">
        <v>10498.23</v>
      </c>
      <c r="BR37" s="75">
        <v>19901.55</v>
      </c>
      <c r="BS37" s="78">
        <v>15156.8</v>
      </c>
      <c r="BT37" s="75">
        <v>24956.13</v>
      </c>
      <c r="BU37" s="75">
        <v>16086.19</v>
      </c>
    </row>
    <row r="38" spans="1:73">
      <c r="A38" s="72" t="s">
        <v>373</v>
      </c>
      <c r="B38" s="74" t="s">
        <v>207</v>
      </c>
      <c r="C38" s="74" t="s">
        <v>207</v>
      </c>
      <c r="D38" s="74" t="s">
        <v>207</v>
      </c>
      <c r="E38" s="74" t="s">
        <v>207</v>
      </c>
      <c r="F38" s="74" t="s">
        <v>207</v>
      </c>
      <c r="G38" s="74" t="s">
        <v>207</v>
      </c>
      <c r="H38" s="74" t="s">
        <v>207</v>
      </c>
      <c r="I38" s="74" t="s">
        <v>207</v>
      </c>
      <c r="J38" s="74" t="s">
        <v>207</v>
      </c>
      <c r="K38" s="74" t="s">
        <v>207</v>
      </c>
      <c r="L38" s="74" t="s">
        <v>207</v>
      </c>
      <c r="M38" s="74" t="s">
        <v>207</v>
      </c>
      <c r="N38" s="74" t="s">
        <v>207</v>
      </c>
      <c r="O38" s="74" t="s">
        <v>207</v>
      </c>
      <c r="P38" s="74" t="s">
        <v>207</v>
      </c>
      <c r="Q38" s="74" t="s">
        <v>207</v>
      </c>
      <c r="R38" s="74" t="s">
        <v>207</v>
      </c>
      <c r="S38" s="74" t="s">
        <v>207</v>
      </c>
      <c r="T38" s="74" t="s">
        <v>207</v>
      </c>
      <c r="U38" s="74" t="s">
        <v>207</v>
      </c>
      <c r="V38" s="74" t="s">
        <v>207</v>
      </c>
      <c r="W38" s="74" t="s">
        <v>207</v>
      </c>
      <c r="X38" s="74" t="s">
        <v>207</v>
      </c>
      <c r="Y38" s="74" t="s">
        <v>207</v>
      </c>
      <c r="Z38" s="74" t="s">
        <v>207</v>
      </c>
      <c r="AA38" s="74" t="s">
        <v>207</v>
      </c>
      <c r="AB38" s="74" t="s">
        <v>207</v>
      </c>
      <c r="AC38" s="74" t="s">
        <v>207</v>
      </c>
      <c r="AD38" s="74" t="s">
        <v>207</v>
      </c>
      <c r="AE38" s="74" t="s">
        <v>207</v>
      </c>
      <c r="AF38" s="74" t="s">
        <v>207</v>
      </c>
      <c r="AG38" s="74" t="s">
        <v>207</v>
      </c>
      <c r="AH38" s="74" t="s">
        <v>207</v>
      </c>
      <c r="AI38" s="74" t="s">
        <v>207</v>
      </c>
      <c r="AJ38" s="74" t="s">
        <v>207</v>
      </c>
      <c r="AK38" s="74" t="s">
        <v>207</v>
      </c>
      <c r="AL38" s="74" t="s">
        <v>207</v>
      </c>
      <c r="AM38" s="74" t="s">
        <v>207</v>
      </c>
      <c r="AN38" s="74" t="s">
        <v>207</v>
      </c>
      <c r="AO38" s="74" t="s">
        <v>207</v>
      </c>
      <c r="AP38" s="74" t="s">
        <v>207</v>
      </c>
      <c r="AQ38" s="74" t="s">
        <v>207</v>
      </c>
      <c r="AR38" s="74" t="s">
        <v>207</v>
      </c>
      <c r="AS38" s="74" t="s">
        <v>207</v>
      </c>
      <c r="AT38" s="74" t="s">
        <v>207</v>
      </c>
      <c r="AU38" s="74" t="s">
        <v>207</v>
      </c>
      <c r="AV38" s="74" t="s">
        <v>207</v>
      </c>
      <c r="AW38" s="74" t="s">
        <v>207</v>
      </c>
      <c r="AX38" s="74" t="s">
        <v>207</v>
      </c>
      <c r="AY38" s="74" t="s">
        <v>207</v>
      </c>
      <c r="AZ38" s="74" t="s">
        <v>207</v>
      </c>
      <c r="BA38" s="74" t="s">
        <v>207</v>
      </c>
      <c r="BB38" s="74" t="s">
        <v>207</v>
      </c>
      <c r="BC38" s="74" t="s">
        <v>207</v>
      </c>
      <c r="BD38" s="74" t="s">
        <v>207</v>
      </c>
      <c r="BE38" s="74" t="s">
        <v>207</v>
      </c>
      <c r="BF38" s="74" t="s">
        <v>207</v>
      </c>
      <c r="BG38" s="74" t="s">
        <v>207</v>
      </c>
      <c r="BH38" s="74" t="s">
        <v>207</v>
      </c>
      <c r="BI38" s="74" t="s">
        <v>207</v>
      </c>
      <c r="BJ38" s="74" t="s">
        <v>207</v>
      </c>
      <c r="BK38" s="74" t="s">
        <v>207</v>
      </c>
      <c r="BL38" s="74" t="s">
        <v>207</v>
      </c>
      <c r="BM38" s="74" t="s">
        <v>207</v>
      </c>
      <c r="BN38" s="74" t="s">
        <v>207</v>
      </c>
      <c r="BO38" s="74" t="s">
        <v>207</v>
      </c>
      <c r="BP38" s="74" t="s">
        <v>207</v>
      </c>
      <c r="BQ38" s="74" t="s">
        <v>207</v>
      </c>
      <c r="BR38" s="74" t="s">
        <v>207</v>
      </c>
      <c r="BS38" s="74" t="s">
        <v>207</v>
      </c>
      <c r="BT38" s="74" t="s">
        <v>207</v>
      </c>
      <c r="BU38" s="74" t="s">
        <v>207</v>
      </c>
    </row>
    <row r="39" spans="1:73">
      <c r="A39" s="72" t="s">
        <v>375</v>
      </c>
      <c r="B39" s="73" t="s">
        <v>207</v>
      </c>
      <c r="C39" s="73" t="s">
        <v>207</v>
      </c>
      <c r="D39" s="73" t="s">
        <v>207</v>
      </c>
      <c r="E39" s="73" t="s">
        <v>207</v>
      </c>
      <c r="F39" s="73" t="s">
        <v>207</v>
      </c>
      <c r="G39" s="73" t="s">
        <v>207</v>
      </c>
      <c r="H39" s="73" t="s">
        <v>207</v>
      </c>
      <c r="I39" s="73" t="s">
        <v>207</v>
      </c>
      <c r="J39" s="73" t="s">
        <v>207</v>
      </c>
      <c r="K39" s="73" t="s">
        <v>207</v>
      </c>
      <c r="L39" s="73" t="s">
        <v>207</v>
      </c>
      <c r="M39" s="73" t="s">
        <v>207</v>
      </c>
      <c r="N39" s="73" t="s">
        <v>207</v>
      </c>
      <c r="O39" s="73" t="s">
        <v>207</v>
      </c>
      <c r="P39" s="73" t="s">
        <v>207</v>
      </c>
      <c r="Q39" s="73" t="s">
        <v>207</v>
      </c>
      <c r="R39" s="73" t="s">
        <v>207</v>
      </c>
      <c r="S39" s="73" t="s">
        <v>207</v>
      </c>
      <c r="T39" s="73" t="s">
        <v>207</v>
      </c>
      <c r="U39" s="73" t="s">
        <v>207</v>
      </c>
      <c r="V39" s="73" t="s">
        <v>207</v>
      </c>
      <c r="W39" s="73" t="s">
        <v>207</v>
      </c>
      <c r="X39" s="73" t="s">
        <v>207</v>
      </c>
      <c r="Y39" s="73" t="s">
        <v>207</v>
      </c>
      <c r="Z39" s="73" t="s">
        <v>207</v>
      </c>
      <c r="AA39" s="73" t="s">
        <v>207</v>
      </c>
      <c r="AB39" s="73" t="s">
        <v>207</v>
      </c>
      <c r="AC39" s="73" t="s">
        <v>207</v>
      </c>
      <c r="AD39" s="73" t="s">
        <v>207</v>
      </c>
      <c r="AE39" s="73" t="s">
        <v>207</v>
      </c>
      <c r="AF39" s="73" t="s">
        <v>207</v>
      </c>
      <c r="AG39" s="73" t="s">
        <v>207</v>
      </c>
      <c r="AH39" s="73" t="s">
        <v>207</v>
      </c>
      <c r="AI39" s="73" t="s">
        <v>207</v>
      </c>
      <c r="AJ39" s="73" t="s">
        <v>207</v>
      </c>
      <c r="AK39" s="73" t="s">
        <v>207</v>
      </c>
      <c r="AL39" s="73" t="s">
        <v>207</v>
      </c>
      <c r="AM39" s="73" t="s">
        <v>207</v>
      </c>
      <c r="AN39" s="73" t="s">
        <v>207</v>
      </c>
      <c r="AO39" s="73" t="s">
        <v>207</v>
      </c>
      <c r="AP39" s="73" t="s">
        <v>207</v>
      </c>
      <c r="AQ39" s="73" t="s">
        <v>207</v>
      </c>
      <c r="AR39" s="73" t="s">
        <v>207</v>
      </c>
      <c r="AS39" s="73" t="s">
        <v>207</v>
      </c>
      <c r="AT39" s="73" t="s">
        <v>207</v>
      </c>
      <c r="AU39" s="73" t="s">
        <v>207</v>
      </c>
      <c r="AV39" s="73" t="s">
        <v>207</v>
      </c>
      <c r="AW39" s="73" t="s">
        <v>207</v>
      </c>
      <c r="AX39" s="73" t="s">
        <v>207</v>
      </c>
      <c r="AY39" s="73" t="s">
        <v>207</v>
      </c>
      <c r="AZ39" s="73" t="s">
        <v>207</v>
      </c>
      <c r="BA39" s="73" t="s">
        <v>207</v>
      </c>
      <c r="BB39" s="73" t="s">
        <v>207</v>
      </c>
      <c r="BC39" s="73" t="s">
        <v>207</v>
      </c>
      <c r="BD39" s="73" t="s">
        <v>207</v>
      </c>
      <c r="BE39" s="73" t="s">
        <v>207</v>
      </c>
      <c r="BF39" s="73" t="s">
        <v>207</v>
      </c>
      <c r="BG39" s="73" t="s">
        <v>207</v>
      </c>
      <c r="BH39" s="73" t="s">
        <v>207</v>
      </c>
      <c r="BI39" s="73" t="s">
        <v>207</v>
      </c>
      <c r="BJ39" s="73" t="s">
        <v>207</v>
      </c>
      <c r="BK39" s="73" t="s">
        <v>207</v>
      </c>
      <c r="BL39" s="73" t="s">
        <v>207</v>
      </c>
      <c r="BM39" s="73" t="s">
        <v>207</v>
      </c>
      <c r="BN39" s="73" t="s">
        <v>207</v>
      </c>
      <c r="BO39" s="73" t="s">
        <v>207</v>
      </c>
      <c r="BP39" s="73" t="s">
        <v>207</v>
      </c>
      <c r="BQ39" s="73" t="s">
        <v>207</v>
      </c>
      <c r="BR39" s="73" t="s">
        <v>207</v>
      </c>
      <c r="BS39" s="73" t="s">
        <v>207</v>
      </c>
      <c r="BT39" s="73" t="s">
        <v>207</v>
      </c>
      <c r="BU39" s="73" t="s">
        <v>207</v>
      </c>
    </row>
    <row r="40" spans="1:73">
      <c r="A40" s="72" t="s">
        <v>377</v>
      </c>
      <c r="B40" s="76">
        <v>15883.85</v>
      </c>
      <c r="C40" s="76">
        <v>71078.14</v>
      </c>
      <c r="D40" s="76">
        <v>2362.36</v>
      </c>
      <c r="E40" s="76">
        <v>38578.339999999997</v>
      </c>
      <c r="F40" s="76">
        <v>1657.18</v>
      </c>
      <c r="G40" s="76">
        <v>1763.16</v>
      </c>
      <c r="H40" s="76">
        <v>5146.88</v>
      </c>
      <c r="I40" s="76">
        <v>1365.14</v>
      </c>
      <c r="J40" s="76">
        <v>3708.67</v>
      </c>
      <c r="K40" s="76">
        <v>1100.3499999999999</v>
      </c>
      <c r="L40" s="76">
        <v>343.86</v>
      </c>
      <c r="M40" s="76">
        <v>1591.04</v>
      </c>
      <c r="N40" s="77">
        <v>11.8</v>
      </c>
      <c r="O40" s="76">
        <v>3616.79</v>
      </c>
      <c r="P40" s="76">
        <v>1346.87</v>
      </c>
      <c r="Q40" s="76">
        <v>4071.02</v>
      </c>
      <c r="R40" s="76">
        <v>1744.84</v>
      </c>
      <c r="S40" s="76">
        <v>1681.53</v>
      </c>
      <c r="T40" s="76">
        <v>4162.99</v>
      </c>
      <c r="U40" s="76">
        <v>13172.31</v>
      </c>
      <c r="V40" s="76">
        <v>7210.88</v>
      </c>
      <c r="W40" s="76">
        <v>2243.83</v>
      </c>
      <c r="X40" s="76">
        <v>12437.09</v>
      </c>
      <c r="Y40" s="76">
        <v>26257.42</v>
      </c>
      <c r="Z40" s="77">
        <v>43719.1</v>
      </c>
      <c r="AA40" s="76">
        <v>111973.45</v>
      </c>
      <c r="AB40" s="76">
        <v>16195.59</v>
      </c>
      <c r="AC40" s="76">
        <v>34478.81</v>
      </c>
      <c r="AD40" s="76">
        <v>5221.8900000000003</v>
      </c>
      <c r="AE40" s="76">
        <v>61659.360000000001</v>
      </c>
      <c r="AF40" s="76">
        <v>20302.810000000001</v>
      </c>
      <c r="AG40" s="77">
        <v>3137.2</v>
      </c>
      <c r="AH40" s="77">
        <v>15208.1</v>
      </c>
      <c r="AI40" s="76">
        <v>483.47</v>
      </c>
      <c r="AJ40" s="76">
        <v>7610.92</v>
      </c>
      <c r="AK40" s="76">
        <v>3314.78</v>
      </c>
      <c r="AL40" s="76">
        <v>9607.41</v>
      </c>
      <c r="AM40" s="76">
        <v>4052.52</v>
      </c>
      <c r="AN40" s="77">
        <v>1621.7</v>
      </c>
      <c r="AO40" s="77">
        <v>34968.800000000003</v>
      </c>
      <c r="AP40" s="76">
        <v>431.41</v>
      </c>
      <c r="AQ40" s="76">
        <v>14447.51</v>
      </c>
      <c r="AR40" s="76">
        <v>5695.41</v>
      </c>
      <c r="AS40" s="76">
        <v>11935.36</v>
      </c>
      <c r="AT40" s="76">
        <v>7073.46</v>
      </c>
      <c r="AU40" s="76">
        <v>16701.86</v>
      </c>
      <c r="AV40" s="76">
        <v>14333.72</v>
      </c>
      <c r="AW40" s="76">
        <v>44130.78</v>
      </c>
      <c r="AX40" s="76">
        <v>14489.05</v>
      </c>
      <c r="AY40" s="76">
        <v>126091.55</v>
      </c>
      <c r="AZ40" s="77">
        <v>31561.1</v>
      </c>
      <c r="BA40" s="76">
        <v>37991.410000000003</v>
      </c>
      <c r="BB40" s="76">
        <v>2560.36</v>
      </c>
      <c r="BC40" s="76">
        <v>3160.31</v>
      </c>
      <c r="BD40" s="76">
        <v>9330.0300000000007</v>
      </c>
      <c r="BE40" s="76">
        <v>17971.13</v>
      </c>
      <c r="BF40" s="76">
        <v>12138.42</v>
      </c>
      <c r="BG40" s="77">
        <v>1424</v>
      </c>
      <c r="BH40" s="76">
        <v>4800.87</v>
      </c>
      <c r="BI40" s="77">
        <v>128733</v>
      </c>
      <c r="BJ40" s="76">
        <v>1195.3599999999999</v>
      </c>
      <c r="BK40" s="76">
        <v>3981.13</v>
      </c>
      <c r="BL40" s="76">
        <v>603.62</v>
      </c>
      <c r="BM40" s="76">
        <v>30487.25</v>
      </c>
      <c r="BN40" s="76">
        <v>1891.48</v>
      </c>
      <c r="BO40" s="76">
        <v>10736.44</v>
      </c>
      <c r="BP40" s="76">
        <v>11112.23</v>
      </c>
      <c r="BQ40" s="76">
        <v>15556.91</v>
      </c>
      <c r="BR40" s="76">
        <v>11175.84</v>
      </c>
      <c r="BS40" s="77">
        <v>6220.5</v>
      </c>
      <c r="BT40" s="76">
        <v>6382.89</v>
      </c>
      <c r="BU40" s="77">
        <v>33967.4</v>
      </c>
    </row>
    <row r="41" spans="1:73">
      <c r="A41" s="72" t="s">
        <v>379</v>
      </c>
      <c r="B41" s="75">
        <v>1873780.33</v>
      </c>
      <c r="C41" s="75">
        <v>1142406.27</v>
      </c>
      <c r="D41" s="75">
        <v>926067.89</v>
      </c>
      <c r="E41" s="75">
        <v>619877.34</v>
      </c>
      <c r="F41" s="75">
        <v>2409276.0699999998</v>
      </c>
      <c r="G41" s="75">
        <v>393961.83</v>
      </c>
      <c r="H41" s="75">
        <v>1375966.83</v>
      </c>
      <c r="I41" s="75">
        <v>640485.39</v>
      </c>
      <c r="J41" s="75">
        <v>1041308.48</v>
      </c>
      <c r="K41" s="75">
        <v>733803.66</v>
      </c>
      <c r="L41" s="75">
        <v>723996.27</v>
      </c>
      <c r="M41" s="75">
        <v>934202.71</v>
      </c>
      <c r="N41" s="75">
        <v>620645.98</v>
      </c>
      <c r="O41" s="75">
        <v>786266.05</v>
      </c>
      <c r="P41" s="75">
        <v>709099.12</v>
      </c>
      <c r="Q41" s="75">
        <v>658977.73</v>
      </c>
      <c r="R41" s="75">
        <v>355071.94</v>
      </c>
      <c r="S41" s="78">
        <v>968190.3</v>
      </c>
      <c r="T41" s="75">
        <v>1056311.1599999999</v>
      </c>
      <c r="U41" s="75">
        <v>1176760.05</v>
      </c>
      <c r="V41" s="75">
        <v>277802.33</v>
      </c>
      <c r="W41" s="75">
        <v>1669953.65</v>
      </c>
      <c r="X41" s="75">
        <v>647871.85</v>
      </c>
      <c r="Y41" s="75">
        <v>900784.91</v>
      </c>
      <c r="Z41" s="75">
        <v>507173.43</v>
      </c>
      <c r="AA41" s="75">
        <v>479248.71</v>
      </c>
      <c r="AB41" s="75">
        <v>3017708.84</v>
      </c>
      <c r="AC41" s="75">
        <v>563687.39</v>
      </c>
      <c r="AD41" s="75">
        <v>313539.87</v>
      </c>
      <c r="AE41" s="75">
        <v>204569.94</v>
      </c>
      <c r="AF41" s="75">
        <v>2267722.12</v>
      </c>
      <c r="AG41" s="75">
        <v>455714.75</v>
      </c>
      <c r="AH41" s="78">
        <v>1183156.2</v>
      </c>
      <c r="AI41" s="75">
        <v>284795.77</v>
      </c>
      <c r="AJ41" s="75">
        <v>1557113.61</v>
      </c>
      <c r="AK41" s="75">
        <v>918470.42</v>
      </c>
      <c r="AL41" s="75">
        <v>1663887.21</v>
      </c>
      <c r="AM41" s="75">
        <v>1047348.31</v>
      </c>
      <c r="AN41" s="75">
        <v>703194.05</v>
      </c>
      <c r="AO41" s="75">
        <v>913021.37</v>
      </c>
      <c r="AP41" s="75">
        <v>1174783.99</v>
      </c>
      <c r="AQ41" s="75">
        <v>670964.79</v>
      </c>
      <c r="AR41" s="75">
        <v>565702.88</v>
      </c>
      <c r="AS41" s="75">
        <v>545216.64</v>
      </c>
      <c r="AT41" s="78">
        <v>1199469.1000000001</v>
      </c>
      <c r="AU41" s="75">
        <v>748001.65</v>
      </c>
      <c r="AV41" s="75">
        <v>1652659.93</v>
      </c>
      <c r="AW41" s="75">
        <v>774629.74</v>
      </c>
      <c r="AX41" s="75">
        <v>652723.12</v>
      </c>
      <c r="AY41" s="75">
        <v>328179.33</v>
      </c>
      <c r="AZ41" s="75">
        <v>1000114.25</v>
      </c>
      <c r="BA41" s="75">
        <v>473949.34</v>
      </c>
      <c r="BB41" s="75">
        <v>1494910.62</v>
      </c>
      <c r="BC41" s="78">
        <v>482055.8</v>
      </c>
      <c r="BD41" s="75">
        <v>1736409.91</v>
      </c>
      <c r="BE41" s="75">
        <v>271711.92</v>
      </c>
      <c r="BF41" s="75">
        <v>1000103.21</v>
      </c>
      <c r="BG41" s="75">
        <v>278336.34999999998</v>
      </c>
      <c r="BH41" s="75">
        <v>1729498.04</v>
      </c>
      <c r="BI41" s="75">
        <v>261217.14</v>
      </c>
      <c r="BJ41" s="75">
        <v>569603.86</v>
      </c>
      <c r="BK41" s="75">
        <v>416352.08</v>
      </c>
      <c r="BL41" s="75">
        <v>1337371.05</v>
      </c>
      <c r="BM41" s="75">
        <v>875558.16</v>
      </c>
      <c r="BN41" s="75">
        <v>27173.57</v>
      </c>
      <c r="BO41" s="75">
        <v>1159245.03</v>
      </c>
      <c r="BP41" s="78">
        <v>1152285.2</v>
      </c>
      <c r="BQ41" s="75">
        <v>1034411.33</v>
      </c>
      <c r="BR41" s="75">
        <v>326125.52</v>
      </c>
      <c r="BS41" s="75">
        <v>727367.21</v>
      </c>
      <c r="BT41" s="75">
        <v>423484.17</v>
      </c>
      <c r="BU41" s="75">
        <v>356231.95</v>
      </c>
    </row>
    <row r="42" spans="1:73">
      <c r="A42" s="72" t="s">
        <v>381</v>
      </c>
      <c r="B42" s="76">
        <v>2059.59</v>
      </c>
      <c r="C42" s="76">
        <v>392302.19</v>
      </c>
      <c r="D42" s="76">
        <v>1481.99</v>
      </c>
      <c r="E42" s="76">
        <v>318199.02</v>
      </c>
      <c r="F42" s="76">
        <v>30957.23</v>
      </c>
      <c r="G42" s="76">
        <v>222841.71</v>
      </c>
      <c r="H42" s="76">
        <v>8660.82</v>
      </c>
      <c r="I42" s="76">
        <v>502173.29</v>
      </c>
      <c r="J42" s="76">
        <v>2950.43</v>
      </c>
      <c r="K42" s="76">
        <v>240501.57</v>
      </c>
      <c r="L42" s="76">
        <v>4.88</v>
      </c>
      <c r="M42" s="77">
        <v>236129.9</v>
      </c>
      <c r="N42" s="77">
        <v>7679.3</v>
      </c>
      <c r="O42" s="76">
        <v>313969.36</v>
      </c>
      <c r="P42" s="76">
        <v>2681.33</v>
      </c>
      <c r="Q42" s="77">
        <v>383183.8</v>
      </c>
      <c r="R42" s="76">
        <v>9.41</v>
      </c>
      <c r="S42" s="76">
        <v>216024.91</v>
      </c>
      <c r="T42" s="76">
        <v>1385.62</v>
      </c>
      <c r="U42" s="76">
        <v>380903.93</v>
      </c>
      <c r="V42" s="76">
        <v>6126.72</v>
      </c>
      <c r="W42" s="76">
        <v>600607.06999999995</v>
      </c>
      <c r="X42" s="76">
        <v>13883.18</v>
      </c>
      <c r="Y42" s="77">
        <v>511601</v>
      </c>
      <c r="Z42" s="76">
        <v>2708.88</v>
      </c>
      <c r="AA42" s="76">
        <v>370347.27</v>
      </c>
      <c r="AB42" s="76">
        <v>5680.42</v>
      </c>
      <c r="AC42" s="76">
        <v>232170.55</v>
      </c>
      <c r="AD42" s="76">
        <v>2473.34</v>
      </c>
      <c r="AE42" s="77">
        <v>180248.2</v>
      </c>
      <c r="AF42" s="76">
        <v>5072.17</v>
      </c>
      <c r="AG42" s="76">
        <v>215964.44</v>
      </c>
      <c r="AH42" s="76">
        <v>11326.26</v>
      </c>
      <c r="AI42" s="77">
        <v>130049.4</v>
      </c>
      <c r="AJ42" s="77">
        <v>12884.4</v>
      </c>
      <c r="AK42" s="76">
        <v>215804.25</v>
      </c>
      <c r="AL42" s="76">
        <v>10878.14</v>
      </c>
      <c r="AM42" s="76">
        <v>347157.79</v>
      </c>
      <c r="AN42" s="76">
        <v>25005.77</v>
      </c>
      <c r="AO42" s="77">
        <v>254659.6</v>
      </c>
      <c r="AP42" s="76">
        <v>15177.95</v>
      </c>
      <c r="AQ42" s="76">
        <v>353946.69</v>
      </c>
      <c r="AR42" s="76">
        <v>18152.560000000001</v>
      </c>
      <c r="AS42" s="76">
        <v>383232.95</v>
      </c>
      <c r="AT42" s="76">
        <v>7018.53</v>
      </c>
      <c r="AU42" s="76">
        <v>256448.88</v>
      </c>
      <c r="AV42" s="76">
        <v>4320.12</v>
      </c>
      <c r="AW42" s="76">
        <v>679464.62</v>
      </c>
      <c r="AX42" s="76">
        <v>7535.07</v>
      </c>
      <c r="AY42" s="76">
        <v>380581.43</v>
      </c>
      <c r="AZ42" s="76">
        <v>305722.73</v>
      </c>
      <c r="BA42" s="76">
        <v>65093.68</v>
      </c>
      <c r="BB42" s="77">
        <v>154103.4</v>
      </c>
      <c r="BC42" s="76">
        <v>121541.32</v>
      </c>
      <c r="BD42" s="76">
        <v>99023.92</v>
      </c>
      <c r="BE42" s="76">
        <v>402516.56</v>
      </c>
      <c r="BF42" s="76">
        <v>325279.43</v>
      </c>
      <c r="BG42" s="76">
        <v>254892.48</v>
      </c>
      <c r="BH42" s="76">
        <v>3441.43</v>
      </c>
      <c r="BI42" s="76">
        <v>330008.48</v>
      </c>
      <c r="BJ42" s="76">
        <v>100074.16</v>
      </c>
      <c r="BK42" s="77">
        <v>231406.8</v>
      </c>
      <c r="BL42" s="76">
        <v>85655.75</v>
      </c>
      <c r="BM42" s="76">
        <v>634226.88</v>
      </c>
      <c r="BN42" s="76">
        <v>219405.01</v>
      </c>
      <c r="BO42" s="76">
        <v>486644.49</v>
      </c>
      <c r="BP42" s="76">
        <v>568.12</v>
      </c>
      <c r="BQ42" s="76">
        <v>671075.68000000005</v>
      </c>
      <c r="BR42" s="76">
        <v>7.83</v>
      </c>
      <c r="BS42" s="76">
        <v>539233.31000000006</v>
      </c>
      <c r="BT42" s="76">
        <v>1.58</v>
      </c>
      <c r="BU42" s="76">
        <v>345915.16</v>
      </c>
    </row>
    <row r="43" spans="1:73">
      <c r="A43" s="72" t="s">
        <v>383</v>
      </c>
      <c r="B43" s="75">
        <v>6219.28</v>
      </c>
      <c r="C43" s="75">
        <v>2380.5500000000002</v>
      </c>
      <c r="D43" s="75">
        <v>13925.24</v>
      </c>
      <c r="E43" s="75">
        <v>310.17</v>
      </c>
      <c r="F43" s="75">
        <v>7922.41</v>
      </c>
      <c r="G43" s="75">
        <v>421.22</v>
      </c>
      <c r="H43" s="75">
        <v>21046.63</v>
      </c>
      <c r="I43" s="75">
        <v>4235.67</v>
      </c>
      <c r="J43" s="75">
        <v>23222.19</v>
      </c>
      <c r="K43" s="75">
        <v>29342.41</v>
      </c>
      <c r="L43" s="75">
        <v>18147.32</v>
      </c>
      <c r="M43" s="75">
        <v>32158.73</v>
      </c>
      <c r="N43" s="75">
        <v>33646.17</v>
      </c>
      <c r="O43" s="75">
        <v>50557.37</v>
      </c>
      <c r="P43" s="75">
        <v>23916.41</v>
      </c>
      <c r="Q43" s="75">
        <v>70896.460000000006</v>
      </c>
      <c r="R43" s="75">
        <v>11817.56</v>
      </c>
      <c r="S43" s="75">
        <v>56389.43</v>
      </c>
      <c r="T43" s="75">
        <v>4633.41</v>
      </c>
      <c r="U43" s="75">
        <v>10267.74</v>
      </c>
      <c r="V43" s="75">
        <v>4123.67</v>
      </c>
      <c r="W43" s="75">
        <v>2630.94</v>
      </c>
      <c r="X43" s="75">
        <v>7037.54</v>
      </c>
      <c r="Y43" s="75">
        <v>472.24</v>
      </c>
      <c r="Z43" s="75">
        <v>7752.37</v>
      </c>
      <c r="AA43" s="75">
        <v>2591.5300000000002</v>
      </c>
      <c r="AB43" s="75">
        <v>11973.34</v>
      </c>
      <c r="AC43" s="75">
        <v>214.51</v>
      </c>
      <c r="AD43" s="75">
        <v>14446.19</v>
      </c>
      <c r="AE43" s="75">
        <v>42380.67</v>
      </c>
      <c r="AF43" s="75">
        <v>5078.71</v>
      </c>
      <c r="AG43" s="75">
        <v>40182.67</v>
      </c>
      <c r="AH43" s="75">
        <v>20923.16</v>
      </c>
      <c r="AI43" s="75">
        <v>66991.63</v>
      </c>
      <c r="AJ43" s="75">
        <v>12054.99</v>
      </c>
      <c r="AK43" s="75">
        <v>53143.33</v>
      </c>
      <c r="AL43" s="75">
        <v>17607.54</v>
      </c>
      <c r="AM43" s="75">
        <v>66539.56</v>
      </c>
      <c r="AN43" s="75">
        <v>12593.05</v>
      </c>
      <c r="AO43" s="75">
        <v>50096.79</v>
      </c>
      <c r="AP43" s="75">
        <v>8612.7800000000007</v>
      </c>
      <c r="AQ43" s="75">
        <v>39892.04</v>
      </c>
      <c r="AR43" s="75">
        <v>10444.969999999999</v>
      </c>
      <c r="AS43" s="75">
        <v>11489.47</v>
      </c>
      <c r="AT43" s="75">
        <v>20439.689999999999</v>
      </c>
      <c r="AU43" s="75">
        <v>1223.26</v>
      </c>
      <c r="AV43" s="75">
        <v>26638.48</v>
      </c>
      <c r="AW43" s="75">
        <v>2838.01</v>
      </c>
      <c r="AX43" s="75">
        <v>11079.83</v>
      </c>
      <c r="AY43" s="75">
        <v>10023.06</v>
      </c>
      <c r="AZ43" s="75">
        <v>2884.88</v>
      </c>
      <c r="BA43" s="75">
        <v>10389.65</v>
      </c>
      <c r="BB43" s="75">
        <v>2971.06</v>
      </c>
      <c r="BC43" s="75">
        <v>1914.51</v>
      </c>
      <c r="BD43" s="75">
        <v>9011.86</v>
      </c>
      <c r="BE43" s="75">
        <v>25230.37</v>
      </c>
      <c r="BF43" s="78">
        <v>17322.400000000001</v>
      </c>
      <c r="BG43" s="75">
        <v>19691.05</v>
      </c>
      <c r="BH43" s="75">
        <v>13986.13</v>
      </c>
      <c r="BI43" s="75">
        <v>19594.23</v>
      </c>
      <c r="BJ43" s="75">
        <v>18206.79</v>
      </c>
      <c r="BK43" s="75">
        <v>28865.95</v>
      </c>
      <c r="BL43" s="75">
        <v>12219.86</v>
      </c>
      <c r="BM43" s="75">
        <v>54041.51</v>
      </c>
      <c r="BN43" s="75">
        <v>5512.48</v>
      </c>
      <c r="BO43" s="75">
        <v>21500.62</v>
      </c>
      <c r="BP43" s="75">
        <v>9776.76</v>
      </c>
      <c r="BQ43" s="75">
        <v>9612.18</v>
      </c>
      <c r="BR43" s="78">
        <v>11050.9</v>
      </c>
      <c r="BS43" s="78">
        <v>18391.599999999999</v>
      </c>
      <c r="BT43" s="75">
        <v>17929.759999999998</v>
      </c>
      <c r="BU43" s="75">
        <v>8753.82</v>
      </c>
    </row>
    <row r="44" spans="1:73">
      <c r="A44" s="72" t="s">
        <v>387</v>
      </c>
      <c r="B44" s="77">
        <v>6161</v>
      </c>
      <c r="C44" s="76">
        <v>29391.64</v>
      </c>
      <c r="D44" s="77">
        <v>5339.2</v>
      </c>
      <c r="E44" s="76">
        <v>20418.48</v>
      </c>
      <c r="F44" s="76">
        <v>134618.85999999999</v>
      </c>
      <c r="G44" s="76">
        <v>49632.59</v>
      </c>
      <c r="H44" s="76">
        <v>733137.72</v>
      </c>
      <c r="I44" s="76">
        <v>128502.44</v>
      </c>
      <c r="J44" s="76">
        <v>326384.63</v>
      </c>
      <c r="K44" s="76">
        <v>123755.04</v>
      </c>
      <c r="L44" s="76">
        <v>15380.85</v>
      </c>
      <c r="M44" s="76">
        <v>75852.77</v>
      </c>
      <c r="N44" s="76">
        <v>26832.02</v>
      </c>
      <c r="O44" s="76">
        <v>46628.72</v>
      </c>
      <c r="P44" s="76">
        <v>10079.31</v>
      </c>
      <c r="Q44" s="76">
        <v>44062.05</v>
      </c>
      <c r="R44" s="76">
        <v>9920.99</v>
      </c>
      <c r="S44" s="76">
        <v>14278.99</v>
      </c>
      <c r="T44" s="76">
        <v>6476.27</v>
      </c>
      <c r="U44" s="76">
        <v>46971.49</v>
      </c>
      <c r="V44" s="76">
        <v>16968.29</v>
      </c>
      <c r="W44" s="76">
        <v>32254.31</v>
      </c>
      <c r="X44" s="76">
        <v>89471.37</v>
      </c>
      <c r="Y44" s="76">
        <v>22714.27</v>
      </c>
      <c r="Z44" s="76">
        <v>26580.75</v>
      </c>
      <c r="AA44" s="76">
        <v>6219.93</v>
      </c>
      <c r="AB44" s="76">
        <v>14017.54</v>
      </c>
      <c r="AC44" s="76">
        <v>22744.73</v>
      </c>
      <c r="AD44" s="76">
        <v>25447.759999999998</v>
      </c>
      <c r="AE44" s="77">
        <v>89384.4</v>
      </c>
      <c r="AF44" s="76">
        <v>42160.72</v>
      </c>
      <c r="AG44" s="76">
        <v>132145.96</v>
      </c>
      <c r="AH44" s="77">
        <v>30775.8</v>
      </c>
      <c r="AI44" s="76">
        <v>75663.86</v>
      </c>
      <c r="AJ44" s="76">
        <v>35524.33</v>
      </c>
      <c r="AK44" s="77">
        <v>47669.4</v>
      </c>
      <c r="AL44" s="76">
        <v>77098.58</v>
      </c>
      <c r="AM44" s="76">
        <v>61326.77</v>
      </c>
      <c r="AN44" s="76">
        <v>28644.51</v>
      </c>
      <c r="AO44" s="77">
        <v>50006.6</v>
      </c>
      <c r="AP44" s="76">
        <v>29510.54</v>
      </c>
      <c r="AQ44" s="76">
        <v>71579.820000000007</v>
      </c>
      <c r="AR44" s="76">
        <v>28454.73</v>
      </c>
      <c r="AS44" s="76">
        <v>74159.48</v>
      </c>
      <c r="AT44" s="76">
        <v>24641.26</v>
      </c>
      <c r="AU44" s="77">
        <v>44059.4</v>
      </c>
      <c r="AV44" s="76">
        <v>25312.27</v>
      </c>
      <c r="AW44" s="76">
        <v>47885.760000000002</v>
      </c>
      <c r="AX44" s="76">
        <v>397734.54</v>
      </c>
      <c r="AY44" s="76">
        <v>10417.129999999999</v>
      </c>
      <c r="AZ44" s="76">
        <v>21984.46</v>
      </c>
      <c r="BA44" s="77">
        <v>39164.699999999997</v>
      </c>
      <c r="BB44" s="76">
        <v>14813.09</v>
      </c>
      <c r="BC44" s="76">
        <v>58828.59</v>
      </c>
      <c r="BD44" s="76">
        <v>206399.19</v>
      </c>
      <c r="BE44" s="76">
        <v>149717.32</v>
      </c>
      <c r="BF44" s="76">
        <v>37123.96</v>
      </c>
      <c r="BG44" s="76">
        <v>137070.92000000001</v>
      </c>
      <c r="BH44" s="76">
        <v>8195.8799999999992</v>
      </c>
      <c r="BI44" s="76">
        <v>78279.149999999994</v>
      </c>
      <c r="BJ44" s="76">
        <v>18677.98</v>
      </c>
      <c r="BK44" s="76">
        <v>112090.46</v>
      </c>
      <c r="BL44" s="76">
        <v>11251.16</v>
      </c>
      <c r="BM44" s="76">
        <v>150632.69</v>
      </c>
      <c r="BN44" s="76">
        <v>12828.82</v>
      </c>
      <c r="BO44" s="76">
        <v>113303.58</v>
      </c>
      <c r="BP44" s="76">
        <v>14103.68</v>
      </c>
      <c r="BQ44" s="76">
        <v>81865.350000000006</v>
      </c>
      <c r="BR44" s="76">
        <v>10591.33</v>
      </c>
      <c r="BS44" s="77">
        <v>50590.5</v>
      </c>
      <c r="BT44" s="76">
        <v>16991.12</v>
      </c>
      <c r="BU44" s="76">
        <v>62002.11</v>
      </c>
    </row>
    <row r="45" spans="1:73">
      <c r="A45" s="72" t="s">
        <v>389</v>
      </c>
      <c r="B45" s="75">
        <v>6251.59</v>
      </c>
      <c r="C45" s="75">
        <v>91571.68</v>
      </c>
      <c r="D45" s="75">
        <v>10589.05</v>
      </c>
      <c r="E45" s="75">
        <v>67516.27</v>
      </c>
      <c r="F45" s="78">
        <v>22882.7</v>
      </c>
      <c r="G45" s="75">
        <v>161785.39000000001</v>
      </c>
      <c r="H45" s="75">
        <v>11519.28</v>
      </c>
      <c r="I45" s="78">
        <v>203197.6</v>
      </c>
      <c r="J45" s="75">
        <v>208894.82</v>
      </c>
      <c r="K45" s="75">
        <v>355651.76</v>
      </c>
      <c r="L45" s="75">
        <v>7275.58</v>
      </c>
      <c r="M45" s="75">
        <v>201576.16</v>
      </c>
      <c r="N45" s="75">
        <v>9576.98</v>
      </c>
      <c r="O45" s="78">
        <v>210325.3</v>
      </c>
      <c r="P45" s="75">
        <v>8218.93</v>
      </c>
      <c r="Q45" s="75">
        <v>212886.39</v>
      </c>
      <c r="R45" s="75">
        <v>10067.44</v>
      </c>
      <c r="S45" s="75">
        <v>160702.84</v>
      </c>
      <c r="T45" s="75">
        <v>12186.01</v>
      </c>
      <c r="U45" s="75">
        <v>200283.44</v>
      </c>
      <c r="V45" s="75">
        <v>90311.62</v>
      </c>
      <c r="W45" s="75">
        <v>223933.76</v>
      </c>
      <c r="X45" s="75">
        <v>404784.85</v>
      </c>
      <c r="Y45" s="75">
        <v>298732.99</v>
      </c>
      <c r="Z45" s="75">
        <v>7598.54</v>
      </c>
      <c r="AA45" s="75">
        <v>137841.48000000001</v>
      </c>
      <c r="AB45" s="75">
        <v>9565.5300000000007</v>
      </c>
      <c r="AC45" s="75">
        <v>160945.31</v>
      </c>
      <c r="AD45" s="75">
        <v>10259.16</v>
      </c>
      <c r="AE45" s="75">
        <v>230319.41</v>
      </c>
      <c r="AF45" s="75">
        <v>419615.71</v>
      </c>
      <c r="AG45" s="75">
        <v>413110.65</v>
      </c>
      <c r="AH45" s="75">
        <v>212583.62</v>
      </c>
      <c r="AI45" s="75">
        <v>254785.27</v>
      </c>
      <c r="AJ45" s="75">
        <v>264754.25</v>
      </c>
      <c r="AK45" s="78">
        <v>274250.7</v>
      </c>
      <c r="AL45" s="75">
        <v>502028.79</v>
      </c>
      <c r="AM45" s="78">
        <v>352959.6</v>
      </c>
      <c r="AN45" s="78">
        <v>277776.3</v>
      </c>
      <c r="AO45" s="78">
        <v>308326.59999999998</v>
      </c>
      <c r="AP45" s="75">
        <v>285929.56</v>
      </c>
      <c r="AQ45" s="75">
        <v>410726.24</v>
      </c>
      <c r="AR45" s="75">
        <v>272919.45</v>
      </c>
      <c r="AS45" s="75">
        <v>292975.68</v>
      </c>
      <c r="AT45" s="75">
        <v>218037.26</v>
      </c>
      <c r="AU45" s="75">
        <v>372300.59</v>
      </c>
      <c r="AV45" s="75">
        <v>10608.45</v>
      </c>
      <c r="AW45" s="75">
        <v>452076.82</v>
      </c>
      <c r="AX45" s="75">
        <v>8467.4599999999991</v>
      </c>
      <c r="AY45" s="75">
        <v>239449.23</v>
      </c>
      <c r="AZ45" s="75">
        <v>199361.81</v>
      </c>
      <c r="BA45" s="75">
        <v>154044.29</v>
      </c>
      <c r="BB45" s="75">
        <v>12829.22</v>
      </c>
      <c r="BC45" s="75">
        <v>126807.99</v>
      </c>
      <c r="BD45" s="75">
        <v>223677.97</v>
      </c>
      <c r="BE45" s="75">
        <v>328809.65000000002</v>
      </c>
      <c r="BF45" s="75">
        <v>355375.75</v>
      </c>
      <c r="BG45" s="75">
        <v>465941.91</v>
      </c>
      <c r="BH45" s="78">
        <v>7239.1</v>
      </c>
      <c r="BI45" s="75">
        <v>279897.32</v>
      </c>
      <c r="BJ45" s="75">
        <v>11749.65</v>
      </c>
      <c r="BK45" s="75">
        <v>311115.84000000003</v>
      </c>
      <c r="BL45" s="75">
        <v>10579.54</v>
      </c>
      <c r="BM45" s="75">
        <v>523918.67</v>
      </c>
      <c r="BN45" s="75">
        <v>9745.64</v>
      </c>
      <c r="BO45" s="75">
        <v>352541.32</v>
      </c>
      <c r="BP45" s="75">
        <v>209957.96</v>
      </c>
      <c r="BQ45" s="78">
        <v>334759.5</v>
      </c>
      <c r="BR45" s="75">
        <v>78448.62</v>
      </c>
      <c r="BS45" s="75">
        <v>653055.43999999994</v>
      </c>
      <c r="BT45" s="75">
        <v>8803.43</v>
      </c>
      <c r="BU45" s="75">
        <v>649160.03</v>
      </c>
    </row>
    <row r="46" spans="1:73">
      <c r="A46" s="72" t="s">
        <v>391</v>
      </c>
      <c r="B46" s="76">
        <v>8562.26</v>
      </c>
      <c r="C46" s="76">
        <v>2524.4299999999998</v>
      </c>
      <c r="D46" s="77">
        <v>6272.3</v>
      </c>
      <c r="E46" s="76">
        <v>36.14</v>
      </c>
      <c r="F46" s="76">
        <v>9648.98</v>
      </c>
      <c r="G46" s="76">
        <v>611.04</v>
      </c>
      <c r="H46" s="77">
        <v>11950.7</v>
      </c>
      <c r="I46" s="76">
        <v>2363.39</v>
      </c>
      <c r="J46" s="76">
        <v>10420.18</v>
      </c>
      <c r="K46" s="76">
        <v>286.39</v>
      </c>
      <c r="L46" s="76">
        <v>12486.34</v>
      </c>
      <c r="M46" s="76">
        <v>139.38</v>
      </c>
      <c r="N46" s="76">
        <v>12300.04</v>
      </c>
      <c r="O46" s="76">
        <v>99.54</v>
      </c>
      <c r="P46" s="76">
        <v>14880.55</v>
      </c>
      <c r="Q46" s="77">
        <v>470.6</v>
      </c>
      <c r="R46" s="76">
        <v>8924.42</v>
      </c>
      <c r="S46" s="76">
        <v>158.97999999999999</v>
      </c>
      <c r="T46" s="77">
        <v>9466.6</v>
      </c>
      <c r="U46" s="76">
        <v>442.38</v>
      </c>
      <c r="V46" s="76">
        <v>8770.15</v>
      </c>
      <c r="W46" s="76">
        <v>690.55</v>
      </c>
      <c r="X46" s="76">
        <v>10040.67</v>
      </c>
      <c r="Y46" s="76">
        <v>3210.31</v>
      </c>
      <c r="Z46" s="76">
        <v>4198.87</v>
      </c>
      <c r="AA46" s="76">
        <v>111.23</v>
      </c>
      <c r="AB46" s="76">
        <v>8353.98</v>
      </c>
      <c r="AC46" s="76">
        <v>58.07</v>
      </c>
      <c r="AD46" s="76">
        <v>5770.62</v>
      </c>
      <c r="AE46" s="77">
        <v>145.80000000000001</v>
      </c>
      <c r="AF46" s="76">
        <v>5625.93</v>
      </c>
      <c r="AG46" s="76">
        <v>862.89</v>
      </c>
      <c r="AH46" s="76">
        <v>4245.68</v>
      </c>
      <c r="AI46" s="76">
        <v>2117.16</v>
      </c>
      <c r="AJ46" s="76">
        <v>6012.67</v>
      </c>
      <c r="AK46" s="76">
        <v>79.89</v>
      </c>
      <c r="AL46" s="76">
        <v>10934.61</v>
      </c>
      <c r="AM46" s="77">
        <v>152</v>
      </c>
      <c r="AN46" s="76">
        <v>10008.379999999999</v>
      </c>
      <c r="AO46" s="76">
        <v>140.13</v>
      </c>
      <c r="AP46" s="76">
        <v>4438.4399999999996</v>
      </c>
      <c r="AQ46" s="76">
        <v>35.56</v>
      </c>
      <c r="AR46" s="76">
        <v>3819.68</v>
      </c>
      <c r="AS46" s="77">
        <v>2133.8000000000002</v>
      </c>
      <c r="AT46" s="76">
        <v>3958.32</v>
      </c>
      <c r="AU46" s="76">
        <v>7.56</v>
      </c>
      <c r="AV46" s="77">
        <v>5540.8</v>
      </c>
      <c r="AW46" s="76">
        <v>1934.15</v>
      </c>
      <c r="AX46" s="76">
        <v>2891.32</v>
      </c>
      <c r="AY46" s="76">
        <v>45.02</v>
      </c>
      <c r="AZ46" s="76">
        <v>1927.61</v>
      </c>
      <c r="BA46" s="76">
        <v>27.04</v>
      </c>
      <c r="BB46" s="77">
        <v>3069.6</v>
      </c>
      <c r="BC46" s="76">
        <v>820.23</v>
      </c>
      <c r="BD46" s="76">
        <v>1905.91</v>
      </c>
      <c r="BE46" s="76">
        <v>1854.45</v>
      </c>
      <c r="BF46" s="76">
        <v>3927.71</v>
      </c>
      <c r="BG46" s="76">
        <v>5505.09</v>
      </c>
      <c r="BH46" s="76">
        <v>32448.09</v>
      </c>
      <c r="BI46" s="76">
        <v>5708.63</v>
      </c>
      <c r="BJ46" s="77">
        <v>2897.6</v>
      </c>
      <c r="BK46" s="76">
        <v>5793.73</v>
      </c>
      <c r="BL46" s="77">
        <v>2589.5</v>
      </c>
      <c r="BM46" s="76">
        <v>5826.97</v>
      </c>
      <c r="BN46" s="77">
        <v>3146</v>
      </c>
      <c r="BO46" s="76">
        <v>372.32</v>
      </c>
      <c r="BP46" s="76">
        <v>2733.19</v>
      </c>
      <c r="BQ46" s="76">
        <v>12.88</v>
      </c>
      <c r="BR46" s="76">
        <v>3350.76</v>
      </c>
      <c r="BS46" s="76">
        <v>65.45</v>
      </c>
      <c r="BT46" s="76">
        <v>2669.75</v>
      </c>
      <c r="BU46" s="76">
        <v>22.28</v>
      </c>
    </row>
    <row r="47" spans="1:73">
      <c r="A47" s="72" t="s">
        <v>393</v>
      </c>
      <c r="B47" s="75">
        <v>9964.65</v>
      </c>
      <c r="C47" s="75">
        <v>396.08</v>
      </c>
      <c r="D47" s="75">
        <v>5218.54</v>
      </c>
      <c r="E47" s="75">
        <v>709.12</v>
      </c>
      <c r="F47" s="75">
        <v>19791.849999999999</v>
      </c>
      <c r="G47" s="75">
        <v>898.38</v>
      </c>
      <c r="H47" s="78">
        <v>2533.3000000000002</v>
      </c>
      <c r="I47" s="75">
        <v>356.68</v>
      </c>
      <c r="J47" s="75">
        <v>37680.120000000003</v>
      </c>
      <c r="K47" s="75">
        <v>339.33</v>
      </c>
      <c r="L47" s="75">
        <v>20117.02</v>
      </c>
      <c r="M47" s="78">
        <v>262.7</v>
      </c>
      <c r="N47" s="75">
        <v>42559.11</v>
      </c>
      <c r="O47" s="75">
        <v>1134.6600000000001</v>
      </c>
      <c r="P47" s="75">
        <v>26036.68</v>
      </c>
      <c r="Q47" s="75">
        <v>725.79</v>
      </c>
      <c r="R47" s="75">
        <v>19160.060000000001</v>
      </c>
      <c r="S47" s="75">
        <v>754.12</v>
      </c>
      <c r="T47" s="75">
        <v>21815.439999999999</v>
      </c>
      <c r="U47" s="78">
        <v>383.8</v>
      </c>
      <c r="V47" s="75">
        <v>19299.62</v>
      </c>
      <c r="W47" s="75">
        <v>653.98</v>
      </c>
      <c r="X47" s="75">
        <v>10748.48</v>
      </c>
      <c r="Y47" s="75">
        <v>652.17999999999995</v>
      </c>
      <c r="Z47" s="75">
        <v>2949.46</v>
      </c>
      <c r="AA47" s="75">
        <v>137.35</v>
      </c>
      <c r="AB47" s="75">
        <v>19076.55</v>
      </c>
      <c r="AC47" s="75">
        <v>183.64</v>
      </c>
      <c r="AD47" s="75">
        <v>24530.89</v>
      </c>
      <c r="AE47" s="75">
        <v>604.79</v>
      </c>
      <c r="AF47" s="75">
        <v>4619.12</v>
      </c>
      <c r="AG47" s="75">
        <v>131.87</v>
      </c>
      <c r="AH47" s="75">
        <v>3986.96</v>
      </c>
      <c r="AI47" s="75">
        <v>259.76</v>
      </c>
      <c r="AJ47" s="75">
        <v>7476.01</v>
      </c>
      <c r="AK47" s="75">
        <v>568.12</v>
      </c>
      <c r="AL47" s="75">
        <v>39356.01</v>
      </c>
      <c r="AM47" s="75">
        <v>278.87</v>
      </c>
      <c r="AN47" s="75">
        <v>3606.19</v>
      </c>
      <c r="AO47" s="75">
        <v>119.07</v>
      </c>
      <c r="AP47" s="75">
        <v>4234.41</v>
      </c>
      <c r="AQ47" s="75">
        <v>523.08000000000004</v>
      </c>
      <c r="AR47" s="75">
        <v>4911.38</v>
      </c>
      <c r="AS47" s="75">
        <v>1292.3399999999999</v>
      </c>
      <c r="AT47" s="75">
        <v>2060.21</v>
      </c>
      <c r="AU47" s="75">
        <v>492.37</v>
      </c>
      <c r="AV47" s="75">
        <v>1433.97</v>
      </c>
      <c r="AW47" s="75">
        <v>98.32</v>
      </c>
      <c r="AX47" s="75">
        <v>3632.63</v>
      </c>
      <c r="AY47" s="75">
        <v>1540.62</v>
      </c>
      <c r="AZ47" s="75">
        <v>5833.29</v>
      </c>
      <c r="BA47" s="75">
        <v>1241.58</v>
      </c>
      <c r="BB47" s="75">
        <v>4153.8500000000004</v>
      </c>
      <c r="BC47" s="75">
        <v>565.39</v>
      </c>
      <c r="BD47" s="75">
        <v>3880.42</v>
      </c>
      <c r="BE47" s="78">
        <v>761.5</v>
      </c>
      <c r="BF47" s="75">
        <v>3443.33</v>
      </c>
      <c r="BG47" s="75">
        <v>345.83</v>
      </c>
      <c r="BH47" s="75">
        <v>3631.16</v>
      </c>
      <c r="BI47" s="75">
        <v>28.25</v>
      </c>
      <c r="BJ47" s="78">
        <v>4180.7</v>
      </c>
      <c r="BK47" s="75">
        <v>154.94999999999999</v>
      </c>
      <c r="BL47" s="75">
        <v>4091.01</v>
      </c>
      <c r="BM47" s="78">
        <v>125</v>
      </c>
      <c r="BN47" s="75">
        <v>4603.53</v>
      </c>
      <c r="BO47" s="78">
        <v>32.700000000000003</v>
      </c>
      <c r="BP47" s="75">
        <v>2909.73</v>
      </c>
      <c r="BQ47" s="75">
        <v>173.52</v>
      </c>
      <c r="BR47" s="75">
        <v>1870.61</v>
      </c>
      <c r="BS47" s="75">
        <v>270.81</v>
      </c>
      <c r="BT47" s="75">
        <v>1599.03</v>
      </c>
      <c r="BU47" s="75">
        <v>141.32</v>
      </c>
    </row>
    <row r="48" spans="1:73">
      <c r="A48" s="72" t="s">
        <v>395</v>
      </c>
      <c r="B48" s="77">
        <v>36085.199999999997</v>
      </c>
      <c r="C48" s="77">
        <v>437.6</v>
      </c>
      <c r="D48" s="76">
        <v>69849.33</v>
      </c>
      <c r="E48" s="76">
        <v>70.31</v>
      </c>
      <c r="F48" s="77">
        <v>37771.199999999997</v>
      </c>
      <c r="G48" s="76">
        <v>363.84</v>
      </c>
      <c r="H48" s="76">
        <v>68666.78</v>
      </c>
      <c r="I48" s="76">
        <v>510.16</v>
      </c>
      <c r="J48" s="77">
        <v>6385.8</v>
      </c>
      <c r="K48" s="76">
        <v>467.89</v>
      </c>
      <c r="L48" s="76">
        <v>87360.86</v>
      </c>
      <c r="M48" s="76">
        <v>212.33</v>
      </c>
      <c r="N48" s="76">
        <v>3137.96</v>
      </c>
      <c r="O48" s="76">
        <v>388.48</v>
      </c>
      <c r="P48" s="76">
        <v>36546.31</v>
      </c>
      <c r="Q48" s="76">
        <v>170.24</v>
      </c>
      <c r="R48" s="76">
        <v>6634.02</v>
      </c>
      <c r="S48" s="76">
        <v>30161.56</v>
      </c>
      <c r="T48" s="76">
        <v>37946.79</v>
      </c>
      <c r="U48" s="76">
        <v>290.16000000000003</v>
      </c>
      <c r="V48" s="76">
        <v>123513.15</v>
      </c>
      <c r="W48" s="76">
        <v>577.37</v>
      </c>
      <c r="X48" s="76">
        <v>54758.15</v>
      </c>
      <c r="Y48" s="76">
        <v>174.92</v>
      </c>
      <c r="Z48" s="76">
        <v>61964.66</v>
      </c>
      <c r="AA48" s="77">
        <v>5.9</v>
      </c>
      <c r="AB48" s="76">
        <v>50440.62</v>
      </c>
      <c r="AC48" s="76">
        <v>0.79</v>
      </c>
      <c r="AD48" s="76">
        <v>63180.45</v>
      </c>
      <c r="AE48" s="76">
        <v>1.1599999999999999</v>
      </c>
      <c r="AF48" s="76">
        <v>4668.3500000000004</v>
      </c>
      <c r="AG48" s="74" t="s">
        <v>207</v>
      </c>
      <c r="AH48" s="77">
        <v>3843.6</v>
      </c>
      <c r="AI48" s="74" t="s">
        <v>207</v>
      </c>
      <c r="AJ48" s="77">
        <v>61160.3</v>
      </c>
      <c r="AK48" s="76">
        <v>5.76</v>
      </c>
      <c r="AL48" s="76">
        <v>114419.14</v>
      </c>
      <c r="AM48" s="76">
        <v>239.49</v>
      </c>
      <c r="AN48" s="76">
        <v>783.98</v>
      </c>
      <c r="AO48" s="77">
        <v>226.3</v>
      </c>
      <c r="AP48" s="76">
        <v>32628.05</v>
      </c>
      <c r="AQ48" s="76">
        <v>0.76</v>
      </c>
      <c r="AR48" s="76">
        <v>2578.7600000000002</v>
      </c>
      <c r="AS48" s="76">
        <v>965.78</v>
      </c>
      <c r="AT48" s="76">
        <v>2615.96</v>
      </c>
      <c r="AU48" s="76">
        <v>5.91</v>
      </c>
      <c r="AV48" s="76">
        <v>1381.17</v>
      </c>
      <c r="AW48" s="76">
        <v>261.74</v>
      </c>
      <c r="AX48" s="77">
        <v>1312.4</v>
      </c>
      <c r="AY48" s="77">
        <v>3.2</v>
      </c>
      <c r="AZ48" s="76">
        <v>3835.24</v>
      </c>
      <c r="BA48" s="76">
        <v>0.26</v>
      </c>
      <c r="BB48" s="76">
        <v>2499.83</v>
      </c>
      <c r="BC48" s="76">
        <v>1.1599999999999999</v>
      </c>
      <c r="BD48" s="77">
        <v>4203.8999999999996</v>
      </c>
      <c r="BE48" s="74" t="s">
        <v>207</v>
      </c>
      <c r="BF48" s="76">
        <v>2523.64</v>
      </c>
      <c r="BG48" s="76">
        <v>252.22</v>
      </c>
      <c r="BH48" s="76">
        <v>4184.22</v>
      </c>
      <c r="BI48" s="74" t="s">
        <v>207</v>
      </c>
      <c r="BJ48" s="76">
        <v>2889.35</v>
      </c>
      <c r="BK48" s="74" t="s">
        <v>207</v>
      </c>
      <c r="BL48" s="76">
        <v>2913.55</v>
      </c>
      <c r="BM48" s="76">
        <v>23.34</v>
      </c>
      <c r="BN48" s="76">
        <v>1961.86</v>
      </c>
      <c r="BO48" s="74" t="s">
        <v>207</v>
      </c>
      <c r="BP48" s="76">
        <v>740.15</v>
      </c>
      <c r="BQ48" s="76">
        <v>255.54</v>
      </c>
      <c r="BR48" s="76">
        <v>2730.89</v>
      </c>
      <c r="BS48" s="74" t="s">
        <v>207</v>
      </c>
      <c r="BT48" s="76">
        <v>1181.82</v>
      </c>
      <c r="BU48" s="74" t="s">
        <v>207</v>
      </c>
    </row>
    <row r="49" spans="1:73">
      <c r="A49" s="72" t="s">
        <v>397</v>
      </c>
      <c r="B49" s="75">
        <v>9759.59</v>
      </c>
      <c r="C49" s="75">
        <v>127037.55</v>
      </c>
      <c r="D49" s="75">
        <v>13662.78</v>
      </c>
      <c r="E49" s="75">
        <v>25271.89</v>
      </c>
      <c r="F49" s="75">
        <v>19291.349999999999</v>
      </c>
      <c r="G49" s="75">
        <v>95121.64</v>
      </c>
      <c r="H49" s="75">
        <v>21937.67</v>
      </c>
      <c r="I49" s="75">
        <v>72776.59</v>
      </c>
      <c r="J49" s="75">
        <v>12466.17</v>
      </c>
      <c r="K49" s="75">
        <v>6561.83</v>
      </c>
      <c r="L49" s="78">
        <v>29817.8</v>
      </c>
      <c r="M49" s="78">
        <v>12822.6</v>
      </c>
      <c r="N49" s="78">
        <v>7388.8</v>
      </c>
      <c r="O49" s="75">
        <v>510.77</v>
      </c>
      <c r="P49" s="75">
        <v>10317.94</v>
      </c>
      <c r="Q49" s="75">
        <v>40989.589999999997</v>
      </c>
      <c r="R49" s="75">
        <v>9767.73</v>
      </c>
      <c r="S49" s="75">
        <v>26581.32</v>
      </c>
      <c r="T49" s="75">
        <v>27972.18</v>
      </c>
      <c r="U49" s="75">
        <v>90994.39</v>
      </c>
      <c r="V49" s="75">
        <v>10824.84</v>
      </c>
      <c r="W49" s="75">
        <v>581134.32999999996</v>
      </c>
      <c r="X49" s="75">
        <v>10358.450000000001</v>
      </c>
      <c r="Y49" s="75">
        <v>181075.19</v>
      </c>
      <c r="Z49" s="75">
        <v>53646.13</v>
      </c>
      <c r="AA49" s="78">
        <v>49083.199999999997</v>
      </c>
      <c r="AB49" s="75">
        <v>6144.32</v>
      </c>
      <c r="AC49" s="75">
        <v>41040.81</v>
      </c>
      <c r="AD49" s="78">
        <v>10000.200000000001</v>
      </c>
      <c r="AE49" s="75">
        <v>22743.63</v>
      </c>
      <c r="AF49" s="75">
        <v>16260.14</v>
      </c>
      <c r="AG49" s="75">
        <v>49239.59</v>
      </c>
      <c r="AH49" s="75">
        <v>6015.56</v>
      </c>
      <c r="AI49" s="75">
        <v>2232.5700000000002</v>
      </c>
      <c r="AJ49" s="75">
        <v>4646.55</v>
      </c>
      <c r="AK49" s="78">
        <v>1289.8</v>
      </c>
      <c r="AL49" s="75">
        <v>9568.82</v>
      </c>
      <c r="AM49" s="78">
        <v>557</v>
      </c>
      <c r="AN49" s="75">
        <v>15775.98</v>
      </c>
      <c r="AO49" s="78">
        <v>23782</v>
      </c>
      <c r="AP49" s="75">
        <v>6620.61</v>
      </c>
      <c r="AQ49" s="75">
        <v>61518.55</v>
      </c>
      <c r="AR49" s="78">
        <v>17616.400000000001</v>
      </c>
      <c r="AS49" s="75">
        <v>1414.82</v>
      </c>
      <c r="AT49" s="75">
        <v>6222.48</v>
      </c>
      <c r="AU49" s="75">
        <v>23854.67</v>
      </c>
      <c r="AV49" s="75">
        <v>15114.33</v>
      </c>
      <c r="AW49" s="78">
        <v>16.8</v>
      </c>
      <c r="AX49" s="78">
        <v>2840.3</v>
      </c>
      <c r="AY49" s="75">
        <v>61385.32</v>
      </c>
      <c r="AZ49" s="75">
        <v>119633.33</v>
      </c>
      <c r="BA49" s="75">
        <v>37958.080000000002</v>
      </c>
      <c r="BB49" s="78">
        <v>3339</v>
      </c>
      <c r="BC49" s="78">
        <v>31184.6</v>
      </c>
      <c r="BD49" s="78">
        <v>27315.9</v>
      </c>
      <c r="BE49" s="75">
        <v>1355.68</v>
      </c>
      <c r="BF49" s="75">
        <v>145226.26</v>
      </c>
      <c r="BG49" s="75">
        <v>25834.37</v>
      </c>
      <c r="BH49" s="78">
        <v>96610.5</v>
      </c>
      <c r="BI49" s="78">
        <v>7956</v>
      </c>
      <c r="BJ49" s="75">
        <v>95068.96</v>
      </c>
      <c r="BK49" s="78">
        <v>53154</v>
      </c>
      <c r="BL49" s="75">
        <v>4336.41</v>
      </c>
      <c r="BM49" s="75">
        <v>87907.76</v>
      </c>
      <c r="BN49" s="75">
        <v>3038.19</v>
      </c>
      <c r="BO49" s="75">
        <v>72846.559999999998</v>
      </c>
      <c r="BP49" s="75">
        <v>3177.98</v>
      </c>
      <c r="BQ49" s="78">
        <v>131469.4</v>
      </c>
      <c r="BR49" s="75">
        <v>2588.33</v>
      </c>
      <c r="BS49" s="75">
        <v>3339.72</v>
      </c>
      <c r="BT49" s="75">
        <v>4268.6899999999996</v>
      </c>
      <c r="BU49" s="78">
        <v>57833</v>
      </c>
    </row>
    <row r="50" spans="1:73">
      <c r="A50" s="72" t="s">
        <v>399</v>
      </c>
      <c r="B50" s="76">
        <v>1954.37</v>
      </c>
      <c r="C50" s="76">
        <v>1933.81</v>
      </c>
      <c r="D50" s="76">
        <v>1444.42</v>
      </c>
      <c r="E50" s="76">
        <v>463.56</v>
      </c>
      <c r="F50" s="76">
        <v>4457.72</v>
      </c>
      <c r="G50" s="76">
        <v>2057.9499999999998</v>
      </c>
      <c r="H50" s="76">
        <v>1073.94</v>
      </c>
      <c r="I50" s="76">
        <v>334.04</v>
      </c>
      <c r="J50" s="76">
        <v>4893.03</v>
      </c>
      <c r="K50" s="77">
        <v>332.3</v>
      </c>
      <c r="L50" s="76">
        <v>2088.0300000000002</v>
      </c>
      <c r="M50" s="76">
        <v>325.06</v>
      </c>
      <c r="N50" s="76">
        <v>1695.92</v>
      </c>
      <c r="O50" s="76">
        <v>488.09</v>
      </c>
      <c r="P50" s="76">
        <v>6602.49</v>
      </c>
      <c r="Q50" s="76">
        <v>429.25</v>
      </c>
      <c r="R50" s="76">
        <v>2074.13</v>
      </c>
      <c r="S50" s="76">
        <v>688.08</v>
      </c>
      <c r="T50" s="76">
        <v>2819.88</v>
      </c>
      <c r="U50" s="76">
        <v>179.12</v>
      </c>
      <c r="V50" s="76">
        <v>3290.03</v>
      </c>
      <c r="W50" s="76">
        <v>666.69</v>
      </c>
      <c r="X50" s="76">
        <v>3944.93</v>
      </c>
      <c r="Y50" s="76">
        <v>561.36</v>
      </c>
      <c r="Z50" s="76">
        <v>6951.18</v>
      </c>
      <c r="AA50" s="76">
        <v>407.89</v>
      </c>
      <c r="AB50" s="77">
        <v>2578.1</v>
      </c>
      <c r="AC50" s="77">
        <v>241</v>
      </c>
      <c r="AD50" s="76">
        <v>994.04</v>
      </c>
      <c r="AE50" s="77">
        <v>680.7</v>
      </c>
      <c r="AF50" s="76">
        <v>1548.24</v>
      </c>
      <c r="AG50" s="76">
        <v>308.31</v>
      </c>
      <c r="AH50" s="76">
        <v>2133.87</v>
      </c>
      <c r="AI50" s="76">
        <v>430.51</v>
      </c>
      <c r="AJ50" s="76">
        <v>921.81</v>
      </c>
      <c r="AK50" s="76">
        <v>308.05</v>
      </c>
      <c r="AL50" s="76">
        <v>1622.15</v>
      </c>
      <c r="AM50" s="77">
        <v>1214.5</v>
      </c>
      <c r="AN50" s="76">
        <v>1565.22</v>
      </c>
      <c r="AO50" s="76">
        <v>258.57</v>
      </c>
      <c r="AP50" s="76">
        <v>1659.83</v>
      </c>
      <c r="AQ50" s="76">
        <v>637.32000000000005</v>
      </c>
      <c r="AR50" s="76">
        <v>7087.34</v>
      </c>
      <c r="AS50" s="76">
        <v>750.02</v>
      </c>
      <c r="AT50" s="76">
        <v>5444.81</v>
      </c>
      <c r="AU50" s="76">
        <v>678.63</v>
      </c>
      <c r="AV50" s="76">
        <v>2602.5100000000002</v>
      </c>
      <c r="AW50" s="76">
        <v>1046.21</v>
      </c>
      <c r="AX50" s="76">
        <v>958.86</v>
      </c>
      <c r="AY50" s="77">
        <v>1365.7</v>
      </c>
      <c r="AZ50" s="76">
        <v>1472.88</v>
      </c>
      <c r="BA50" s="76">
        <v>511.06</v>
      </c>
      <c r="BB50" s="76">
        <v>3185.88</v>
      </c>
      <c r="BC50" s="76">
        <v>535.74</v>
      </c>
      <c r="BD50" s="76">
        <v>902.18</v>
      </c>
      <c r="BE50" s="76">
        <v>667.73</v>
      </c>
      <c r="BF50" s="76">
        <v>1221.69</v>
      </c>
      <c r="BG50" s="76">
        <v>535.73</v>
      </c>
      <c r="BH50" s="76">
        <v>1032.98</v>
      </c>
      <c r="BI50" s="76">
        <v>863.64</v>
      </c>
      <c r="BJ50" s="76">
        <v>5363.57</v>
      </c>
      <c r="BK50" s="77">
        <v>1104.3</v>
      </c>
      <c r="BL50" s="76">
        <v>2030.16</v>
      </c>
      <c r="BM50" s="76">
        <v>1615.87</v>
      </c>
      <c r="BN50" s="76">
        <v>3279.58</v>
      </c>
      <c r="BO50" s="77">
        <v>952.6</v>
      </c>
      <c r="BP50" s="76">
        <v>4663.3599999999997</v>
      </c>
      <c r="BQ50" s="76">
        <v>1322.49</v>
      </c>
      <c r="BR50" s="76">
        <v>1453.17</v>
      </c>
      <c r="BS50" s="76">
        <v>1169.1400000000001</v>
      </c>
      <c r="BT50" s="76">
        <v>1825.04</v>
      </c>
      <c r="BU50" s="76">
        <v>2172.25</v>
      </c>
    </row>
    <row r="51" spans="1:73">
      <c r="A51" s="72" t="s">
        <v>401</v>
      </c>
      <c r="B51" s="78">
        <v>3296.5</v>
      </c>
      <c r="C51" s="78">
        <v>1847.9</v>
      </c>
      <c r="D51" s="75">
        <v>3761.05</v>
      </c>
      <c r="E51" s="78">
        <v>2388.5</v>
      </c>
      <c r="F51" s="78">
        <v>4854</v>
      </c>
      <c r="G51" s="75">
        <v>1258.45</v>
      </c>
      <c r="H51" s="75">
        <v>8178.14</v>
      </c>
      <c r="I51" s="75">
        <v>1346.81</v>
      </c>
      <c r="J51" s="78">
        <v>3185.3</v>
      </c>
      <c r="K51" s="75">
        <v>1272.96</v>
      </c>
      <c r="L51" s="75">
        <v>3689.28</v>
      </c>
      <c r="M51" s="75">
        <v>1528.39</v>
      </c>
      <c r="N51" s="75">
        <v>3585.23</v>
      </c>
      <c r="O51" s="75">
        <v>2996.29</v>
      </c>
      <c r="P51" s="75">
        <v>4316.37</v>
      </c>
      <c r="Q51" s="75">
        <v>2060.23</v>
      </c>
      <c r="R51" s="75">
        <v>3123.95</v>
      </c>
      <c r="S51" s="75">
        <v>2423.02</v>
      </c>
      <c r="T51" s="75">
        <v>3166.26</v>
      </c>
      <c r="U51" s="75">
        <v>1904.63</v>
      </c>
      <c r="V51" s="75">
        <v>4384.79</v>
      </c>
      <c r="W51" s="75">
        <v>3464.07</v>
      </c>
      <c r="X51" s="75">
        <v>4470.53</v>
      </c>
      <c r="Y51" s="75">
        <v>2264.09</v>
      </c>
      <c r="Z51" s="75">
        <v>6218.57</v>
      </c>
      <c r="AA51" s="75">
        <v>3287.83</v>
      </c>
      <c r="AB51" s="75">
        <v>3924.67</v>
      </c>
      <c r="AC51" s="75">
        <v>3677.68</v>
      </c>
      <c r="AD51" s="75">
        <v>5997.03</v>
      </c>
      <c r="AE51" s="75">
        <v>2439.35</v>
      </c>
      <c r="AF51" s="75">
        <v>4475.9399999999996</v>
      </c>
      <c r="AG51" s="75">
        <v>4805.6899999999996</v>
      </c>
      <c r="AH51" s="75">
        <v>5157.8500000000004</v>
      </c>
      <c r="AI51" s="75">
        <v>43933.21</v>
      </c>
      <c r="AJ51" s="75">
        <v>3763.87</v>
      </c>
      <c r="AK51" s="75">
        <v>54555.86</v>
      </c>
      <c r="AL51" s="75">
        <v>4478.82</v>
      </c>
      <c r="AM51" s="75">
        <v>3546.91</v>
      </c>
      <c r="AN51" s="75">
        <v>5718.38</v>
      </c>
      <c r="AO51" s="75">
        <v>52480.01</v>
      </c>
      <c r="AP51" s="75">
        <v>4317.1899999999996</v>
      </c>
      <c r="AQ51" s="75">
        <v>4659.6099999999997</v>
      </c>
      <c r="AR51" s="75">
        <v>4378.91</v>
      </c>
      <c r="AS51" s="75">
        <v>2526.37</v>
      </c>
      <c r="AT51" s="75">
        <v>7285.84</v>
      </c>
      <c r="AU51" s="75">
        <v>68440.31</v>
      </c>
      <c r="AV51" s="75">
        <v>5683.63</v>
      </c>
      <c r="AW51" s="75">
        <v>3727.57</v>
      </c>
      <c r="AX51" s="78">
        <v>4112.7</v>
      </c>
      <c r="AY51" s="75">
        <v>676.26</v>
      </c>
      <c r="AZ51" s="78">
        <v>5510.9</v>
      </c>
      <c r="BA51" s="75">
        <v>4684.82</v>
      </c>
      <c r="BB51" s="75">
        <v>6104.22</v>
      </c>
      <c r="BC51" s="75">
        <v>3990.23</v>
      </c>
      <c r="BD51" s="78">
        <v>8857.1</v>
      </c>
      <c r="BE51" s="75">
        <v>3950.29</v>
      </c>
      <c r="BF51" s="75">
        <v>6599.19</v>
      </c>
      <c r="BG51" s="75">
        <v>2313.75</v>
      </c>
      <c r="BH51" s="75">
        <v>5970.09</v>
      </c>
      <c r="BI51" s="75">
        <v>521.01</v>
      </c>
      <c r="BJ51" s="75">
        <v>6295.95</v>
      </c>
      <c r="BK51" s="75">
        <v>4497.53</v>
      </c>
      <c r="BL51" s="75">
        <v>4606.45</v>
      </c>
      <c r="BM51" s="75">
        <v>4227.38</v>
      </c>
      <c r="BN51" s="75">
        <v>7830.86</v>
      </c>
      <c r="BO51" s="75">
        <v>2963.82</v>
      </c>
      <c r="BP51" s="78">
        <v>6787.9</v>
      </c>
      <c r="BQ51" s="75">
        <v>2375.34</v>
      </c>
      <c r="BR51" s="75">
        <v>6928.38</v>
      </c>
      <c r="BS51" s="75">
        <v>68137.75</v>
      </c>
      <c r="BT51" s="75">
        <v>5396.79</v>
      </c>
      <c r="BU51" s="75">
        <v>4420.29</v>
      </c>
    </row>
    <row r="52" spans="1:73">
      <c r="A52" s="72" t="s">
        <v>403</v>
      </c>
      <c r="B52" s="76">
        <v>923.69</v>
      </c>
      <c r="C52" s="76">
        <v>252.09</v>
      </c>
      <c r="D52" s="76">
        <v>694.11</v>
      </c>
      <c r="E52" s="76">
        <v>35.06</v>
      </c>
      <c r="F52" s="76">
        <v>559.41999999999996</v>
      </c>
      <c r="G52" s="76">
        <v>136.96</v>
      </c>
      <c r="H52" s="76">
        <v>896.07</v>
      </c>
      <c r="I52" s="76">
        <v>137.97</v>
      </c>
      <c r="J52" s="76">
        <v>468.62</v>
      </c>
      <c r="K52" s="76">
        <v>5.95</v>
      </c>
      <c r="L52" s="76">
        <v>664.16</v>
      </c>
      <c r="M52" s="76">
        <v>90.59</v>
      </c>
      <c r="N52" s="76">
        <v>699.12</v>
      </c>
      <c r="O52" s="76">
        <v>17.309999999999999</v>
      </c>
      <c r="P52" s="77">
        <v>311</v>
      </c>
      <c r="Q52" s="76">
        <v>296.26</v>
      </c>
      <c r="R52" s="76">
        <v>590.98</v>
      </c>
      <c r="S52" s="77">
        <v>34.9</v>
      </c>
      <c r="T52" s="76">
        <v>768.93</v>
      </c>
      <c r="U52" s="76">
        <v>8.34</v>
      </c>
      <c r="V52" s="76">
        <v>571.07000000000005</v>
      </c>
      <c r="W52" s="76">
        <v>18.059999999999999</v>
      </c>
      <c r="X52" s="76">
        <v>424.22</v>
      </c>
      <c r="Y52" s="76">
        <v>242.59</v>
      </c>
      <c r="Z52" s="76">
        <v>628.74</v>
      </c>
      <c r="AA52" s="76">
        <v>252.71</v>
      </c>
      <c r="AB52" s="76">
        <v>792.63</v>
      </c>
      <c r="AC52" s="76">
        <v>415.52</v>
      </c>
      <c r="AD52" s="76">
        <v>892.04</v>
      </c>
      <c r="AE52" s="76">
        <v>239.71</v>
      </c>
      <c r="AF52" s="76">
        <v>1100.44</v>
      </c>
      <c r="AG52" s="76">
        <v>500.35</v>
      </c>
      <c r="AH52" s="76">
        <v>2527.34</v>
      </c>
      <c r="AI52" s="76">
        <v>868.47</v>
      </c>
      <c r="AJ52" s="76">
        <v>978.25</v>
      </c>
      <c r="AK52" s="76">
        <v>132.52000000000001</v>
      </c>
      <c r="AL52" s="76">
        <v>1173.47</v>
      </c>
      <c r="AM52" s="76">
        <v>130.04</v>
      </c>
      <c r="AN52" s="76">
        <v>1626.93</v>
      </c>
      <c r="AO52" s="76">
        <v>1008.32</v>
      </c>
      <c r="AP52" s="76">
        <v>1837.34</v>
      </c>
      <c r="AQ52" s="76">
        <v>366.04</v>
      </c>
      <c r="AR52" s="76">
        <v>1677.63</v>
      </c>
      <c r="AS52" s="76">
        <v>36.49</v>
      </c>
      <c r="AT52" s="76">
        <v>1569.89</v>
      </c>
      <c r="AU52" s="76">
        <v>88.36</v>
      </c>
      <c r="AV52" s="76">
        <v>1672.62</v>
      </c>
      <c r="AW52" s="76">
        <v>234.35</v>
      </c>
      <c r="AX52" s="74" t="s">
        <v>207</v>
      </c>
      <c r="AY52" s="74" t="s">
        <v>207</v>
      </c>
      <c r="AZ52" s="74" t="s">
        <v>207</v>
      </c>
      <c r="BA52" s="74" t="s">
        <v>207</v>
      </c>
      <c r="BB52" s="74" t="s">
        <v>207</v>
      </c>
      <c r="BC52" s="74" t="s">
        <v>207</v>
      </c>
      <c r="BD52" s="74" t="s">
        <v>207</v>
      </c>
      <c r="BE52" s="74" t="s">
        <v>207</v>
      </c>
      <c r="BF52" s="74" t="s">
        <v>207</v>
      </c>
      <c r="BG52" s="74" t="s">
        <v>207</v>
      </c>
      <c r="BH52" s="74" t="s">
        <v>207</v>
      </c>
      <c r="BI52" s="74" t="s">
        <v>207</v>
      </c>
      <c r="BJ52" s="74" t="s">
        <v>207</v>
      </c>
      <c r="BK52" s="74" t="s">
        <v>207</v>
      </c>
      <c r="BL52" s="74" t="s">
        <v>207</v>
      </c>
      <c r="BM52" s="74" t="s">
        <v>207</v>
      </c>
      <c r="BN52" s="74" t="s">
        <v>207</v>
      </c>
      <c r="BO52" s="74" t="s">
        <v>207</v>
      </c>
      <c r="BP52" s="74" t="s">
        <v>207</v>
      </c>
      <c r="BQ52" s="74" t="s">
        <v>207</v>
      </c>
      <c r="BR52" s="74" t="s">
        <v>207</v>
      </c>
      <c r="BS52" s="74" t="s">
        <v>207</v>
      </c>
      <c r="BT52" s="74" t="s">
        <v>207</v>
      </c>
      <c r="BU52" s="74" t="s">
        <v>207</v>
      </c>
    </row>
    <row r="53" spans="1:73">
      <c r="A53" s="72" t="s">
        <v>405</v>
      </c>
      <c r="B53" s="73" t="s">
        <v>207</v>
      </c>
      <c r="C53" s="73" t="s">
        <v>207</v>
      </c>
      <c r="D53" s="73" t="s">
        <v>207</v>
      </c>
      <c r="E53" s="73" t="s">
        <v>207</v>
      </c>
      <c r="F53" s="73" t="s">
        <v>207</v>
      </c>
      <c r="G53" s="73" t="s">
        <v>207</v>
      </c>
      <c r="H53" s="73" t="s">
        <v>207</v>
      </c>
      <c r="I53" s="73" t="s">
        <v>207</v>
      </c>
      <c r="J53" s="73" t="s">
        <v>207</v>
      </c>
      <c r="K53" s="73" t="s">
        <v>207</v>
      </c>
      <c r="L53" s="73" t="s">
        <v>207</v>
      </c>
      <c r="M53" s="73" t="s">
        <v>207</v>
      </c>
      <c r="N53" s="73" t="s">
        <v>207</v>
      </c>
      <c r="O53" s="73" t="s">
        <v>207</v>
      </c>
      <c r="P53" s="73" t="s">
        <v>207</v>
      </c>
      <c r="Q53" s="73" t="s">
        <v>207</v>
      </c>
      <c r="R53" s="73" t="s">
        <v>207</v>
      </c>
      <c r="S53" s="73" t="s">
        <v>207</v>
      </c>
      <c r="T53" s="73" t="s">
        <v>207</v>
      </c>
      <c r="U53" s="73" t="s">
        <v>207</v>
      </c>
      <c r="V53" s="73" t="s">
        <v>207</v>
      </c>
      <c r="W53" s="73" t="s">
        <v>207</v>
      </c>
      <c r="X53" s="73" t="s">
        <v>207</v>
      </c>
      <c r="Y53" s="73" t="s">
        <v>207</v>
      </c>
      <c r="Z53" s="78">
        <v>86975.4</v>
      </c>
      <c r="AA53" s="75">
        <v>5382.58</v>
      </c>
      <c r="AB53" s="75">
        <v>56800.07</v>
      </c>
      <c r="AC53" s="75">
        <v>4460.32</v>
      </c>
      <c r="AD53" s="75">
        <v>59825.86</v>
      </c>
      <c r="AE53" s="75">
        <v>4996.78</v>
      </c>
      <c r="AF53" s="75">
        <v>65498.36</v>
      </c>
      <c r="AG53" s="75">
        <v>5363.92</v>
      </c>
      <c r="AH53" s="75">
        <v>49780.49</v>
      </c>
      <c r="AI53" s="75">
        <v>5924.64</v>
      </c>
      <c r="AJ53" s="75">
        <v>57198.15</v>
      </c>
      <c r="AK53" s="75">
        <v>5417.17</v>
      </c>
      <c r="AL53" s="75">
        <v>51314.46</v>
      </c>
      <c r="AM53" s="75">
        <v>6286.44</v>
      </c>
      <c r="AN53" s="75">
        <v>57259.29</v>
      </c>
      <c r="AO53" s="75">
        <v>3084.08</v>
      </c>
      <c r="AP53" s="75">
        <v>105917.69</v>
      </c>
      <c r="AQ53" s="75">
        <v>5710.51</v>
      </c>
      <c r="AR53" s="75">
        <v>82332.06</v>
      </c>
      <c r="AS53" s="75">
        <v>5453.43</v>
      </c>
      <c r="AT53" s="75">
        <v>71617.27</v>
      </c>
      <c r="AU53" s="75">
        <v>5011.6099999999997</v>
      </c>
      <c r="AV53" s="75">
        <v>91674.46</v>
      </c>
      <c r="AW53" s="75">
        <v>6305.13</v>
      </c>
      <c r="AX53" s="73" t="s">
        <v>207</v>
      </c>
      <c r="AY53" s="73" t="s">
        <v>207</v>
      </c>
      <c r="AZ53" s="73" t="s">
        <v>207</v>
      </c>
      <c r="BA53" s="73" t="s">
        <v>207</v>
      </c>
      <c r="BB53" s="73" t="s">
        <v>207</v>
      </c>
      <c r="BC53" s="73" t="s">
        <v>207</v>
      </c>
      <c r="BD53" s="73" t="s">
        <v>207</v>
      </c>
      <c r="BE53" s="73" t="s">
        <v>207</v>
      </c>
      <c r="BF53" s="73" t="s">
        <v>207</v>
      </c>
      <c r="BG53" s="73" t="s">
        <v>207</v>
      </c>
      <c r="BH53" s="73" t="s">
        <v>207</v>
      </c>
      <c r="BI53" s="73" t="s">
        <v>207</v>
      </c>
      <c r="BJ53" s="73" t="s">
        <v>207</v>
      </c>
      <c r="BK53" s="73" t="s">
        <v>207</v>
      </c>
      <c r="BL53" s="73" t="s">
        <v>207</v>
      </c>
      <c r="BM53" s="73" t="s">
        <v>207</v>
      </c>
      <c r="BN53" s="73" t="s">
        <v>207</v>
      </c>
      <c r="BO53" s="73" t="s">
        <v>207</v>
      </c>
      <c r="BP53" s="73" t="s">
        <v>207</v>
      </c>
      <c r="BQ53" s="73" t="s">
        <v>207</v>
      </c>
      <c r="BR53" s="73" t="s">
        <v>207</v>
      </c>
      <c r="BS53" s="73" t="s">
        <v>207</v>
      </c>
      <c r="BT53" s="73" t="s">
        <v>207</v>
      </c>
      <c r="BU53" s="73" t="s">
        <v>207</v>
      </c>
    </row>
    <row r="54" spans="1:73">
      <c r="A54" s="72" t="s">
        <v>407</v>
      </c>
      <c r="B54" s="74" t="s">
        <v>207</v>
      </c>
      <c r="C54" s="74" t="s">
        <v>207</v>
      </c>
      <c r="D54" s="74" t="s">
        <v>207</v>
      </c>
      <c r="E54" s="74" t="s">
        <v>207</v>
      </c>
      <c r="F54" s="74" t="s">
        <v>207</v>
      </c>
      <c r="G54" s="74" t="s">
        <v>207</v>
      </c>
      <c r="H54" s="74" t="s">
        <v>207</v>
      </c>
      <c r="I54" s="74" t="s">
        <v>207</v>
      </c>
      <c r="J54" s="74" t="s">
        <v>207</v>
      </c>
      <c r="K54" s="74" t="s">
        <v>207</v>
      </c>
      <c r="L54" s="74" t="s">
        <v>207</v>
      </c>
      <c r="M54" s="74" t="s">
        <v>207</v>
      </c>
      <c r="N54" s="74" t="s">
        <v>207</v>
      </c>
      <c r="O54" s="74" t="s">
        <v>207</v>
      </c>
      <c r="P54" s="74" t="s">
        <v>207</v>
      </c>
      <c r="Q54" s="74" t="s">
        <v>207</v>
      </c>
      <c r="R54" s="74" t="s">
        <v>207</v>
      </c>
      <c r="S54" s="74" t="s">
        <v>207</v>
      </c>
      <c r="T54" s="74" t="s">
        <v>207</v>
      </c>
      <c r="U54" s="74" t="s">
        <v>207</v>
      </c>
      <c r="V54" s="74" t="s">
        <v>207</v>
      </c>
      <c r="W54" s="74" t="s">
        <v>207</v>
      </c>
      <c r="X54" s="74" t="s">
        <v>207</v>
      </c>
      <c r="Y54" s="74" t="s">
        <v>207</v>
      </c>
      <c r="Z54" s="76">
        <v>34905.370000000003</v>
      </c>
      <c r="AA54" s="76">
        <v>525.26</v>
      </c>
      <c r="AB54" s="76">
        <v>32796.230000000003</v>
      </c>
      <c r="AC54" s="76">
        <v>817.78</v>
      </c>
      <c r="AD54" s="76">
        <v>21995.98</v>
      </c>
      <c r="AE54" s="76">
        <v>995.79</v>
      </c>
      <c r="AF54" s="76">
        <v>31038.89</v>
      </c>
      <c r="AG54" s="77">
        <v>870.6</v>
      </c>
      <c r="AH54" s="77">
        <v>29920.5</v>
      </c>
      <c r="AI54" s="77">
        <v>1652.9</v>
      </c>
      <c r="AJ54" s="77">
        <v>25222.7</v>
      </c>
      <c r="AK54" s="77">
        <v>893.4</v>
      </c>
      <c r="AL54" s="76">
        <v>29552.85</v>
      </c>
      <c r="AM54" s="76">
        <v>437.07</v>
      </c>
      <c r="AN54" s="76">
        <v>23738.79</v>
      </c>
      <c r="AO54" s="77">
        <v>439</v>
      </c>
      <c r="AP54" s="76">
        <v>41853.370000000003</v>
      </c>
      <c r="AQ54" s="76">
        <v>1304.6500000000001</v>
      </c>
      <c r="AR54" s="76">
        <v>57114.77</v>
      </c>
      <c r="AS54" s="77">
        <v>847.1</v>
      </c>
      <c r="AT54" s="76">
        <v>41749.15</v>
      </c>
      <c r="AU54" s="76">
        <v>424.93</v>
      </c>
      <c r="AV54" s="76">
        <v>44230.13</v>
      </c>
      <c r="AW54" s="76">
        <v>536.03</v>
      </c>
      <c r="AX54" s="74" t="s">
        <v>207</v>
      </c>
      <c r="AY54" s="74" t="s">
        <v>207</v>
      </c>
      <c r="AZ54" s="74" t="s">
        <v>207</v>
      </c>
      <c r="BA54" s="74" t="s">
        <v>207</v>
      </c>
      <c r="BB54" s="74" t="s">
        <v>207</v>
      </c>
      <c r="BC54" s="74" t="s">
        <v>207</v>
      </c>
      <c r="BD54" s="74" t="s">
        <v>207</v>
      </c>
      <c r="BE54" s="74" t="s">
        <v>207</v>
      </c>
      <c r="BF54" s="74" t="s">
        <v>207</v>
      </c>
      <c r="BG54" s="74" t="s">
        <v>207</v>
      </c>
      <c r="BH54" s="74" t="s">
        <v>207</v>
      </c>
      <c r="BI54" s="74" t="s">
        <v>207</v>
      </c>
      <c r="BJ54" s="74" t="s">
        <v>207</v>
      </c>
      <c r="BK54" s="74" t="s">
        <v>207</v>
      </c>
      <c r="BL54" s="74" t="s">
        <v>207</v>
      </c>
      <c r="BM54" s="74" t="s">
        <v>207</v>
      </c>
      <c r="BN54" s="74" t="s">
        <v>207</v>
      </c>
      <c r="BO54" s="74" t="s">
        <v>207</v>
      </c>
      <c r="BP54" s="74" t="s">
        <v>207</v>
      </c>
      <c r="BQ54" s="74" t="s">
        <v>207</v>
      </c>
      <c r="BR54" s="74" t="s">
        <v>207</v>
      </c>
      <c r="BS54" s="74" t="s">
        <v>207</v>
      </c>
      <c r="BT54" s="74" t="s">
        <v>207</v>
      </c>
      <c r="BU54" s="74" t="s">
        <v>207</v>
      </c>
    </row>
    <row r="55" spans="1:73">
      <c r="A55" s="72" t="s">
        <v>409</v>
      </c>
      <c r="B55" s="75">
        <v>121237.27</v>
      </c>
      <c r="C55" s="75">
        <v>6977.39</v>
      </c>
      <c r="D55" s="75">
        <v>100040.42</v>
      </c>
      <c r="E55" s="75">
        <v>12559.38</v>
      </c>
      <c r="F55" s="75">
        <v>80768.460000000006</v>
      </c>
      <c r="G55" s="75">
        <v>6996.98</v>
      </c>
      <c r="H55" s="75">
        <v>93847.76</v>
      </c>
      <c r="I55" s="75">
        <v>5973.07</v>
      </c>
      <c r="J55" s="78">
        <v>69239.399999999994</v>
      </c>
      <c r="K55" s="75">
        <v>5257.05</v>
      </c>
      <c r="L55" s="75">
        <v>79232.929999999993</v>
      </c>
      <c r="M55" s="75">
        <v>6641.94</v>
      </c>
      <c r="N55" s="75">
        <v>72672.479999999996</v>
      </c>
      <c r="O55" s="75">
        <v>4928.93</v>
      </c>
      <c r="P55" s="75">
        <v>100564.15</v>
      </c>
      <c r="Q55" s="78">
        <v>5557.8</v>
      </c>
      <c r="R55" s="75">
        <v>91192.77</v>
      </c>
      <c r="S55" s="75">
        <v>6242.42</v>
      </c>
      <c r="T55" s="75">
        <v>97208.59</v>
      </c>
      <c r="U55" s="75">
        <v>4465.75</v>
      </c>
      <c r="V55" s="75">
        <v>100059.63</v>
      </c>
      <c r="W55" s="75">
        <v>7487.13</v>
      </c>
      <c r="X55" s="75">
        <v>117393.59</v>
      </c>
      <c r="Y55" s="75">
        <v>7053.44</v>
      </c>
      <c r="Z55" s="73" t="s">
        <v>207</v>
      </c>
      <c r="AA55" s="73" t="s">
        <v>207</v>
      </c>
      <c r="AB55" s="73" t="s">
        <v>207</v>
      </c>
      <c r="AC55" s="73" t="s">
        <v>207</v>
      </c>
      <c r="AD55" s="73" t="s">
        <v>207</v>
      </c>
      <c r="AE55" s="73" t="s">
        <v>207</v>
      </c>
      <c r="AF55" s="73" t="s">
        <v>207</v>
      </c>
      <c r="AG55" s="73" t="s">
        <v>207</v>
      </c>
      <c r="AH55" s="73" t="s">
        <v>207</v>
      </c>
      <c r="AI55" s="73" t="s">
        <v>207</v>
      </c>
      <c r="AJ55" s="73" t="s">
        <v>207</v>
      </c>
      <c r="AK55" s="73" t="s">
        <v>207</v>
      </c>
      <c r="AL55" s="73" t="s">
        <v>207</v>
      </c>
      <c r="AM55" s="73" t="s">
        <v>207</v>
      </c>
      <c r="AN55" s="73" t="s">
        <v>207</v>
      </c>
      <c r="AO55" s="73" t="s">
        <v>207</v>
      </c>
      <c r="AP55" s="73" t="s">
        <v>207</v>
      </c>
      <c r="AQ55" s="73" t="s">
        <v>207</v>
      </c>
      <c r="AR55" s="73" t="s">
        <v>207</v>
      </c>
      <c r="AS55" s="73" t="s">
        <v>207</v>
      </c>
      <c r="AT55" s="73" t="s">
        <v>207</v>
      </c>
      <c r="AU55" s="73" t="s">
        <v>207</v>
      </c>
      <c r="AV55" s="73" t="s">
        <v>207</v>
      </c>
      <c r="AW55" s="73" t="s">
        <v>207</v>
      </c>
      <c r="AX55" s="73" t="s">
        <v>207</v>
      </c>
      <c r="AY55" s="73" t="s">
        <v>207</v>
      </c>
      <c r="AZ55" s="73" t="s">
        <v>207</v>
      </c>
      <c r="BA55" s="73" t="s">
        <v>207</v>
      </c>
      <c r="BB55" s="73" t="s">
        <v>207</v>
      </c>
      <c r="BC55" s="73" t="s">
        <v>207</v>
      </c>
      <c r="BD55" s="73" t="s">
        <v>207</v>
      </c>
      <c r="BE55" s="73" t="s">
        <v>207</v>
      </c>
      <c r="BF55" s="73" t="s">
        <v>207</v>
      </c>
      <c r="BG55" s="73" t="s">
        <v>207</v>
      </c>
      <c r="BH55" s="73" t="s">
        <v>207</v>
      </c>
      <c r="BI55" s="73" t="s">
        <v>207</v>
      </c>
      <c r="BJ55" s="73" t="s">
        <v>207</v>
      </c>
      <c r="BK55" s="73" t="s">
        <v>207</v>
      </c>
      <c r="BL55" s="73" t="s">
        <v>207</v>
      </c>
      <c r="BM55" s="73" t="s">
        <v>207</v>
      </c>
      <c r="BN55" s="73" t="s">
        <v>207</v>
      </c>
      <c r="BO55" s="73" t="s">
        <v>207</v>
      </c>
      <c r="BP55" s="73" t="s">
        <v>207</v>
      </c>
      <c r="BQ55" s="73" t="s">
        <v>207</v>
      </c>
      <c r="BR55" s="73" t="s">
        <v>207</v>
      </c>
      <c r="BS55" s="73" t="s">
        <v>207</v>
      </c>
      <c r="BT55" s="73" t="s">
        <v>207</v>
      </c>
      <c r="BU55" s="73" t="s">
        <v>207</v>
      </c>
    </row>
    <row r="56" spans="1:73">
      <c r="A56" s="72" t="s">
        <v>411</v>
      </c>
      <c r="B56" s="74" t="s">
        <v>207</v>
      </c>
      <c r="C56" s="74" t="s">
        <v>207</v>
      </c>
      <c r="D56" s="74" t="s">
        <v>207</v>
      </c>
      <c r="E56" s="74" t="s">
        <v>207</v>
      </c>
      <c r="F56" s="74" t="s">
        <v>207</v>
      </c>
      <c r="G56" s="74" t="s">
        <v>207</v>
      </c>
      <c r="H56" s="74" t="s">
        <v>207</v>
      </c>
      <c r="I56" s="74" t="s">
        <v>207</v>
      </c>
      <c r="J56" s="74" t="s">
        <v>207</v>
      </c>
      <c r="K56" s="74" t="s">
        <v>207</v>
      </c>
      <c r="L56" s="74" t="s">
        <v>207</v>
      </c>
      <c r="M56" s="74" t="s">
        <v>207</v>
      </c>
      <c r="N56" s="74" t="s">
        <v>207</v>
      </c>
      <c r="O56" s="74" t="s">
        <v>207</v>
      </c>
      <c r="P56" s="74" t="s">
        <v>207</v>
      </c>
      <c r="Q56" s="74" t="s">
        <v>207</v>
      </c>
      <c r="R56" s="74" t="s">
        <v>207</v>
      </c>
      <c r="S56" s="74" t="s">
        <v>207</v>
      </c>
      <c r="T56" s="74" t="s">
        <v>207</v>
      </c>
      <c r="U56" s="74" t="s">
        <v>207</v>
      </c>
      <c r="V56" s="74" t="s">
        <v>207</v>
      </c>
      <c r="W56" s="74" t="s">
        <v>207</v>
      </c>
      <c r="X56" s="74" t="s">
        <v>207</v>
      </c>
      <c r="Y56" s="74" t="s">
        <v>207</v>
      </c>
      <c r="Z56" s="74" t="s">
        <v>207</v>
      </c>
      <c r="AA56" s="74" t="s">
        <v>207</v>
      </c>
      <c r="AB56" s="74" t="s">
        <v>207</v>
      </c>
      <c r="AC56" s="74" t="s">
        <v>207</v>
      </c>
      <c r="AD56" s="74" t="s">
        <v>207</v>
      </c>
      <c r="AE56" s="74" t="s">
        <v>207</v>
      </c>
      <c r="AF56" s="74" t="s">
        <v>207</v>
      </c>
      <c r="AG56" s="74" t="s">
        <v>207</v>
      </c>
      <c r="AH56" s="74" t="s">
        <v>207</v>
      </c>
      <c r="AI56" s="74" t="s">
        <v>207</v>
      </c>
      <c r="AJ56" s="74" t="s">
        <v>207</v>
      </c>
      <c r="AK56" s="74" t="s">
        <v>207</v>
      </c>
      <c r="AL56" s="74" t="s">
        <v>207</v>
      </c>
      <c r="AM56" s="74" t="s">
        <v>207</v>
      </c>
      <c r="AN56" s="74" t="s">
        <v>207</v>
      </c>
      <c r="AO56" s="74" t="s">
        <v>207</v>
      </c>
      <c r="AP56" s="74" t="s">
        <v>207</v>
      </c>
      <c r="AQ56" s="74" t="s">
        <v>207</v>
      </c>
      <c r="AR56" s="74" t="s">
        <v>207</v>
      </c>
      <c r="AS56" s="74" t="s">
        <v>207</v>
      </c>
      <c r="AT56" s="74" t="s">
        <v>207</v>
      </c>
      <c r="AU56" s="74" t="s">
        <v>207</v>
      </c>
      <c r="AV56" s="74" t="s">
        <v>207</v>
      </c>
      <c r="AW56" s="74" t="s">
        <v>207</v>
      </c>
      <c r="AX56" s="76">
        <v>70403.14</v>
      </c>
      <c r="AY56" s="76">
        <v>8853.67</v>
      </c>
      <c r="AZ56" s="76">
        <v>60448.84</v>
      </c>
      <c r="BA56" s="76">
        <v>7964.06</v>
      </c>
      <c r="BB56" s="76">
        <v>51089.04</v>
      </c>
      <c r="BC56" s="76">
        <v>8870.58</v>
      </c>
      <c r="BD56" s="76">
        <v>52127.35</v>
      </c>
      <c r="BE56" s="76">
        <v>11552.38</v>
      </c>
      <c r="BF56" s="77">
        <v>60519.3</v>
      </c>
      <c r="BG56" s="76">
        <v>11202.28</v>
      </c>
      <c r="BH56" s="76">
        <v>91990.28</v>
      </c>
      <c r="BI56" s="76">
        <v>14034.93</v>
      </c>
      <c r="BJ56" s="77">
        <v>54897.599999999999</v>
      </c>
      <c r="BK56" s="76">
        <v>13113.73</v>
      </c>
      <c r="BL56" s="76">
        <v>71016.990000000005</v>
      </c>
      <c r="BM56" s="77">
        <v>10583.2</v>
      </c>
      <c r="BN56" s="76">
        <v>87154.51</v>
      </c>
      <c r="BO56" s="76">
        <v>9526.2199999999993</v>
      </c>
      <c r="BP56" s="76">
        <v>79168.710000000006</v>
      </c>
      <c r="BQ56" s="76">
        <v>9281.02</v>
      </c>
      <c r="BR56" s="76">
        <v>85438.81</v>
      </c>
      <c r="BS56" s="77">
        <v>6236.4</v>
      </c>
      <c r="BT56" s="76">
        <v>95638.86</v>
      </c>
      <c r="BU56" s="76">
        <v>8987.08</v>
      </c>
    </row>
    <row r="57" spans="1:73">
      <c r="A57" s="72" t="s">
        <v>413</v>
      </c>
      <c r="B57" s="73" t="s">
        <v>207</v>
      </c>
      <c r="C57" s="73" t="s">
        <v>207</v>
      </c>
      <c r="D57" s="73" t="s">
        <v>207</v>
      </c>
      <c r="E57" s="73" t="s">
        <v>207</v>
      </c>
      <c r="F57" s="73" t="s">
        <v>207</v>
      </c>
      <c r="G57" s="73" t="s">
        <v>207</v>
      </c>
      <c r="H57" s="73" t="s">
        <v>207</v>
      </c>
      <c r="I57" s="73" t="s">
        <v>207</v>
      </c>
      <c r="J57" s="73" t="s">
        <v>207</v>
      </c>
      <c r="K57" s="73" t="s">
        <v>207</v>
      </c>
      <c r="L57" s="73" t="s">
        <v>207</v>
      </c>
      <c r="M57" s="73" t="s">
        <v>207</v>
      </c>
      <c r="N57" s="73" t="s">
        <v>207</v>
      </c>
      <c r="O57" s="73" t="s">
        <v>207</v>
      </c>
      <c r="P57" s="73" t="s">
        <v>207</v>
      </c>
      <c r="Q57" s="73" t="s">
        <v>207</v>
      </c>
      <c r="R57" s="73" t="s">
        <v>207</v>
      </c>
      <c r="S57" s="73" t="s">
        <v>207</v>
      </c>
      <c r="T57" s="73" t="s">
        <v>207</v>
      </c>
      <c r="U57" s="73" t="s">
        <v>207</v>
      </c>
      <c r="V57" s="73" t="s">
        <v>207</v>
      </c>
      <c r="W57" s="73" t="s">
        <v>207</v>
      </c>
      <c r="X57" s="73" t="s">
        <v>207</v>
      </c>
      <c r="Y57" s="73" t="s">
        <v>207</v>
      </c>
      <c r="Z57" s="73" t="s">
        <v>207</v>
      </c>
      <c r="AA57" s="73" t="s">
        <v>207</v>
      </c>
      <c r="AB57" s="73" t="s">
        <v>207</v>
      </c>
      <c r="AC57" s="73" t="s">
        <v>207</v>
      </c>
      <c r="AD57" s="73" t="s">
        <v>207</v>
      </c>
      <c r="AE57" s="73" t="s">
        <v>207</v>
      </c>
      <c r="AF57" s="73" t="s">
        <v>207</v>
      </c>
      <c r="AG57" s="73" t="s">
        <v>207</v>
      </c>
      <c r="AH57" s="73" t="s">
        <v>207</v>
      </c>
      <c r="AI57" s="73" t="s">
        <v>207</v>
      </c>
      <c r="AJ57" s="73" t="s">
        <v>207</v>
      </c>
      <c r="AK57" s="73" t="s">
        <v>207</v>
      </c>
      <c r="AL57" s="73" t="s">
        <v>207</v>
      </c>
      <c r="AM57" s="73" t="s">
        <v>207</v>
      </c>
      <c r="AN57" s="73" t="s">
        <v>207</v>
      </c>
      <c r="AO57" s="73" t="s">
        <v>207</v>
      </c>
      <c r="AP57" s="73" t="s">
        <v>207</v>
      </c>
      <c r="AQ57" s="73" t="s">
        <v>207</v>
      </c>
      <c r="AR57" s="73" t="s">
        <v>207</v>
      </c>
      <c r="AS57" s="73" t="s">
        <v>207</v>
      </c>
      <c r="AT57" s="73" t="s">
        <v>207</v>
      </c>
      <c r="AU57" s="73" t="s">
        <v>207</v>
      </c>
      <c r="AV57" s="73" t="s">
        <v>207</v>
      </c>
      <c r="AW57" s="73" t="s">
        <v>207</v>
      </c>
      <c r="AX57" s="75">
        <v>20807.36</v>
      </c>
      <c r="AY57" s="75">
        <v>389.38</v>
      </c>
      <c r="AZ57" s="75">
        <v>20605.61</v>
      </c>
      <c r="BA57" s="75">
        <v>309.06</v>
      </c>
      <c r="BB57" s="75">
        <v>21724.65</v>
      </c>
      <c r="BC57" s="78">
        <v>1497.9</v>
      </c>
      <c r="BD57" s="75">
        <v>23249.62</v>
      </c>
      <c r="BE57" s="75">
        <v>831.74</v>
      </c>
      <c r="BF57" s="75">
        <v>22253.32</v>
      </c>
      <c r="BG57" s="75">
        <v>565.14</v>
      </c>
      <c r="BH57" s="75">
        <v>18716.16</v>
      </c>
      <c r="BI57" s="75">
        <v>267.57</v>
      </c>
      <c r="BJ57" s="75">
        <v>20340.439999999999</v>
      </c>
      <c r="BK57" s="75">
        <v>1002.06</v>
      </c>
      <c r="BL57" s="75">
        <v>17567.54</v>
      </c>
      <c r="BM57" s="75">
        <v>817.99</v>
      </c>
      <c r="BN57" s="75">
        <v>21132.02</v>
      </c>
      <c r="BO57" s="75">
        <v>307.87</v>
      </c>
      <c r="BP57" s="75">
        <v>26095.89</v>
      </c>
      <c r="BQ57" s="75">
        <v>1414.75</v>
      </c>
      <c r="BR57" s="75">
        <v>26186.54</v>
      </c>
      <c r="BS57" s="75">
        <v>1103.8699999999999</v>
      </c>
      <c r="BT57" s="75">
        <v>21097.040000000001</v>
      </c>
      <c r="BU57" s="75">
        <v>373.46</v>
      </c>
    </row>
    <row r="58" spans="1:73">
      <c r="A58" s="72" t="s">
        <v>415</v>
      </c>
      <c r="B58" s="74" t="s">
        <v>207</v>
      </c>
      <c r="C58" s="74" t="s">
        <v>207</v>
      </c>
      <c r="D58" s="74" t="s">
        <v>207</v>
      </c>
      <c r="E58" s="74" t="s">
        <v>207</v>
      </c>
      <c r="F58" s="74" t="s">
        <v>207</v>
      </c>
      <c r="G58" s="74" t="s">
        <v>207</v>
      </c>
      <c r="H58" s="74" t="s">
        <v>207</v>
      </c>
      <c r="I58" s="74" t="s">
        <v>207</v>
      </c>
      <c r="J58" s="74" t="s">
        <v>207</v>
      </c>
      <c r="K58" s="74" t="s">
        <v>207</v>
      </c>
      <c r="L58" s="74" t="s">
        <v>207</v>
      </c>
      <c r="M58" s="74" t="s">
        <v>207</v>
      </c>
      <c r="N58" s="74" t="s">
        <v>207</v>
      </c>
      <c r="O58" s="74" t="s">
        <v>207</v>
      </c>
      <c r="P58" s="74" t="s">
        <v>207</v>
      </c>
      <c r="Q58" s="74" t="s">
        <v>207</v>
      </c>
      <c r="R58" s="74" t="s">
        <v>207</v>
      </c>
      <c r="S58" s="74" t="s">
        <v>207</v>
      </c>
      <c r="T58" s="74" t="s">
        <v>207</v>
      </c>
      <c r="U58" s="74" t="s">
        <v>207</v>
      </c>
      <c r="V58" s="74" t="s">
        <v>207</v>
      </c>
      <c r="W58" s="74" t="s">
        <v>207</v>
      </c>
      <c r="X58" s="74" t="s">
        <v>207</v>
      </c>
      <c r="Y58" s="74" t="s">
        <v>207</v>
      </c>
      <c r="Z58" s="74" t="s">
        <v>207</v>
      </c>
      <c r="AA58" s="74" t="s">
        <v>207</v>
      </c>
      <c r="AB58" s="74" t="s">
        <v>207</v>
      </c>
      <c r="AC58" s="74" t="s">
        <v>207</v>
      </c>
      <c r="AD58" s="74" t="s">
        <v>207</v>
      </c>
      <c r="AE58" s="74" t="s">
        <v>207</v>
      </c>
      <c r="AF58" s="74" t="s">
        <v>207</v>
      </c>
      <c r="AG58" s="74" t="s">
        <v>207</v>
      </c>
      <c r="AH58" s="74" t="s">
        <v>207</v>
      </c>
      <c r="AI58" s="74" t="s">
        <v>207</v>
      </c>
      <c r="AJ58" s="74" t="s">
        <v>207</v>
      </c>
      <c r="AK58" s="74" t="s">
        <v>207</v>
      </c>
      <c r="AL58" s="74" t="s">
        <v>207</v>
      </c>
      <c r="AM58" s="74" t="s">
        <v>207</v>
      </c>
      <c r="AN58" s="74" t="s">
        <v>207</v>
      </c>
      <c r="AO58" s="74" t="s">
        <v>207</v>
      </c>
      <c r="AP58" s="74" t="s">
        <v>207</v>
      </c>
      <c r="AQ58" s="74" t="s">
        <v>207</v>
      </c>
      <c r="AR58" s="74" t="s">
        <v>207</v>
      </c>
      <c r="AS58" s="74" t="s">
        <v>207</v>
      </c>
      <c r="AT58" s="74" t="s">
        <v>207</v>
      </c>
      <c r="AU58" s="74" t="s">
        <v>207</v>
      </c>
      <c r="AV58" s="74" t="s">
        <v>207</v>
      </c>
      <c r="AW58" s="74" t="s">
        <v>207</v>
      </c>
      <c r="AX58" s="76">
        <v>522.96</v>
      </c>
      <c r="AY58" s="76">
        <v>36.53</v>
      </c>
      <c r="AZ58" s="77">
        <v>591</v>
      </c>
      <c r="BA58" s="77">
        <v>30.7</v>
      </c>
      <c r="BB58" s="76">
        <v>614.58000000000004</v>
      </c>
      <c r="BC58" s="76">
        <v>57.46</v>
      </c>
      <c r="BD58" s="76">
        <v>1124.3499999999999</v>
      </c>
      <c r="BE58" s="76">
        <v>2.5499999999999998</v>
      </c>
      <c r="BF58" s="76">
        <v>2437.0300000000002</v>
      </c>
      <c r="BG58" s="76">
        <v>33.39</v>
      </c>
      <c r="BH58" s="76">
        <v>1916.89</v>
      </c>
      <c r="BI58" s="76">
        <v>15.58</v>
      </c>
      <c r="BJ58" s="76">
        <v>1222.82</v>
      </c>
      <c r="BK58" s="76">
        <v>14.76</v>
      </c>
      <c r="BL58" s="77">
        <v>703.2</v>
      </c>
      <c r="BM58" s="76">
        <v>69.290000000000006</v>
      </c>
      <c r="BN58" s="76">
        <v>2154.44</v>
      </c>
      <c r="BO58" s="76">
        <v>37.32</v>
      </c>
      <c r="BP58" s="76">
        <v>3034.04</v>
      </c>
      <c r="BQ58" s="76">
        <v>46.07</v>
      </c>
      <c r="BR58" s="77">
        <v>478.5</v>
      </c>
      <c r="BS58" s="76">
        <v>122.93</v>
      </c>
      <c r="BT58" s="76">
        <v>2235.9699999999998</v>
      </c>
      <c r="BU58" s="77">
        <v>382.5</v>
      </c>
    </row>
    <row r="59" spans="1:73">
      <c r="A59" s="72" t="s">
        <v>417</v>
      </c>
      <c r="B59" s="75">
        <v>6980.14</v>
      </c>
      <c r="C59" s="75">
        <v>1056.3900000000001</v>
      </c>
      <c r="D59" s="75">
        <v>5293.25</v>
      </c>
      <c r="E59" s="75">
        <v>810.82</v>
      </c>
      <c r="F59" s="75">
        <v>5485.18</v>
      </c>
      <c r="G59" s="75">
        <v>5198.37</v>
      </c>
      <c r="H59" s="75">
        <v>2695.09</v>
      </c>
      <c r="I59" s="75">
        <v>809.93</v>
      </c>
      <c r="J59" s="75">
        <v>2414.84</v>
      </c>
      <c r="K59" s="75">
        <v>1247.98</v>
      </c>
      <c r="L59" s="75">
        <v>2840.64</v>
      </c>
      <c r="M59" s="75">
        <v>896.81</v>
      </c>
      <c r="N59" s="75">
        <v>3181.39</v>
      </c>
      <c r="O59" s="75">
        <v>902.84</v>
      </c>
      <c r="P59" s="75">
        <v>4226.29</v>
      </c>
      <c r="Q59" s="75">
        <v>1140.1199999999999</v>
      </c>
      <c r="R59" s="75">
        <v>3033.98</v>
      </c>
      <c r="S59" s="75">
        <v>868.45</v>
      </c>
      <c r="T59" s="75">
        <v>4207.2299999999996</v>
      </c>
      <c r="U59" s="75">
        <v>1377.73</v>
      </c>
      <c r="V59" s="75">
        <v>3497.64</v>
      </c>
      <c r="W59" s="75">
        <v>569.97</v>
      </c>
      <c r="X59" s="75">
        <v>1902.68</v>
      </c>
      <c r="Y59" s="78">
        <v>987.8</v>
      </c>
      <c r="Z59" s="75">
        <v>7059.02</v>
      </c>
      <c r="AA59" s="75">
        <v>1394.36</v>
      </c>
      <c r="AB59" s="75">
        <v>4065.35</v>
      </c>
      <c r="AC59" s="75">
        <v>1075.43</v>
      </c>
      <c r="AD59" s="75">
        <v>3566.08</v>
      </c>
      <c r="AE59" s="75">
        <v>1290.47</v>
      </c>
      <c r="AF59" s="75">
        <v>4055.84</v>
      </c>
      <c r="AG59" s="75">
        <v>1582.59</v>
      </c>
      <c r="AH59" s="75">
        <v>2313.2399999999998</v>
      </c>
      <c r="AI59" s="75">
        <v>1448.97</v>
      </c>
      <c r="AJ59" s="75">
        <v>4029.63</v>
      </c>
      <c r="AK59" s="75">
        <v>1592.64</v>
      </c>
      <c r="AL59" s="75">
        <v>9652.33</v>
      </c>
      <c r="AM59" s="75">
        <v>1776.23</v>
      </c>
      <c r="AN59" s="75">
        <v>6148.41</v>
      </c>
      <c r="AO59" s="75">
        <v>964.97</v>
      </c>
      <c r="AP59" s="75">
        <v>3805.64</v>
      </c>
      <c r="AQ59" s="75">
        <v>1539.42</v>
      </c>
      <c r="AR59" s="75">
        <v>4136.71</v>
      </c>
      <c r="AS59" s="75">
        <v>1084.1400000000001</v>
      </c>
      <c r="AT59" s="75">
        <v>7099.73</v>
      </c>
      <c r="AU59" s="75">
        <v>1696.47</v>
      </c>
      <c r="AV59" s="75">
        <v>5226.6400000000003</v>
      </c>
      <c r="AW59" s="78">
        <v>1935.8</v>
      </c>
      <c r="AX59" s="75">
        <v>3709.59</v>
      </c>
      <c r="AY59" s="75">
        <v>1281.54</v>
      </c>
      <c r="AZ59" s="75">
        <v>7599.69</v>
      </c>
      <c r="BA59" s="75">
        <v>1765.28</v>
      </c>
      <c r="BB59" s="75">
        <v>3018.93</v>
      </c>
      <c r="BC59" s="78">
        <v>2177.3000000000002</v>
      </c>
      <c r="BD59" s="78">
        <v>3365.4</v>
      </c>
      <c r="BE59" s="75">
        <v>1610.53</v>
      </c>
      <c r="BF59" s="75">
        <v>3370.04</v>
      </c>
      <c r="BG59" s="75">
        <v>1444.16</v>
      </c>
      <c r="BH59" s="75">
        <v>3544.69</v>
      </c>
      <c r="BI59" s="75">
        <v>1523.75</v>
      </c>
      <c r="BJ59" s="78">
        <v>2733.9</v>
      </c>
      <c r="BK59" s="75">
        <v>1289.6400000000001</v>
      </c>
      <c r="BL59" s="75">
        <v>4120.99</v>
      </c>
      <c r="BM59" s="75">
        <v>2106.3200000000002</v>
      </c>
      <c r="BN59" s="75">
        <v>3243.61</v>
      </c>
      <c r="BO59" s="75">
        <v>1778.32</v>
      </c>
      <c r="BP59" s="75">
        <v>2839.82</v>
      </c>
      <c r="BQ59" s="78">
        <v>1698.7</v>
      </c>
      <c r="BR59" s="75">
        <v>4531.22</v>
      </c>
      <c r="BS59" s="75">
        <v>2518.65</v>
      </c>
      <c r="BT59" s="75">
        <v>5165.1899999999996</v>
      </c>
      <c r="BU59" s="75">
        <v>3121.47</v>
      </c>
    </row>
    <row r="60" spans="1:73">
      <c r="A60" s="72" t="s">
        <v>419</v>
      </c>
      <c r="B60" s="76">
        <v>9.52</v>
      </c>
      <c r="C60" s="74" t="s">
        <v>207</v>
      </c>
      <c r="D60" s="76">
        <v>11.65</v>
      </c>
      <c r="E60" s="74" t="s">
        <v>207</v>
      </c>
      <c r="F60" s="76">
        <v>10.59</v>
      </c>
      <c r="G60" s="74" t="s">
        <v>207</v>
      </c>
      <c r="H60" s="76">
        <v>257.52</v>
      </c>
      <c r="I60" s="74" t="s">
        <v>207</v>
      </c>
      <c r="J60" s="76">
        <v>257.47000000000003</v>
      </c>
      <c r="K60" s="74" t="s">
        <v>207</v>
      </c>
      <c r="L60" s="76">
        <v>3.74</v>
      </c>
      <c r="M60" s="74" t="s">
        <v>207</v>
      </c>
      <c r="N60" s="76">
        <v>1.92</v>
      </c>
      <c r="O60" s="74" t="s">
        <v>207</v>
      </c>
      <c r="P60" s="76">
        <v>513.79</v>
      </c>
      <c r="Q60" s="76">
        <v>0.54</v>
      </c>
      <c r="R60" s="77">
        <v>1.9</v>
      </c>
      <c r="S60" s="74" t="s">
        <v>207</v>
      </c>
      <c r="T60" s="77">
        <v>46.6</v>
      </c>
      <c r="U60" s="74" t="s">
        <v>207</v>
      </c>
      <c r="V60" s="77">
        <v>7.8</v>
      </c>
      <c r="W60" s="76">
        <v>2.33</v>
      </c>
      <c r="X60" s="76">
        <v>9.49</v>
      </c>
      <c r="Y60" s="76">
        <v>22.99</v>
      </c>
      <c r="Z60" s="76">
        <v>58.49</v>
      </c>
      <c r="AA60" s="76">
        <v>1.04</v>
      </c>
      <c r="AB60" s="76">
        <v>166.32</v>
      </c>
      <c r="AC60" s="74" t="s">
        <v>207</v>
      </c>
      <c r="AD60" s="76">
        <v>253.86</v>
      </c>
      <c r="AE60" s="74" t="s">
        <v>207</v>
      </c>
      <c r="AF60" s="76">
        <v>2.4700000000000002</v>
      </c>
      <c r="AG60" s="74" t="s">
        <v>207</v>
      </c>
      <c r="AH60" s="76">
        <v>21.06</v>
      </c>
      <c r="AI60" s="74" t="s">
        <v>207</v>
      </c>
      <c r="AJ60" s="76">
        <v>258.31</v>
      </c>
      <c r="AK60" s="74" t="s">
        <v>207</v>
      </c>
      <c r="AL60" s="76">
        <v>19.350000000000001</v>
      </c>
      <c r="AM60" s="74" t="s">
        <v>207</v>
      </c>
      <c r="AN60" s="76">
        <v>3.15</v>
      </c>
      <c r="AO60" s="74" t="s">
        <v>207</v>
      </c>
      <c r="AP60" s="77">
        <v>81</v>
      </c>
      <c r="AQ60" s="74" t="s">
        <v>207</v>
      </c>
      <c r="AR60" s="76">
        <v>19.059999999999999</v>
      </c>
      <c r="AS60" s="74" t="s">
        <v>207</v>
      </c>
      <c r="AT60" s="76">
        <v>253.05</v>
      </c>
      <c r="AU60" s="76">
        <v>10.73</v>
      </c>
      <c r="AV60" s="76">
        <v>316.45999999999998</v>
      </c>
      <c r="AW60" s="74" t="s">
        <v>207</v>
      </c>
      <c r="AX60" s="74" t="s">
        <v>207</v>
      </c>
      <c r="AY60" s="74" t="s">
        <v>207</v>
      </c>
      <c r="AZ60" s="74" t="s">
        <v>207</v>
      </c>
      <c r="BA60" s="74" t="s">
        <v>207</v>
      </c>
      <c r="BB60" s="74" t="s">
        <v>207</v>
      </c>
      <c r="BC60" s="74" t="s">
        <v>207</v>
      </c>
      <c r="BD60" s="74" t="s">
        <v>207</v>
      </c>
      <c r="BE60" s="74" t="s">
        <v>207</v>
      </c>
      <c r="BF60" s="74" t="s">
        <v>207</v>
      </c>
      <c r="BG60" s="74" t="s">
        <v>207</v>
      </c>
      <c r="BH60" s="74" t="s">
        <v>207</v>
      </c>
      <c r="BI60" s="74" t="s">
        <v>207</v>
      </c>
      <c r="BJ60" s="74" t="s">
        <v>207</v>
      </c>
      <c r="BK60" s="74" t="s">
        <v>207</v>
      </c>
      <c r="BL60" s="74" t="s">
        <v>207</v>
      </c>
      <c r="BM60" s="74" t="s">
        <v>207</v>
      </c>
      <c r="BN60" s="74" t="s">
        <v>207</v>
      </c>
      <c r="BO60" s="74" t="s">
        <v>207</v>
      </c>
      <c r="BP60" s="74" t="s">
        <v>207</v>
      </c>
      <c r="BQ60" s="74" t="s">
        <v>207</v>
      </c>
      <c r="BR60" s="74" t="s">
        <v>207</v>
      </c>
      <c r="BS60" s="74" t="s">
        <v>207</v>
      </c>
      <c r="BT60" s="74" t="s">
        <v>207</v>
      </c>
      <c r="BU60" s="74" t="s">
        <v>207</v>
      </c>
    </row>
    <row r="61" spans="1:73">
      <c r="A61" s="72" t="s">
        <v>421</v>
      </c>
      <c r="B61" s="78">
        <v>179.7</v>
      </c>
      <c r="C61" s="75">
        <v>11.63</v>
      </c>
      <c r="D61" s="75">
        <v>353.33</v>
      </c>
      <c r="E61" s="75">
        <v>28.24</v>
      </c>
      <c r="F61" s="75">
        <v>558.36</v>
      </c>
      <c r="G61" s="75">
        <v>13.41</v>
      </c>
      <c r="H61" s="78">
        <v>425.9</v>
      </c>
      <c r="I61" s="75">
        <v>16.04</v>
      </c>
      <c r="J61" s="75">
        <v>217.34</v>
      </c>
      <c r="K61" s="75">
        <v>31.88</v>
      </c>
      <c r="L61" s="78">
        <v>424.3</v>
      </c>
      <c r="M61" s="75">
        <v>29.73</v>
      </c>
      <c r="N61" s="75">
        <v>187.06</v>
      </c>
      <c r="O61" s="75">
        <v>30.05</v>
      </c>
      <c r="P61" s="78">
        <v>162.4</v>
      </c>
      <c r="Q61" s="75">
        <v>32.94</v>
      </c>
      <c r="R61" s="75">
        <v>477.79</v>
      </c>
      <c r="S61" s="75">
        <v>342.96</v>
      </c>
      <c r="T61" s="75">
        <v>644.39</v>
      </c>
      <c r="U61" s="75">
        <v>231.24</v>
      </c>
      <c r="V61" s="75">
        <v>439.07</v>
      </c>
      <c r="W61" s="75">
        <v>35.07</v>
      </c>
      <c r="X61" s="75">
        <v>516.15</v>
      </c>
      <c r="Y61" s="75">
        <v>527.59</v>
      </c>
      <c r="Z61" s="75">
        <v>809.31</v>
      </c>
      <c r="AA61" s="75">
        <v>85.05</v>
      </c>
      <c r="AB61" s="75">
        <v>1796.24</v>
      </c>
      <c r="AC61" s="75">
        <v>12.29</v>
      </c>
      <c r="AD61" s="75">
        <v>899.92</v>
      </c>
      <c r="AE61" s="75">
        <v>35.35</v>
      </c>
      <c r="AF61" s="75">
        <v>351.96</v>
      </c>
      <c r="AG61" s="75">
        <v>38.17</v>
      </c>
      <c r="AH61" s="75">
        <v>592.34</v>
      </c>
      <c r="AI61" s="75">
        <v>68.86</v>
      </c>
      <c r="AJ61" s="75">
        <v>638.41999999999996</v>
      </c>
      <c r="AK61" s="78">
        <v>34.299999999999997</v>
      </c>
      <c r="AL61" s="75">
        <v>830.49</v>
      </c>
      <c r="AM61" s="75">
        <v>10.19</v>
      </c>
      <c r="AN61" s="75">
        <v>878.68</v>
      </c>
      <c r="AO61" s="75">
        <v>9.49</v>
      </c>
      <c r="AP61" s="78">
        <v>2231.5</v>
      </c>
      <c r="AQ61" s="78">
        <v>7</v>
      </c>
      <c r="AR61" s="75">
        <v>264.31</v>
      </c>
      <c r="AS61" s="75">
        <v>2.4300000000000002</v>
      </c>
      <c r="AT61" s="75">
        <v>218.42</v>
      </c>
      <c r="AU61" s="75">
        <v>0.31</v>
      </c>
      <c r="AV61" s="75">
        <v>595.52</v>
      </c>
      <c r="AW61" s="78">
        <v>58.9</v>
      </c>
      <c r="AX61" s="73" t="s">
        <v>207</v>
      </c>
      <c r="AY61" s="73" t="s">
        <v>207</v>
      </c>
      <c r="AZ61" s="73" t="s">
        <v>207</v>
      </c>
      <c r="BA61" s="73" t="s">
        <v>207</v>
      </c>
      <c r="BB61" s="73" t="s">
        <v>207</v>
      </c>
      <c r="BC61" s="73" t="s">
        <v>207</v>
      </c>
      <c r="BD61" s="73" t="s">
        <v>207</v>
      </c>
      <c r="BE61" s="73" t="s">
        <v>207</v>
      </c>
      <c r="BF61" s="73" t="s">
        <v>207</v>
      </c>
      <c r="BG61" s="73" t="s">
        <v>207</v>
      </c>
      <c r="BH61" s="73" t="s">
        <v>207</v>
      </c>
      <c r="BI61" s="73" t="s">
        <v>207</v>
      </c>
      <c r="BJ61" s="73" t="s">
        <v>207</v>
      </c>
      <c r="BK61" s="73" t="s">
        <v>207</v>
      </c>
      <c r="BL61" s="73" t="s">
        <v>207</v>
      </c>
      <c r="BM61" s="73" t="s">
        <v>207</v>
      </c>
      <c r="BN61" s="73" t="s">
        <v>207</v>
      </c>
      <c r="BO61" s="73" t="s">
        <v>207</v>
      </c>
      <c r="BP61" s="73" t="s">
        <v>207</v>
      </c>
      <c r="BQ61" s="73" t="s">
        <v>207</v>
      </c>
      <c r="BR61" s="73" t="s">
        <v>207</v>
      </c>
      <c r="BS61" s="73" t="s">
        <v>207</v>
      </c>
      <c r="BT61" s="73" t="s">
        <v>207</v>
      </c>
      <c r="BU61" s="73" t="s">
        <v>207</v>
      </c>
    </row>
    <row r="62" spans="1:73">
      <c r="A62" s="72" t="s">
        <v>423</v>
      </c>
      <c r="B62" s="74" t="s">
        <v>207</v>
      </c>
      <c r="C62" s="74" t="s">
        <v>207</v>
      </c>
      <c r="D62" s="74" t="s">
        <v>207</v>
      </c>
      <c r="E62" s="74" t="s">
        <v>207</v>
      </c>
      <c r="F62" s="74" t="s">
        <v>207</v>
      </c>
      <c r="G62" s="74" t="s">
        <v>207</v>
      </c>
      <c r="H62" s="74" t="s">
        <v>207</v>
      </c>
      <c r="I62" s="74" t="s">
        <v>207</v>
      </c>
      <c r="J62" s="74" t="s">
        <v>207</v>
      </c>
      <c r="K62" s="74" t="s">
        <v>207</v>
      </c>
      <c r="L62" s="74" t="s">
        <v>207</v>
      </c>
      <c r="M62" s="74" t="s">
        <v>207</v>
      </c>
      <c r="N62" s="74" t="s">
        <v>207</v>
      </c>
      <c r="O62" s="74" t="s">
        <v>207</v>
      </c>
      <c r="P62" s="74" t="s">
        <v>207</v>
      </c>
      <c r="Q62" s="74" t="s">
        <v>207</v>
      </c>
      <c r="R62" s="74" t="s">
        <v>207</v>
      </c>
      <c r="S62" s="74" t="s">
        <v>207</v>
      </c>
      <c r="T62" s="74" t="s">
        <v>207</v>
      </c>
      <c r="U62" s="74" t="s">
        <v>207</v>
      </c>
      <c r="V62" s="74" t="s">
        <v>207</v>
      </c>
      <c r="W62" s="74" t="s">
        <v>207</v>
      </c>
      <c r="X62" s="74" t="s">
        <v>207</v>
      </c>
      <c r="Y62" s="74" t="s">
        <v>207</v>
      </c>
      <c r="Z62" s="74" t="s">
        <v>207</v>
      </c>
      <c r="AA62" s="74" t="s">
        <v>207</v>
      </c>
      <c r="AB62" s="74" t="s">
        <v>207</v>
      </c>
      <c r="AC62" s="74" t="s">
        <v>207</v>
      </c>
      <c r="AD62" s="74" t="s">
        <v>207</v>
      </c>
      <c r="AE62" s="74" t="s">
        <v>207</v>
      </c>
      <c r="AF62" s="74" t="s">
        <v>207</v>
      </c>
      <c r="AG62" s="74" t="s">
        <v>207</v>
      </c>
      <c r="AH62" s="74" t="s">
        <v>207</v>
      </c>
      <c r="AI62" s="74" t="s">
        <v>207</v>
      </c>
      <c r="AJ62" s="74" t="s">
        <v>207</v>
      </c>
      <c r="AK62" s="74" t="s">
        <v>207</v>
      </c>
      <c r="AL62" s="74" t="s">
        <v>207</v>
      </c>
      <c r="AM62" s="74" t="s">
        <v>207</v>
      </c>
      <c r="AN62" s="74" t="s">
        <v>207</v>
      </c>
      <c r="AO62" s="74" t="s">
        <v>207</v>
      </c>
      <c r="AP62" s="74" t="s">
        <v>207</v>
      </c>
      <c r="AQ62" s="74" t="s">
        <v>207</v>
      </c>
      <c r="AR62" s="74" t="s">
        <v>207</v>
      </c>
      <c r="AS62" s="74" t="s">
        <v>207</v>
      </c>
      <c r="AT62" s="74" t="s">
        <v>207</v>
      </c>
      <c r="AU62" s="74" t="s">
        <v>207</v>
      </c>
      <c r="AV62" s="74" t="s">
        <v>207</v>
      </c>
      <c r="AW62" s="74" t="s">
        <v>207</v>
      </c>
      <c r="AX62" s="76">
        <v>56.69</v>
      </c>
      <c r="AY62" s="76">
        <v>237.95</v>
      </c>
      <c r="AZ62" s="77">
        <v>421.7</v>
      </c>
      <c r="BA62" s="76">
        <v>18.690000000000001</v>
      </c>
      <c r="BB62" s="76">
        <v>586.78</v>
      </c>
      <c r="BC62" s="76">
        <v>30.76</v>
      </c>
      <c r="BD62" s="77">
        <v>452.4</v>
      </c>
      <c r="BE62" s="74" t="s">
        <v>207</v>
      </c>
      <c r="BF62" s="76">
        <v>101.39</v>
      </c>
      <c r="BG62" s="76">
        <v>30.76</v>
      </c>
      <c r="BH62" s="77">
        <v>0.6</v>
      </c>
      <c r="BI62" s="74" t="s">
        <v>207</v>
      </c>
      <c r="BJ62" s="76">
        <v>263.77</v>
      </c>
      <c r="BK62" s="76">
        <v>20.72</v>
      </c>
      <c r="BL62" s="76">
        <v>574.54</v>
      </c>
      <c r="BM62" s="74" t="s">
        <v>207</v>
      </c>
      <c r="BN62" s="76">
        <v>75.150000000000006</v>
      </c>
      <c r="BO62" s="76">
        <v>55.06</v>
      </c>
      <c r="BP62" s="76">
        <v>127.65</v>
      </c>
      <c r="BQ62" s="74" t="s">
        <v>207</v>
      </c>
      <c r="BR62" s="76">
        <v>350.02</v>
      </c>
      <c r="BS62" s="76">
        <v>47.36</v>
      </c>
      <c r="BT62" s="76">
        <v>431.43</v>
      </c>
      <c r="BU62" s="76">
        <v>40.119999999999997</v>
      </c>
    </row>
    <row r="63" spans="1:73">
      <c r="A63" s="72" t="s">
        <v>425</v>
      </c>
      <c r="B63" s="73" t="s">
        <v>207</v>
      </c>
      <c r="C63" s="73" t="s">
        <v>207</v>
      </c>
      <c r="D63" s="73" t="s">
        <v>207</v>
      </c>
      <c r="E63" s="73" t="s">
        <v>207</v>
      </c>
      <c r="F63" s="73" t="s">
        <v>207</v>
      </c>
      <c r="G63" s="73" t="s">
        <v>207</v>
      </c>
      <c r="H63" s="73" t="s">
        <v>207</v>
      </c>
      <c r="I63" s="73" t="s">
        <v>207</v>
      </c>
      <c r="J63" s="73" t="s">
        <v>207</v>
      </c>
      <c r="K63" s="73" t="s">
        <v>207</v>
      </c>
      <c r="L63" s="73" t="s">
        <v>207</v>
      </c>
      <c r="M63" s="73" t="s">
        <v>207</v>
      </c>
      <c r="N63" s="73" t="s">
        <v>207</v>
      </c>
      <c r="O63" s="73" t="s">
        <v>207</v>
      </c>
      <c r="P63" s="73" t="s">
        <v>207</v>
      </c>
      <c r="Q63" s="73" t="s">
        <v>207</v>
      </c>
      <c r="R63" s="73" t="s">
        <v>207</v>
      </c>
      <c r="S63" s="73" t="s">
        <v>207</v>
      </c>
      <c r="T63" s="73" t="s">
        <v>207</v>
      </c>
      <c r="U63" s="73" t="s">
        <v>207</v>
      </c>
      <c r="V63" s="73" t="s">
        <v>207</v>
      </c>
      <c r="W63" s="73" t="s">
        <v>207</v>
      </c>
      <c r="X63" s="73" t="s">
        <v>207</v>
      </c>
      <c r="Y63" s="73" t="s">
        <v>207</v>
      </c>
      <c r="Z63" s="73" t="s">
        <v>207</v>
      </c>
      <c r="AA63" s="73" t="s">
        <v>207</v>
      </c>
      <c r="AB63" s="73" t="s">
        <v>207</v>
      </c>
      <c r="AC63" s="73" t="s">
        <v>207</v>
      </c>
      <c r="AD63" s="73" t="s">
        <v>207</v>
      </c>
      <c r="AE63" s="73" t="s">
        <v>207</v>
      </c>
      <c r="AF63" s="73" t="s">
        <v>207</v>
      </c>
      <c r="AG63" s="73" t="s">
        <v>207</v>
      </c>
      <c r="AH63" s="73" t="s">
        <v>207</v>
      </c>
      <c r="AI63" s="73" t="s">
        <v>207</v>
      </c>
      <c r="AJ63" s="73" t="s">
        <v>207</v>
      </c>
      <c r="AK63" s="73" t="s">
        <v>207</v>
      </c>
      <c r="AL63" s="73" t="s">
        <v>207</v>
      </c>
      <c r="AM63" s="73" t="s">
        <v>207</v>
      </c>
      <c r="AN63" s="73" t="s">
        <v>207</v>
      </c>
      <c r="AO63" s="73" t="s">
        <v>207</v>
      </c>
      <c r="AP63" s="73" t="s">
        <v>207</v>
      </c>
      <c r="AQ63" s="73" t="s">
        <v>207</v>
      </c>
      <c r="AR63" s="73" t="s">
        <v>207</v>
      </c>
      <c r="AS63" s="73" t="s">
        <v>207</v>
      </c>
      <c r="AT63" s="73" t="s">
        <v>207</v>
      </c>
      <c r="AU63" s="73" t="s">
        <v>207</v>
      </c>
      <c r="AV63" s="73" t="s">
        <v>207</v>
      </c>
      <c r="AW63" s="73" t="s">
        <v>207</v>
      </c>
      <c r="AX63" s="75">
        <v>262.91000000000003</v>
      </c>
      <c r="AY63" s="78">
        <v>17</v>
      </c>
      <c r="AZ63" s="75">
        <v>481.19</v>
      </c>
      <c r="BA63" s="75">
        <v>10.24</v>
      </c>
      <c r="BB63" s="75">
        <v>587.08000000000004</v>
      </c>
      <c r="BC63" s="75">
        <v>264.97000000000003</v>
      </c>
      <c r="BD63" s="75">
        <v>374.54</v>
      </c>
      <c r="BE63" s="78">
        <v>17.2</v>
      </c>
      <c r="BF63" s="75">
        <v>492.05</v>
      </c>
      <c r="BG63" s="75">
        <v>21.43</v>
      </c>
      <c r="BH63" s="75">
        <v>410.62</v>
      </c>
      <c r="BI63" s="75">
        <v>9.34</v>
      </c>
      <c r="BJ63" s="75">
        <v>112.87</v>
      </c>
      <c r="BK63" s="75">
        <v>7.02</v>
      </c>
      <c r="BL63" s="75">
        <v>39.31</v>
      </c>
      <c r="BM63" s="75">
        <v>8.93</v>
      </c>
      <c r="BN63" s="75">
        <v>349.98</v>
      </c>
      <c r="BO63" s="75">
        <v>15.81</v>
      </c>
      <c r="BP63" s="75">
        <v>324.68</v>
      </c>
      <c r="BQ63" s="75">
        <v>12.93</v>
      </c>
      <c r="BR63" s="75">
        <v>240.57</v>
      </c>
      <c r="BS63" s="75">
        <v>31.27</v>
      </c>
      <c r="BT63" s="75">
        <v>257.32</v>
      </c>
      <c r="BU63" s="78">
        <v>3.5</v>
      </c>
    </row>
    <row r="64" spans="1:73">
      <c r="A64" s="72" t="s">
        <v>427</v>
      </c>
      <c r="B64" s="76">
        <v>93604.69</v>
      </c>
      <c r="C64" s="77">
        <v>70</v>
      </c>
      <c r="D64" s="77">
        <v>81607</v>
      </c>
      <c r="E64" s="74" t="s">
        <v>207</v>
      </c>
      <c r="F64" s="76">
        <v>82610.61</v>
      </c>
      <c r="G64" s="77">
        <v>91</v>
      </c>
      <c r="H64" s="76">
        <v>78798.78</v>
      </c>
      <c r="I64" s="77">
        <v>70.400000000000006</v>
      </c>
      <c r="J64" s="77">
        <v>85760.7</v>
      </c>
      <c r="K64" s="76">
        <v>140.34</v>
      </c>
      <c r="L64" s="76">
        <v>82052.52</v>
      </c>
      <c r="M64" s="77">
        <v>80.8</v>
      </c>
      <c r="N64" s="76">
        <v>58533.09</v>
      </c>
      <c r="O64" s="77">
        <v>20.3</v>
      </c>
      <c r="P64" s="76">
        <v>67932.09</v>
      </c>
      <c r="Q64" s="74" t="s">
        <v>207</v>
      </c>
      <c r="R64" s="76">
        <v>111723.02</v>
      </c>
      <c r="S64" s="76">
        <v>135.06</v>
      </c>
      <c r="T64" s="76">
        <v>73796.83</v>
      </c>
      <c r="U64" s="76">
        <v>101.69</v>
      </c>
      <c r="V64" s="76">
        <v>100243.28</v>
      </c>
      <c r="W64" s="77">
        <v>60</v>
      </c>
      <c r="X64" s="76">
        <v>49165.31</v>
      </c>
      <c r="Y64" s="74" t="s">
        <v>207</v>
      </c>
      <c r="Z64" s="76">
        <v>107525.85</v>
      </c>
      <c r="AA64" s="77">
        <v>49.4</v>
      </c>
      <c r="AB64" s="76">
        <v>431237.86</v>
      </c>
      <c r="AC64" s="77">
        <v>25</v>
      </c>
      <c r="AD64" s="76">
        <v>202825.47</v>
      </c>
      <c r="AE64" s="77">
        <v>89.9</v>
      </c>
      <c r="AF64" s="76">
        <v>334322.77</v>
      </c>
      <c r="AG64" s="77">
        <v>20</v>
      </c>
      <c r="AH64" s="76">
        <v>96734.27</v>
      </c>
      <c r="AI64" s="77">
        <v>119.2</v>
      </c>
      <c r="AJ64" s="77">
        <v>59393.2</v>
      </c>
      <c r="AK64" s="74" t="s">
        <v>207</v>
      </c>
      <c r="AL64" s="76">
        <v>214368.86</v>
      </c>
      <c r="AM64" s="77">
        <v>206.1</v>
      </c>
      <c r="AN64" s="76">
        <v>221498.19</v>
      </c>
      <c r="AO64" s="77">
        <v>40.299999999999997</v>
      </c>
      <c r="AP64" s="76">
        <v>210452.36</v>
      </c>
      <c r="AQ64" s="77">
        <v>37.4</v>
      </c>
      <c r="AR64" s="76">
        <v>231276.94</v>
      </c>
      <c r="AS64" s="77">
        <v>90</v>
      </c>
      <c r="AT64" s="76">
        <v>331517.95</v>
      </c>
      <c r="AU64" s="74" t="s">
        <v>207</v>
      </c>
      <c r="AV64" s="76">
        <v>240234.71</v>
      </c>
      <c r="AW64" s="77">
        <v>54.4</v>
      </c>
      <c r="AX64" s="76">
        <v>19495.27</v>
      </c>
      <c r="AY64" s="76">
        <v>317.45</v>
      </c>
      <c r="AZ64" s="77">
        <v>21793.7</v>
      </c>
      <c r="BA64" s="77">
        <v>31.3</v>
      </c>
      <c r="BB64" s="76">
        <v>45768.87</v>
      </c>
      <c r="BC64" s="76">
        <v>6.61</v>
      </c>
      <c r="BD64" s="76">
        <v>20443.990000000002</v>
      </c>
      <c r="BE64" s="76">
        <v>56.22</v>
      </c>
      <c r="BF64" s="76">
        <v>15384.72</v>
      </c>
      <c r="BG64" s="76">
        <v>21.57</v>
      </c>
      <c r="BH64" s="76">
        <v>23157.02</v>
      </c>
      <c r="BI64" s="76">
        <v>7570.24</v>
      </c>
      <c r="BJ64" s="76">
        <v>47433.86</v>
      </c>
      <c r="BK64" s="76">
        <v>19.34</v>
      </c>
      <c r="BL64" s="76">
        <v>20288.830000000002</v>
      </c>
      <c r="BM64" s="77">
        <v>56.2</v>
      </c>
      <c r="BN64" s="76">
        <v>22103.49</v>
      </c>
      <c r="BO64" s="76">
        <v>252.49</v>
      </c>
      <c r="BP64" s="76">
        <v>17642.97</v>
      </c>
      <c r="BQ64" s="76">
        <v>7.24</v>
      </c>
      <c r="BR64" s="76">
        <v>22740.73</v>
      </c>
      <c r="BS64" s="76">
        <v>55.56</v>
      </c>
      <c r="BT64" s="76">
        <v>17008.48</v>
      </c>
      <c r="BU64" s="76">
        <v>38.42</v>
      </c>
    </row>
    <row r="65" spans="1:73">
      <c r="A65" s="72" t="s">
        <v>429</v>
      </c>
      <c r="B65" s="75">
        <v>1733.15</v>
      </c>
      <c r="C65" s="75">
        <v>4.08</v>
      </c>
      <c r="D65" s="75">
        <v>1564.63</v>
      </c>
      <c r="E65" s="73" t="s">
        <v>207</v>
      </c>
      <c r="F65" s="75">
        <v>2004.99</v>
      </c>
      <c r="G65" s="75">
        <v>15.55</v>
      </c>
      <c r="H65" s="75">
        <v>13030.12</v>
      </c>
      <c r="I65" s="75">
        <v>6.05</v>
      </c>
      <c r="J65" s="75">
        <v>2340.7800000000002</v>
      </c>
      <c r="K65" s="75">
        <v>10.61</v>
      </c>
      <c r="L65" s="75">
        <v>2901.15</v>
      </c>
      <c r="M65" s="75">
        <v>34.56</v>
      </c>
      <c r="N65" s="75">
        <v>12949.84</v>
      </c>
      <c r="O65" s="73" t="s">
        <v>207</v>
      </c>
      <c r="P65" s="78">
        <v>2500.6999999999998</v>
      </c>
      <c r="Q65" s="75">
        <v>1.91</v>
      </c>
      <c r="R65" s="78">
        <v>3518.2</v>
      </c>
      <c r="S65" s="75">
        <v>9.84</v>
      </c>
      <c r="T65" s="75">
        <v>23349.41</v>
      </c>
      <c r="U65" s="73" t="s">
        <v>207</v>
      </c>
      <c r="V65" s="75">
        <v>12420.25</v>
      </c>
      <c r="W65" s="75">
        <v>2.04</v>
      </c>
      <c r="X65" s="78">
        <v>13249.2</v>
      </c>
      <c r="Y65" s="75">
        <v>19.21</v>
      </c>
      <c r="Z65" s="75">
        <v>31180.71</v>
      </c>
      <c r="AA65" s="75">
        <v>8.23</v>
      </c>
      <c r="AB65" s="75">
        <v>4325.05</v>
      </c>
      <c r="AC65" s="78">
        <v>13.1</v>
      </c>
      <c r="AD65" s="75">
        <v>7087.01</v>
      </c>
      <c r="AE65" s="75">
        <v>4.95</v>
      </c>
      <c r="AF65" s="75">
        <v>4768.3500000000004</v>
      </c>
      <c r="AG65" s="75">
        <v>14.88</v>
      </c>
      <c r="AH65" s="75">
        <v>1898.27</v>
      </c>
      <c r="AI65" s="75">
        <v>2.89</v>
      </c>
      <c r="AJ65" s="78">
        <v>3203.9</v>
      </c>
      <c r="AK65" s="75">
        <v>0.94</v>
      </c>
      <c r="AL65" s="75">
        <v>5450.75</v>
      </c>
      <c r="AM65" s="78">
        <v>4.8</v>
      </c>
      <c r="AN65" s="75">
        <v>2967.71</v>
      </c>
      <c r="AO65" s="75">
        <v>7.11</v>
      </c>
      <c r="AP65" s="75">
        <v>3204.43</v>
      </c>
      <c r="AQ65" s="78">
        <v>47</v>
      </c>
      <c r="AR65" s="75">
        <v>5967.36</v>
      </c>
      <c r="AS65" s="75">
        <v>2.5499999999999998</v>
      </c>
      <c r="AT65" s="75">
        <v>24248.57</v>
      </c>
      <c r="AU65" s="75">
        <v>10.15</v>
      </c>
      <c r="AV65" s="75">
        <v>13330.93</v>
      </c>
      <c r="AW65" s="75">
        <v>6.64</v>
      </c>
      <c r="AX65" s="75">
        <v>8676.16</v>
      </c>
      <c r="AY65" s="75">
        <v>537.69000000000005</v>
      </c>
      <c r="AZ65" s="75">
        <v>10978.16</v>
      </c>
      <c r="BA65" s="75">
        <v>27.73</v>
      </c>
      <c r="BB65" s="75">
        <v>4943.8100000000004</v>
      </c>
      <c r="BC65" s="75">
        <v>11.49</v>
      </c>
      <c r="BD65" s="75">
        <v>25824.05</v>
      </c>
      <c r="BE65" s="75">
        <v>11.85</v>
      </c>
      <c r="BF65" s="75">
        <v>25282.81</v>
      </c>
      <c r="BG65" s="75">
        <v>533.80999999999995</v>
      </c>
      <c r="BH65" s="75">
        <v>15246.04</v>
      </c>
      <c r="BI65" s="75">
        <v>0.26</v>
      </c>
      <c r="BJ65" s="75">
        <v>13569.35</v>
      </c>
      <c r="BK65" s="75">
        <v>12.06</v>
      </c>
      <c r="BL65" s="75">
        <v>3060.35</v>
      </c>
      <c r="BM65" s="75">
        <v>1.93</v>
      </c>
      <c r="BN65" s="78">
        <v>17771.7</v>
      </c>
      <c r="BO65" s="75">
        <v>75.58</v>
      </c>
      <c r="BP65" s="75">
        <v>5621.12</v>
      </c>
      <c r="BQ65" s="78">
        <v>6.9</v>
      </c>
      <c r="BR65" s="75">
        <v>5479.31</v>
      </c>
      <c r="BS65" s="75">
        <v>17.77</v>
      </c>
      <c r="BT65" s="75">
        <v>3570.87</v>
      </c>
      <c r="BU65" s="75">
        <v>7.49</v>
      </c>
    </row>
    <row r="66" spans="1:73">
      <c r="A66" s="72" t="s">
        <v>431</v>
      </c>
      <c r="B66" s="76">
        <v>40.130000000000003</v>
      </c>
      <c r="C66" s="76">
        <v>0.51</v>
      </c>
      <c r="D66" s="76">
        <v>15.37</v>
      </c>
      <c r="E66" s="76">
        <v>1.72</v>
      </c>
      <c r="F66" s="76">
        <v>39.99</v>
      </c>
      <c r="G66" s="76">
        <v>0.37</v>
      </c>
      <c r="H66" s="76">
        <v>250.28</v>
      </c>
      <c r="I66" s="76">
        <v>0.35</v>
      </c>
      <c r="J66" s="76">
        <v>4.26</v>
      </c>
      <c r="K66" s="76">
        <v>0.38</v>
      </c>
      <c r="L66" s="76">
        <v>42.98</v>
      </c>
      <c r="M66" s="76">
        <v>1.51</v>
      </c>
      <c r="N66" s="76">
        <v>3.68</v>
      </c>
      <c r="O66" s="76">
        <v>0.62</v>
      </c>
      <c r="P66" s="76">
        <v>55.68</v>
      </c>
      <c r="Q66" s="76">
        <v>0.38</v>
      </c>
      <c r="R66" s="76">
        <v>39.49</v>
      </c>
      <c r="S66" s="76">
        <v>0.28000000000000003</v>
      </c>
      <c r="T66" s="76">
        <v>5.64</v>
      </c>
      <c r="U66" s="76">
        <v>0.41</v>
      </c>
      <c r="V66" s="76">
        <v>2.75</v>
      </c>
      <c r="W66" s="76">
        <v>0.13</v>
      </c>
      <c r="X66" s="77">
        <v>1.5</v>
      </c>
      <c r="Y66" s="76">
        <v>0.28999999999999998</v>
      </c>
      <c r="Z66" s="77">
        <v>12.5</v>
      </c>
      <c r="AA66" s="76">
        <v>2.5099999999999998</v>
      </c>
      <c r="AB66" s="76">
        <v>8.15</v>
      </c>
      <c r="AC66" s="76">
        <v>2.62</v>
      </c>
      <c r="AD66" s="76">
        <v>0.21</v>
      </c>
      <c r="AE66" s="76">
        <v>0.64</v>
      </c>
      <c r="AF66" s="76">
        <v>47.69</v>
      </c>
      <c r="AG66" s="76">
        <v>0.44</v>
      </c>
      <c r="AH66" s="77">
        <v>24.5</v>
      </c>
      <c r="AI66" s="76">
        <v>0.38</v>
      </c>
      <c r="AJ66" s="76">
        <v>307.36</v>
      </c>
      <c r="AK66" s="76">
        <v>0.71</v>
      </c>
      <c r="AL66" s="76">
        <v>10.37</v>
      </c>
      <c r="AM66" s="76">
        <v>3.14</v>
      </c>
      <c r="AN66" s="76">
        <v>137.88999999999999</v>
      </c>
      <c r="AO66" s="76">
        <v>0.44</v>
      </c>
      <c r="AP66" s="76">
        <v>28.64</v>
      </c>
      <c r="AQ66" s="76">
        <v>0.11</v>
      </c>
      <c r="AR66" s="76">
        <v>33.409999999999997</v>
      </c>
      <c r="AS66" s="76">
        <v>0.05</v>
      </c>
      <c r="AT66" s="76">
        <v>4.55</v>
      </c>
      <c r="AU66" s="76">
        <v>0.03</v>
      </c>
      <c r="AV66" s="77">
        <v>2.7</v>
      </c>
      <c r="AW66" s="76">
        <v>0.15</v>
      </c>
      <c r="AX66" s="76">
        <v>41.92</v>
      </c>
      <c r="AY66" s="76">
        <v>0.99</v>
      </c>
      <c r="AZ66" s="76">
        <v>508.59</v>
      </c>
      <c r="BA66" s="76">
        <v>0.56000000000000005</v>
      </c>
      <c r="BB66" s="76">
        <v>66.87</v>
      </c>
      <c r="BC66" s="77">
        <v>0.7</v>
      </c>
      <c r="BD66" s="76">
        <v>30.38</v>
      </c>
      <c r="BE66" s="76">
        <v>7.84</v>
      </c>
      <c r="BF66" s="76">
        <v>201.55</v>
      </c>
      <c r="BG66" s="76">
        <v>1.23</v>
      </c>
      <c r="BH66" s="76">
        <v>83.54</v>
      </c>
      <c r="BI66" s="76">
        <v>0.17</v>
      </c>
      <c r="BJ66" s="77">
        <v>185.1</v>
      </c>
      <c r="BK66" s="76">
        <v>0.11</v>
      </c>
      <c r="BL66" s="76">
        <v>80.33</v>
      </c>
      <c r="BM66" s="77">
        <v>0.3</v>
      </c>
      <c r="BN66" s="77">
        <v>325.8</v>
      </c>
      <c r="BO66" s="76">
        <v>0.43</v>
      </c>
      <c r="BP66" s="76">
        <v>98.29</v>
      </c>
      <c r="BQ66" s="76">
        <v>0.68</v>
      </c>
      <c r="BR66" s="76">
        <v>6.97</v>
      </c>
      <c r="BS66" s="76">
        <v>0.14000000000000001</v>
      </c>
      <c r="BT66" s="76">
        <v>242.22</v>
      </c>
      <c r="BU66" s="76">
        <v>0.28000000000000003</v>
      </c>
    </row>
    <row r="67" spans="1:73">
      <c r="A67" s="72" t="s">
        <v>433</v>
      </c>
      <c r="B67" s="75">
        <v>4710.5600000000004</v>
      </c>
      <c r="C67" s="75">
        <v>39.520000000000003</v>
      </c>
      <c r="D67" s="75">
        <v>2531.23</v>
      </c>
      <c r="E67" s="78">
        <v>207.8</v>
      </c>
      <c r="F67" s="75">
        <v>3212.85</v>
      </c>
      <c r="G67" s="75">
        <v>494.36</v>
      </c>
      <c r="H67" s="78">
        <v>4921.1000000000004</v>
      </c>
      <c r="I67" s="75">
        <v>91.37</v>
      </c>
      <c r="J67" s="75">
        <v>5962.48</v>
      </c>
      <c r="K67" s="78">
        <v>97.2</v>
      </c>
      <c r="L67" s="75">
        <v>4666.88</v>
      </c>
      <c r="M67" s="78">
        <v>163.6</v>
      </c>
      <c r="N67" s="78">
        <v>59382.8</v>
      </c>
      <c r="O67" s="75">
        <v>63.94</v>
      </c>
      <c r="P67" s="78">
        <v>3268.5</v>
      </c>
      <c r="Q67" s="75">
        <v>181.58</v>
      </c>
      <c r="R67" s="75">
        <v>29593.87</v>
      </c>
      <c r="S67" s="78">
        <v>90.8</v>
      </c>
      <c r="T67" s="75">
        <v>63249.95</v>
      </c>
      <c r="U67" s="78">
        <v>111.7</v>
      </c>
      <c r="V67" s="78">
        <v>2781.6</v>
      </c>
      <c r="W67" s="78">
        <v>245.9</v>
      </c>
      <c r="X67" s="78">
        <v>3083.2</v>
      </c>
      <c r="Y67" s="78">
        <v>133.30000000000001</v>
      </c>
      <c r="Z67" s="75">
        <v>3032.53</v>
      </c>
      <c r="AA67" s="78">
        <v>175.5</v>
      </c>
      <c r="AB67" s="78">
        <v>2844.3</v>
      </c>
      <c r="AC67" s="78">
        <v>672.7</v>
      </c>
      <c r="AD67" s="75">
        <v>4700.82</v>
      </c>
      <c r="AE67" s="75">
        <v>26.92</v>
      </c>
      <c r="AF67" s="75">
        <v>62640.44</v>
      </c>
      <c r="AG67" s="78">
        <v>3403.8</v>
      </c>
      <c r="AH67" s="75">
        <v>3625.37</v>
      </c>
      <c r="AI67" s="78">
        <v>518.5</v>
      </c>
      <c r="AJ67" s="75">
        <v>3180.25</v>
      </c>
      <c r="AK67" s="78">
        <v>40.700000000000003</v>
      </c>
      <c r="AL67" s="75">
        <v>4518.42</v>
      </c>
      <c r="AM67" s="78">
        <v>30.8</v>
      </c>
      <c r="AN67" s="75">
        <v>5009.75</v>
      </c>
      <c r="AO67" s="78">
        <v>0.8</v>
      </c>
      <c r="AP67" s="75">
        <v>4702.08</v>
      </c>
      <c r="AQ67" s="78">
        <v>1093.8</v>
      </c>
      <c r="AR67" s="75">
        <v>3555.88</v>
      </c>
      <c r="AS67" s="78">
        <v>403.7</v>
      </c>
      <c r="AT67" s="75">
        <v>3995.58</v>
      </c>
      <c r="AU67" s="78">
        <v>27</v>
      </c>
      <c r="AV67" s="75">
        <v>26225.49</v>
      </c>
      <c r="AW67" s="75">
        <v>4.3099999999999996</v>
      </c>
      <c r="AX67" s="75">
        <v>3971.71</v>
      </c>
      <c r="AY67" s="78">
        <v>2.7</v>
      </c>
      <c r="AZ67" s="75">
        <v>65569.77</v>
      </c>
      <c r="BA67" s="78">
        <v>75.599999999999994</v>
      </c>
      <c r="BB67" s="75">
        <v>4412.3100000000004</v>
      </c>
      <c r="BC67" s="78">
        <v>8.1999999999999993</v>
      </c>
      <c r="BD67" s="75">
        <v>5187.91</v>
      </c>
      <c r="BE67" s="75">
        <v>50.74</v>
      </c>
      <c r="BF67" s="75">
        <v>6809.57</v>
      </c>
      <c r="BG67" s="75">
        <v>56.07</v>
      </c>
      <c r="BH67" s="75">
        <v>3950.06</v>
      </c>
      <c r="BI67" s="78">
        <v>1</v>
      </c>
      <c r="BJ67" s="78">
        <v>7660.1</v>
      </c>
      <c r="BK67" s="75">
        <v>0.15</v>
      </c>
      <c r="BL67" s="75">
        <v>46422.02</v>
      </c>
      <c r="BM67" s="75">
        <v>58.62</v>
      </c>
      <c r="BN67" s="75">
        <v>3842.35</v>
      </c>
      <c r="BO67" s="78">
        <v>30.8</v>
      </c>
      <c r="BP67" s="75">
        <v>24401.75</v>
      </c>
      <c r="BQ67" s="78">
        <v>24</v>
      </c>
      <c r="BR67" s="75">
        <v>24034.28</v>
      </c>
      <c r="BS67" s="75">
        <v>220.98</v>
      </c>
      <c r="BT67" s="75">
        <v>44480.58</v>
      </c>
      <c r="BU67" s="75">
        <v>0.01</v>
      </c>
    </row>
    <row r="68" spans="1:73">
      <c r="A68" s="72" t="s">
        <v>435</v>
      </c>
      <c r="B68" s="76">
        <v>293902.94</v>
      </c>
      <c r="C68" s="76">
        <v>281.95</v>
      </c>
      <c r="D68" s="76">
        <v>275093.03999999998</v>
      </c>
      <c r="E68" s="76">
        <v>393.94</v>
      </c>
      <c r="F68" s="76">
        <v>225540.92</v>
      </c>
      <c r="G68" s="76">
        <v>544.48</v>
      </c>
      <c r="H68" s="76">
        <v>264704.07</v>
      </c>
      <c r="I68" s="76">
        <v>521.35</v>
      </c>
      <c r="J68" s="76">
        <v>128318.94</v>
      </c>
      <c r="K68" s="77">
        <v>602.6</v>
      </c>
      <c r="L68" s="76">
        <v>264217.51</v>
      </c>
      <c r="M68" s="76">
        <v>55.06</v>
      </c>
      <c r="N68" s="76">
        <v>134035.46</v>
      </c>
      <c r="O68" s="76">
        <v>624.69000000000005</v>
      </c>
      <c r="P68" s="76">
        <v>201154.43</v>
      </c>
      <c r="Q68" s="76">
        <v>692.29</v>
      </c>
      <c r="R68" s="76">
        <v>194597.65</v>
      </c>
      <c r="S68" s="76">
        <v>758.55</v>
      </c>
      <c r="T68" s="76">
        <v>95225.55</v>
      </c>
      <c r="U68" s="76">
        <v>610.54999999999995</v>
      </c>
      <c r="V68" s="76">
        <v>121190.16</v>
      </c>
      <c r="W68" s="77">
        <v>360</v>
      </c>
      <c r="X68" s="76">
        <v>102173.07</v>
      </c>
      <c r="Y68" s="77">
        <v>110.6</v>
      </c>
      <c r="Z68" s="76">
        <v>56478.81</v>
      </c>
      <c r="AA68" s="76">
        <v>986.85</v>
      </c>
      <c r="AB68" s="76">
        <v>131775.12</v>
      </c>
      <c r="AC68" s="76">
        <v>155.86000000000001</v>
      </c>
      <c r="AD68" s="76">
        <v>90843.78</v>
      </c>
      <c r="AE68" s="76">
        <v>863.19</v>
      </c>
      <c r="AF68" s="76">
        <v>96948.02</v>
      </c>
      <c r="AG68" s="76">
        <v>47.82</v>
      </c>
      <c r="AH68" s="76">
        <v>68033.77</v>
      </c>
      <c r="AI68" s="77">
        <v>495.6</v>
      </c>
      <c r="AJ68" s="76">
        <v>55338.18</v>
      </c>
      <c r="AK68" s="77">
        <v>517.20000000000005</v>
      </c>
      <c r="AL68" s="76">
        <v>77793.59</v>
      </c>
      <c r="AM68" s="77">
        <v>388.8</v>
      </c>
      <c r="AN68" s="76">
        <v>39538.82</v>
      </c>
      <c r="AO68" s="77">
        <v>759.9</v>
      </c>
      <c r="AP68" s="76">
        <v>72962.820000000007</v>
      </c>
      <c r="AQ68" s="76">
        <v>943.95</v>
      </c>
      <c r="AR68" s="76">
        <v>34364.79</v>
      </c>
      <c r="AS68" s="76">
        <v>496.94</v>
      </c>
      <c r="AT68" s="76">
        <v>59412.06</v>
      </c>
      <c r="AU68" s="76">
        <v>411.12</v>
      </c>
      <c r="AV68" s="76">
        <v>37729.33</v>
      </c>
      <c r="AW68" s="76">
        <v>640.75</v>
      </c>
      <c r="AX68" s="76">
        <v>5537.19</v>
      </c>
      <c r="AY68" s="77">
        <v>139.30000000000001</v>
      </c>
      <c r="AZ68" s="76">
        <v>7400.91</v>
      </c>
      <c r="BA68" s="76">
        <v>6.01</v>
      </c>
      <c r="BB68" s="76">
        <v>6865.52</v>
      </c>
      <c r="BC68" s="76">
        <v>6342.24</v>
      </c>
      <c r="BD68" s="76">
        <v>37124.57</v>
      </c>
      <c r="BE68" s="77">
        <v>8.1999999999999993</v>
      </c>
      <c r="BF68" s="76">
        <v>13218.74</v>
      </c>
      <c r="BG68" s="76">
        <v>9.2899999999999991</v>
      </c>
      <c r="BH68" s="76">
        <v>14829.56</v>
      </c>
      <c r="BI68" s="76">
        <v>6.17</v>
      </c>
      <c r="BJ68" s="76">
        <v>8967.5300000000007</v>
      </c>
      <c r="BK68" s="76">
        <v>6.22</v>
      </c>
      <c r="BL68" s="76">
        <v>11833.99</v>
      </c>
      <c r="BM68" s="76">
        <v>8.68</v>
      </c>
      <c r="BN68" s="76">
        <v>33189.760000000002</v>
      </c>
      <c r="BO68" s="76">
        <v>6.81</v>
      </c>
      <c r="BP68" s="76">
        <v>13619.59</v>
      </c>
      <c r="BQ68" s="74" t="s">
        <v>207</v>
      </c>
      <c r="BR68" s="76">
        <v>13641.42</v>
      </c>
      <c r="BS68" s="77">
        <v>1</v>
      </c>
      <c r="BT68" s="76">
        <v>11635.21</v>
      </c>
      <c r="BU68" s="74" t="s">
        <v>207</v>
      </c>
    </row>
    <row r="69" spans="1:73">
      <c r="A69" s="72" t="s">
        <v>437</v>
      </c>
      <c r="B69" s="75">
        <v>57350.59</v>
      </c>
      <c r="C69" s="75">
        <v>13.34</v>
      </c>
      <c r="D69" s="75">
        <v>60336.35</v>
      </c>
      <c r="E69" s="78">
        <v>175.5</v>
      </c>
      <c r="F69" s="75">
        <v>63947.040000000001</v>
      </c>
      <c r="G69" s="75">
        <v>265.11</v>
      </c>
      <c r="H69" s="75">
        <v>66846.490000000005</v>
      </c>
      <c r="I69" s="75">
        <v>184.71</v>
      </c>
      <c r="J69" s="75">
        <v>62201.49</v>
      </c>
      <c r="K69" s="75">
        <v>83.49</v>
      </c>
      <c r="L69" s="75">
        <v>55186.239999999998</v>
      </c>
      <c r="M69" s="75">
        <v>260.02999999999997</v>
      </c>
      <c r="N69" s="75">
        <v>58479.519999999997</v>
      </c>
      <c r="O69" s="75">
        <v>408.79</v>
      </c>
      <c r="P69" s="75">
        <v>57292.91</v>
      </c>
      <c r="Q69" s="78">
        <v>56.7</v>
      </c>
      <c r="R69" s="75">
        <v>66214.69</v>
      </c>
      <c r="S69" s="75">
        <v>72.349999999999994</v>
      </c>
      <c r="T69" s="75">
        <v>61403.22</v>
      </c>
      <c r="U69" s="75">
        <v>315.05</v>
      </c>
      <c r="V69" s="75">
        <v>51466.239999999998</v>
      </c>
      <c r="W69" s="78">
        <v>97.6</v>
      </c>
      <c r="X69" s="75">
        <v>89783.29</v>
      </c>
      <c r="Y69" s="75">
        <v>700.77</v>
      </c>
      <c r="Z69" s="78">
        <v>73911.5</v>
      </c>
      <c r="AA69" s="75">
        <v>760.48</v>
      </c>
      <c r="AB69" s="75">
        <v>59854.77</v>
      </c>
      <c r="AC69" s="78">
        <v>491.9</v>
      </c>
      <c r="AD69" s="75">
        <v>72353.539999999994</v>
      </c>
      <c r="AE69" s="78">
        <v>1339.8</v>
      </c>
      <c r="AF69" s="75">
        <v>66616.509999999995</v>
      </c>
      <c r="AG69" s="78">
        <v>799.2</v>
      </c>
      <c r="AH69" s="75">
        <v>61595.22</v>
      </c>
      <c r="AI69" s="75">
        <v>580.32000000000005</v>
      </c>
      <c r="AJ69" s="75">
        <v>50077.07</v>
      </c>
      <c r="AK69" s="78">
        <v>430.9</v>
      </c>
      <c r="AL69" s="75">
        <v>88389.55</v>
      </c>
      <c r="AM69" s="78">
        <v>693</v>
      </c>
      <c r="AN69" s="75">
        <v>86831.69</v>
      </c>
      <c r="AO69" s="75">
        <v>452.65</v>
      </c>
      <c r="AP69" s="75">
        <v>59727.95</v>
      </c>
      <c r="AQ69" s="78">
        <v>606.9</v>
      </c>
      <c r="AR69" s="75">
        <v>104510.45</v>
      </c>
      <c r="AS69" s="75">
        <v>358.47</v>
      </c>
      <c r="AT69" s="75">
        <v>88445.29</v>
      </c>
      <c r="AU69" s="78">
        <v>223.6</v>
      </c>
      <c r="AV69" s="75">
        <v>77945.27</v>
      </c>
      <c r="AW69" s="75">
        <v>94.09</v>
      </c>
      <c r="AX69" s="75">
        <v>41799.65</v>
      </c>
      <c r="AY69" s="75">
        <v>752.63</v>
      </c>
      <c r="AZ69" s="75">
        <v>53963.92</v>
      </c>
      <c r="BA69" s="75">
        <v>1111.05</v>
      </c>
      <c r="BB69" s="75">
        <v>71804.45</v>
      </c>
      <c r="BC69" s="75">
        <v>420.01</v>
      </c>
      <c r="BD69" s="75">
        <v>49904.63</v>
      </c>
      <c r="BE69" s="75">
        <v>1007.64</v>
      </c>
      <c r="BF69" s="78">
        <v>48857.9</v>
      </c>
      <c r="BG69" s="75">
        <v>224.91</v>
      </c>
      <c r="BH69" s="75">
        <v>39363.449999999997</v>
      </c>
      <c r="BI69" s="75">
        <v>310.57</v>
      </c>
      <c r="BJ69" s="75">
        <v>42536.88</v>
      </c>
      <c r="BK69" s="75">
        <v>436.96</v>
      </c>
      <c r="BL69" s="75">
        <v>43853.42</v>
      </c>
      <c r="BM69" s="75">
        <v>89.04</v>
      </c>
      <c r="BN69" s="75">
        <v>58849.58</v>
      </c>
      <c r="BO69" s="75">
        <v>458.59</v>
      </c>
      <c r="BP69" s="75">
        <v>41826.07</v>
      </c>
      <c r="BQ69" s="75">
        <v>31.35</v>
      </c>
      <c r="BR69" s="75">
        <v>43588.84</v>
      </c>
      <c r="BS69" s="75">
        <v>1035.78</v>
      </c>
      <c r="BT69" s="75">
        <v>44911.05</v>
      </c>
      <c r="BU69" s="75">
        <v>241.04</v>
      </c>
    </row>
    <row r="70" spans="1:73">
      <c r="A70" s="72" t="s">
        <v>439</v>
      </c>
      <c r="B70" s="76">
        <v>6737.74</v>
      </c>
      <c r="C70" s="76">
        <v>50077.45</v>
      </c>
      <c r="D70" s="76">
        <v>4541.29</v>
      </c>
      <c r="E70" s="76">
        <v>123.56</v>
      </c>
      <c r="F70" s="76">
        <v>3218.59</v>
      </c>
      <c r="G70" s="76">
        <v>124.92</v>
      </c>
      <c r="H70" s="76">
        <v>10187.27</v>
      </c>
      <c r="I70" s="76">
        <v>868.97</v>
      </c>
      <c r="J70" s="77">
        <v>11813</v>
      </c>
      <c r="K70" s="76">
        <v>1812.75</v>
      </c>
      <c r="L70" s="76">
        <v>10757.04</v>
      </c>
      <c r="M70" s="76">
        <v>742.91</v>
      </c>
      <c r="N70" s="76">
        <v>520.97</v>
      </c>
      <c r="O70" s="76">
        <v>740.07</v>
      </c>
      <c r="P70" s="76">
        <v>419.77</v>
      </c>
      <c r="Q70" s="76">
        <v>252.95</v>
      </c>
      <c r="R70" s="76">
        <v>876.99</v>
      </c>
      <c r="S70" s="77">
        <v>1126.7</v>
      </c>
      <c r="T70" s="76">
        <v>297.19</v>
      </c>
      <c r="U70" s="76">
        <v>806.71</v>
      </c>
      <c r="V70" s="76">
        <v>1648.33</v>
      </c>
      <c r="W70" s="76">
        <v>939.21</v>
      </c>
      <c r="X70" s="76">
        <v>124.02</v>
      </c>
      <c r="Y70" s="76">
        <v>631.74</v>
      </c>
      <c r="Z70" s="76">
        <v>38.479999999999997</v>
      </c>
      <c r="AA70" s="76">
        <v>31.94</v>
      </c>
      <c r="AB70" s="76">
        <v>28.38</v>
      </c>
      <c r="AC70" s="76">
        <v>14.01</v>
      </c>
      <c r="AD70" s="76">
        <v>25.08</v>
      </c>
      <c r="AE70" s="76">
        <v>200.66</v>
      </c>
      <c r="AF70" s="76">
        <v>32.71</v>
      </c>
      <c r="AG70" s="76">
        <v>11.22</v>
      </c>
      <c r="AH70" s="76">
        <v>10.47</v>
      </c>
      <c r="AI70" s="76">
        <v>191.45</v>
      </c>
      <c r="AJ70" s="76">
        <v>20.45</v>
      </c>
      <c r="AK70" s="76">
        <v>14.67</v>
      </c>
      <c r="AL70" s="76">
        <v>63251.15</v>
      </c>
      <c r="AM70" s="76">
        <v>120.72</v>
      </c>
      <c r="AN70" s="76">
        <v>95.85</v>
      </c>
      <c r="AO70" s="76">
        <v>5.74</v>
      </c>
      <c r="AP70" s="76">
        <v>518.71</v>
      </c>
      <c r="AQ70" s="76">
        <v>309.26</v>
      </c>
      <c r="AR70" s="76">
        <v>619.42999999999995</v>
      </c>
      <c r="AS70" s="76">
        <v>6.53</v>
      </c>
      <c r="AT70" s="76">
        <v>31.32</v>
      </c>
      <c r="AU70" s="76">
        <v>208.15</v>
      </c>
      <c r="AV70" s="76">
        <v>291.75</v>
      </c>
      <c r="AW70" s="76">
        <v>6.05</v>
      </c>
      <c r="AX70" s="76">
        <v>13774.48</v>
      </c>
      <c r="AY70" s="76">
        <v>1075.83</v>
      </c>
      <c r="AZ70" s="77">
        <v>15394.4</v>
      </c>
      <c r="BA70" s="76">
        <v>7185.29</v>
      </c>
      <c r="BB70" s="76">
        <v>15056.39</v>
      </c>
      <c r="BC70" s="77">
        <v>3286.5</v>
      </c>
      <c r="BD70" s="76">
        <v>63548.99</v>
      </c>
      <c r="BE70" s="77">
        <v>1975.3</v>
      </c>
      <c r="BF70" s="76">
        <v>13165.12</v>
      </c>
      <c r="BG70" s="76">
        <v>887.41</v>
      </c>
      <c r="BH70" s="76">
        <v>14783.28</v>
      </c>
      <c r="BI70" s="76">
        <v>792.48</v>
      </c>
      <c r="BJ70" s="76">
        <v>10785.44</v>
      </c>
      <c r="BK70" s="76">
        <v>305.16000000000003</v>
      </c>
      <c r="BL70" s="76">
        <v>18322.009999999998</v>
      </c>
      <c r="BM70" s="76">
        <v>777.96</v>
      </c>
      <c r="BN70" s="77">
        <v>70035.7</v>
      </c>
      <c r="BO70" s="76">
        <v>1887.77</v>
      </c>
      <c r="BP70" s="76">
        <v>16358.05</v>
      </c>
      <c r="BQ70" s="77">
        <v>1048.7</v>
      </c>
      <c r="BR70" s="76">
        <v>17410.23</v>
      </c>
      <c r="BS70" s="76">
        <v>20372.27</v>
      </c>
      <c r="BT70" s="76">
        <v>2647.68</v>
      </c>
      <c r="BU70" s="76">
        <v>12590.71</v>
      </c>
    </row>
    <row r="71" spans="1:73">
      <c r="A71" s="72" t="s">
        <v>441</v>
      </c>
      <c r="B71" s="75">
        <v>295978.49</v>
      </c>
      <c r="C71" s="75">
        <v>56880.66</v>
      </c>
      <c r="D71" s="75">
        <v>18361.87</v>
      </c>
      <c r="E71" s="75">
        <v>25547.77</v>
      </c>
      <c r="F71" s="78">
        <v>53808.1</v>
      </c>
      <c r="G71" s="75">
        <v>64718.879999999997</v>
      </c>
      <c r="H71" s="75">
        <v>76560.58</v>
      </c>
      <c r="I71" s="75">
        <v>151513.39000000001</v>
      </c>
      <c r="J71" s="75">
        <v>41940.53</v>
      </c>
      <c r="K71" s="75">
        <v>190275.65</v>
      </c>
      <c r="L71" s="78">
        <v>79144.2</v>
      </c>
      <c r="M71" s="78">
        <v>73090.3</v>
      </c>
      <c r="N71" s="75">
        <v>324422.71999999997</v>
      </c>
      <c r="O71" s="78">
        <v>191206.39999999999</v>
      </c>
      <c r="P71" s="75">
        <v>86081.99</v>
      </c>
      <c r="Q71" s="75">
        <v>33027.040000000001</v>
      </c>
      <c r="R71" s="75">
        <v>376264.41</v>
      </c>
      <c r="S71" s="75">
        <v>30586.83</v>
      </c>
      <c r="T71" s="75">
        <v>224281.59</v>
      </c>
      <c r="U71" s="75">
        <v>76308.509999999995</v>
      </c>
      <c r="V71" s="78">
        <v>76046.600000000006</v>
      </c>
      <c r="W71" s="75">
        <v>176913.71</v>
      </c>
      <c r="X71" s="78">
        <v>173537.9</v>
      </c>
      <c r="Y71" s="75">
        <v>108282.23</v>
      </c>
      <c r="Z71" s="78">
        <v>349744.9</v>
      </c>
      <c r="AA71" s="75">
        <v>72788.259999999995</v>
      </c>
      <c r="AB71" s="75">
        <v>38541.870000000003</v>
      </c>
      <c r="AC71" s="75">
        <v>38377.89</v>
      </c>
      <c r="AD71" s="75">
        <v>41184.26</v>
      </c>
      <c r="AE71" s="75">
        <v>37217.57</v>
      </c>
      <c r="AF71" s="75">
        <v>104803.43</v>
      </c>
      <c r="AG71" s="75">
        <v>141360.35999999999</v>
      </c>
      <c r="AH71" s="75">
        <v>213978.83</v>
      </c>
      <c r="AI71" s="75">
        <v>136712.35</v>
      </c>
      <c r="AJ71" s="75">
        <v>249370.67</v>
      </c>
      <c r="AK71" s="75">
        <v>113514.51</v>
      </c>
      <c r="AL71" s="75">
        <v>78318.820000000007</v>
      </c>
      <c r="AM71" s="75">
        <v>112566.18</v>
      </c>
      <c r="AN71" s="75">
        <v>284355.32</v>
      </c>
      <c r="AO71" s="75">
        <v>88624.87</v>
      </c>
      <c r="AP71" s="75">
        <v>35606.589999999997</v>
      </c>
      <c r="AQ71" s="75">
        <v>100121.44</v>
      </c>
      <c r="AR71" s="75">
        <v>362663.89</v>
      </c>
      <c r="AS71" s="75">
        <v>105460.77</v>
      </c>
      <c r="AT71" s="75">
        <v>175011.31</v>
      </c>
      <c r="AU71" s="75">
        <v>82554.149999999994</v>
      </c>
      <c r="AV71" s="75">
        <v>101645.38</v>
      </c>
      <c r="AW71" s="78">
        <v>99493.8</v>
      </c>
      <c r="AX71" s="75">
        <v>149957.01</v>
      </c>
      <c r="AY71" s="75">
        <v>199958.25</v>
      </c>
      <c r="AZ71" s="75">
        <v>109421.88</v>
      </c>
      <c r="BA71" s="75">
        <v>215043.77</v>
      </c>
      <c r="BB71" s="75">
        <v>117721.89</v>
      </c>
      <c r="BC71" s="75">
        <v>72010.820000000007</v>
      </c>
      <c r="BD71" s="75">
        <v>133356.15</v>
      </c>
      <c r="BE71" s="75">
        <v>251174.72</v>
      </c>
      <c r="BF71" s="75">
        <v>128512.73</v>
      </c>
      <c r="BG71" s="75">
        <v>175610.92</v>
      </c>
      <c r="BH71" s="75">
        <v>23640.59</v>
      </c>
      <c r="BI71" s="75">
        <v>191342.85</v>
      </c>
      <c r="BJ71" s="75">
        <v>97452.66</v>
      </c>
      <c r="BK71" s="75">
        <v>142603.99</v>
      </c>
      <c r="BL71" s="75">
        <v>265942.61</v>
      </c>
      <c r="BM71" s="78">
        <v>234652.6</v>
      </c>
      <c r="BN71" s="75">
        <v>276822.61</v>
      </c>
      <c r="BO71" s="75">
        <v>199407.48</v>
      </c>
      <c r="BP71" s="75">
        <v>399362.38</v>
      </c>
      <c r="BQ71" s="75">
        <v>240150.21</v>
      </c>
      <c r="BR71" s="75">
        <v>165318.97</v>
      </c>
      <c r="BS71" s="75">
        <v>122429.18</v>
      </c>
      <c r="BT71" s="75">
        <v>299192.63</v>
      </c>
      <c r="BU71" s="75">
        <v>266924.37</v>
      </c>
    </row>
    <row r="72" spans="1:73">
      <c r="A72" s="72" t="s">
        <v>443</v>
      </c>
      <c r="B72" s="76">
        <v>63.53</v>
      </c>
      <c r="C72" s="76">
        <v>22.78</v>
      </c>
      <c r="D72" s="77">
        <v>54</v>
      </c>
      <c r="E72" s="76">
        <v>13.21</v>
      </c>
      <c r="F72" s="76">
        <v>72.930000000000007</v>
      </c>
      <c r="G72" s="76">
        <v>19.05</v>
      </c>
      <c r="H72" s="76">
        <v>12.47</v>
      </c>
      <c r="I72" s="76">
        <v>24.77</v>
      </c>
      <c r="J72" s="76">
        <v>2.59</v>
      </c>
      <c r="K72" s="76">
        <v>18.72</v>
      </c>
      <c r="L72" s="76">
        <v>14.28</v>
      </c>
      <c r="M72" s="76">
        <v>12.83</v>
      </c>
      <c r="N72" s="76">
        <v>2.06</v>
      </c>
      <c r="O72" s="76">
        <v>19.920000000000002</v>
      </c>
      <c r="P72" s="77">
        <v>4.4000000000000004</v>
      </c>
      <c r="Q72" s="77">
        <v>24.4</v>
      </c>
      <c r="R72" s="76">
        <v>18.079999999999998</v>
      </c>
      <c r="S72" s="76">
        <v>28.12</v>
      </c>
      <c r="T72" s="76">
        <v>17.54</v>
      </c>
      <c r="U72" s="76">
        <v>38.53</v>
      </c>
      <c r="V72" s="76">
        <v>90.16</v>
      </c>
      <c r="W72" s="76">
        <v>17.170000000000002</v>
      </c>
      <c r="X72" s="76">
        <v>2556.0300000000002</v>
      </c>
      <c r="Y72" s="76">
        <v>20.68</v>
      </c>
      <c r="Z72" s="74" t="s">
        <v>207</v>
      </c>
      <c r="AA72" s="76">
        <v>0.69</v>
      </c>
      <c r="AB72" s="77">
        <v>26.1</v>
      </c>
      <c r="AC72" s="76">
        <v>0.56999999999999995</v>
      </c>
      <c r="AD72" s="76">
        <v>50.63</v>
      </c>
      <c r="AE72" s="76">
        <v>0.45</v>
      </c>
      <c r="AF72" s="76">
        <v>15.95</v>
      </c>
      <c r="AG72" s="76">
        <v>0.96</v>
      </c>
      <c r="AH72" s="76">
        <v>18.47</v>
      </c>
      <c r="AI72" s="76">
        <v>4.62</v>
      </c>
      <c r="AJ72" s="76">
        <v>19.02</v>
      </c>
      <c r="AK72" s="76">
        <v>0.48</v>
      </c>
      <c r="AL72" s="76">
        <v>94.79</v>
      </c>
      <c r="AM72" s="76">
        <v>46.49</v>
      </c>
      <c r="AN72" s="77">
        <v>34.200000000000003</v>
      </c>
      <c r="AO72" s="76">
        <v>1.78</v>
      </c>
      <c r="AP72" s="76">
        <v>69.650000000000006</v>
      </c>
      <c r="AQ72" s="76">
        <v>24.84</v>
      </c>
      <c r="AR72" s="76">
        <v>184.25</v>
      </c>
      <c r="AS72" s="76">
        <v>20.07</v>
      </c>
      <c r="AT72" s="76">
        <v>55.14</v>
      </c>
      <c r="AU72" s="76">
        <v>15.03</v>
      </c>
      <c r="AV72" s="76">
        <v>18.68</v>
      </c>
      <c r="AW72" s="76">
        <v>9.49</v>
      </c>
      <c r="AX72" s="76">
        <v>9.4499999999999993</v>
      </c>
      <c r="AY72" s="77">
        <v>5.2</v>
      </c>
      <c r="AZ72" s="77">
        <v>2.2000000000000002</v>
      </c>
      <c r="BA72" s="77">
        <v>13.2</v>
      </c>
      <c r="BB72" s="76">
        <v>1.1499999999999999</v>
      </c>
      <c r="BC72" s="77">
        <v>7.1</v>
      </c>
      <c r="BD72" s="76">
        <v>55.64</v>
      </c>
      <c r="BE72" s="76">
        <v>4.12</v>
      </c>
      <c r="BF72" s="76">
        <v>30.49</v>
      </c>
      <c r="BG72" s="76">
        <v>7.11</v>
      </c>
      <c r="BH72" s="77">
        <v>1.1000000000000001</v>
      </c>
      <c r="BI72" s="76">
        <v>3.61</v>
      </c>
      <c r="BJ72" s="76">
        <v>3.31</v>
      </c>
      <c r="BK72" s="77">
        <v>6</v>
      </c>
      <c r="BL72" s="76">
        <v>28.93</v>
      </c>
      <c r="BM72" s="76">
        <v>12.59</v>
      </c>
      <c r="BN72" s="76">
        <v>0.61</v>
      </c>
      <c r="BO72" s="76">
        <v>2.16</v>
      </c>
      <c r="BP72" s="77">
        <v>113.2</v>
      </c>
      <c r="BQ72" s="76">
        <v>10.43</v>
      </c>
      <c r="BR72" s="76">
        <v>0.23</v>
      </c>
      <c r="BS72" s="76">
        <v>11.89</v>
      </c>
      <c r="BT72" s="76">
        <v>46.19</v>
      </c>
      <c r="BU72" s="76">
        <v>11.05</v>
      </c>
    </row>
    <row r="73" spans="1:73">
      <c r="A73" s="72" t="s">
        <v>445</v>
      </c>
      <c r="B73" s="75">
        <v>537.71</v>
      </c>
      <c r="C73" s="75">
        <v>39575.019999999997</v>
      </c>
      <c r="D73" s="75">
        <v>174.29</v>
      </c>
      <c r="E73" s="75">
        <v>37483.81</v>
      </c>
      <c r="F73" s="75">
        <v>1269.6600000000001</v>
      </c>
      <c r="G73" s="78">
        <v>22496.2</v>
      </c>
      <c r="H73" s="75">
        <v>1830.85</v>
      </c>
      <c r="I73" s="75">
        <v>60152.27</v>
      </c>
      <c r="J73" s="75">
        <v>581.87</v>
      </c>
      <c r="K73" s="75">
        <v>24601.35</v>
      </c>
      <c r="L73" s="75">
        <v>743.77</v>
      </c>
      <c r="M73" s="75">
        <v>33316.46</v>
      </c>
      <c r="N73" s="75">
        <v>341.04</v>
      </c>
      <c r="O73" s="75">
        <v>41787.120000000003</v>
      </c>
      <c r="P73" s="78">
        <v>4476</v>
      </c>
      <c r="Q73" s="75">
        <v>38650.53</v>
      </c>
      <c r="R73" s="78">
        <v>641.4</v>
      </c>
      <c r="S73" s="75">
        <v>41937.839999999997</v>
      </c>
      <c r="T73" s="75">
        <v>974.48</v>
      </c>
      <c r="U73" s="75">
        <v>25257.07</v>
      </c>
      <c r="V73" s="75">
        <v>1101.67</v>
      </c>
      <c r="W73" s="75">
        <v>44295.49</v>
      </c>
      <c r="X73" s="75">
        <v>710.61</v>
      </c>
      <c r="Y73" s="75">
        <v>37618.910000000003</v>
      </c>
      <c r="Z73" s="75">
        <v>2472.58</v>
      </c>
      <c r="AA73" s="75">
        <v>2005.92</v>
      </c>
      <c r="AB73" s="75">
        <v>2900.27</v>
      </c>
      <c r="AC73" s="75">
        <v>2516.89</v>
      </c>
      <c r="AD73" s="75">
        <v>2669.59</v>
      </c>
      <c r="AE73" s="75">
        <v>2440.5300000000002</v>
      </c>
      <c r="AF73" s="75">
        <v>2647.99</v>
      </c>
      <c r="AG73" s="75">
        <v>1351.83</v>
      </c>
      <c r="AH73" s="75">
        <v>31294.31</v>
      </c>
      <c r="AI73" s="75">
        <v>830.11</v>
      </c>
      <c r="AJ73" s="75">
        <v>1312.61</v>
      </c>
      <c r="AK73" s="75">
        <v>1369.57</v>
      </c>
      <c r="AL73" s="75">
        <v>1097.08</v>
      </c>
      <c r="AM73" s="75">
        <v>3636.69</v>
      </c>
      <c r="AN73" s="75">
        <v>61380.03</v>
      </c>
      <c r="AO73" s="75">
        <v>3483.78</v>
      </c>
      <c r="AP73" s="75">
        <v>20527.59</v>
      </c>
      <c r="AQ73" s="78">
        <v>3844.7</v>
      </c>
      <c r="AR73" s="75">
        <v>5352.13</v>
      </c>
      <c r="AS73" s="75">
        <v>2692.91</v>
      </c>
      <c r="AT73" s="75">
        <v>4004.05</v>
      </c>
      <c r="AU73" s="75">
        <v>2675.06</v>
      </c>
      <c r="AV73" s="75">
        <v>1341.47</v>
      </c>
      <c r="AW73" s="75">
        <v>3807.17</v>
      </c>
      <c r="AX73" s="75">
        <v>5447.99</v>
      </c>
      <c r="AY73" s="75">
        <v>2764.13</v>
      </c>
      <c r="AZ73" s="78">
        <v>2246.1</v>
      </c>
      <c r="BA73" s="75">
        <v>4848.6899999999996</v>
      </c>
      <c r="BB73" s="75">
        <v>3985.06</v>
      </c>
      <c r="BC73" s="75">
        <v>5384.25</v>
      </c>
      <c r="BD73" s="75">
        <v>4313.0600000000004</v>
      </c>
      <c r="BE73" s="75">
        <v>4413.68</v>
      </c>
      <c r="BF73" s="75">
        <v>6458.54</v>
      </c>
      <c r="BG73" s="75">
        <v>3176.84</v>
      </c>
      <c r="BH73" s="75">
        <v>8096.68</v>
      </c>
      <c r="BI73" s="75">
        <v>53402.75</v>
      </c>
      <c r="BJ73" s="75">
        <v>2472.7800000000002</v>
      </c>
      <c r="BK73" s="75">
        <v>56307.79</v>
      </c>
      <c r="BL73" s="75">
        <v>6520.87</v>
      </c>
      <c r="BM73" s="75">
        <v>53526.71</v>
      </c>
      <c r="BN73" s="75">
        <v>9079.06</v>
      </c>
      <c r="BO73" s="75">
        <v>53302.96</v>
      </c>
      <c r="BP73" s="75">
        <v>9331.06</v>
      </c>
      <c r="BQ73" s="75">
        <v>53612.639999999999</v>
      </c>
      <c r="BR73" s="75">
        <v>6759.54</v>
      </c>
      <c r="BS73" s="75">
        <v>53791.87</v>
      </c>
      <c r="BT73" s="75">
        <v>7046.63</v>
      </c>
      <c r="BU73" s="75">
        <v>51165.36</v>
      </c>
    </row>
    <row r="74" spans="1:73">
      <c r="A74" s="72" t="s">
        <v>447</v>
      </c>
      <c r="B74" s="76">
        <v>69220.92</v>
      </c>
      <c r="C74" s="76">
        <v>109122.28</v>
      </c>
      <c r="D74" s="76">
        <v>64551.55</v>
      </c>
      <c r="E74" s="77">
        <v>83771.8</v>
      </c>
      <c r="F74" s="76">
        <v>59779.28</v>
      </c>
      <c r="G74" s="76">
        <v>119476.21</v>
      </c>
      <c r="H74" s="76">
        <v>59085.68</v>
      </c>
      <c r="I74" s="76">
        <v>142254.99</v>
      </c>
      <c r="J74" s="76">
        <v>56291.47</v>
      </c>
      <c r="K74" s="76">
        <v>118237.98</v>
      </c>
      <c r="L74" s="76">
        <v>63402.81</v>
      </c>
      <c r="M74" s="76">
        <v>119082.18</v>
      </c>
      <c r="N74" s="76">
        <v>89093.22</v>
      </c>
      <c r="O74" s="76">
        <v>112762.55</v>
      </c>
      <c r="P74" s="76">
        <v>60738.09</v>
      </c>
      <c r="Q74" s="76">
        <v>104928.13</v>
      </c>
      <c r="R74" s="76">
        <v>65099.040000000001</v>
      </c>
      <c r="S74" s="76">
        <v>132859.99</v>
      </c>
      <c r="T74" s="76">
        <v>63176.37</v>
      </c>
      <c r="U74" s="76">
        <v>167129.62</v>
      </c>
      <c r="V74" s="76">
        <v>70599.09</v>
      </c>
      <c r="W74" s="76">
        <v>163355.07999999999</v>
      </c>
      <c r="X74" s="76">
        <v>69776.479999999996</v>
      </c>
      <c r="Y74" s="76">
        <v>128972.84</v>
      </c>
      <c r="Z74" s="76">
        <v>92246.67</v>
      </c>
      <c r="AA74" s="76">
        <v>196717.53</v>
      </c>
      <c r="AB74" s="76">
        <v>101369.36</v>
      </c>
      <c r="AC74" s="76">
        <v>167625.48000000001</v>
      </c>
      <c r="AD74" s="77">
        <v>79271</v>
      </c>
      <c r="AE74" s="76">
        <v>159586.79</v>
      </c>
      <c r="AF74" s="76">
        <v>96909.06</v>
      </c>
      <c r="AG74" s="76">
        <v>220417.19</v>
      </c>
      <c r="AH74" s="76">
        <v>123563.63</v>
      </c>
      <c r="AI74" s="76">
        <v>212325.41</v>
      </c>
      <c r="AJ74" s="76">
        <v>102206.83</v>
      </c>
      <c r="AK74" s="76">
        <v>171328.31</v>
      </c>
      <c r="AL74" s="76">
        <v>80322.61</v>
      </c>
      <c r="AM74" s="76">
        <v>201802.68</v>
      </c>
      <c r="AN74" s="76">
        <v>83007.17</v>
      </c>
      <c r="AO74" s="76">
        <v>203694.17</v>
      </c>
      <c r="AP74" s="76">
        <v>94265.44</v>
      </c>
      <c r="AQ74" s="76">
        <v>258768.29</v>
      </c>
      <c r="AR74" s="76">
        <v>69315.17</v>
      </c>
      <c r="AS74" s="76">
        <v>233405.42</v>
      </c>
      <c r="AT74" s="76">
        <v>112662.08</v>
      </c>
      <c r="AU74" s="76">
        <v>149328.92000000001</v>
      </c>
      <c r="AV74" s="76">
        <v>86520.22</v>
      </c>
      <c r="AW74" s="76">
        <v>233128.15</v>
      </c>
      <c r="AX74" s="77">
        <v>111606.2</v>
      </c>
      <c r="AY74" s="77">
        <v>151715.9</v>
      </c>
      <c r="AZ74" s="76">
        <v>120774.58</v>
      </c>
      <c r="BA74" s="76">
        <v>150533.48000000001</v>
      </c>
      <c r="BB74" s="76">
        <v>139906.78</v>
      </c>
      <c r="BC74" s="76">
        <v>141843.17000000001</v>
      </c>
      <c r="BD74" s="76">
        <v>135286.43</v>
      </c>
      <c r="BE74" s="76">
        <v>174637.35</v>
      </c>
      <c r="BF74" s="76">
        <v>121145.51</v>
      </c>
      <c r="BG74" s="76">
        <v>241640.45</v>
      </c>
      <c r="BH74" s="76">
        <v>137621.07</v>
      </c>
      <c r="BI74" s="76">
        <v>152319.04000000001</v>
      </c>
      <c r="BJ74" s="76">
        <v>139021.59</v>
      </c>
      <c r="BK74" s="76">
        <v>165200.42000000001</v>
      </c>
      <c r="BL74" s="76">
        <v>132235.73000000001</v>
      </c>
      <c r="BM74" s="76">
        <v>139127.47</v>
      </c>
      <c r="BN74" s="76">
        <v>147715.23000000001</v>
      </c>
      <c r="BO74" s="76">
        <v>186397.56</v>
      </c>
      <c r="BP74" s="76">
        <v>154551.07</v>
      </c>
      <c r="BQ74" s="77">
        <v>174719.3</v>
      </c>
      <c r="BR74" s="76">
        <v>116443.89</v>
      </c>
      <c r="BS74" s="76">
        <v>179454.22</v>
      </c>
      <c r="BT74" s="76">
        <v>111457.89</v>
      </c>
      <c r="BU74" s="76">
        <v>293226.87</v>
      </c>
    </row>
    <row r="75" spans="1:73">
      <c r="A75" s="72" t="s">
        <v>449</v>
      </c>
      <c r="B75" s="73" t="s">
        <v>207</v>
      </c>
      <c r="C75" s="73" t="s">
        <v>207</v>
      </c>
      <c r="D75" s="73" t="s">
        <v>207</v>
      </c>
      <c r="E75" s="73" t="s">
        <v>207</v>
      </c>
      <c r="F75" s="73" t="s">
        <v>207</v>
      </c>
      <c r="G75" s="73" t="s">
        <v>207</v>
      </c>
      <c r="H75" s="73" t="s">
        <v>207</v>
      </c>
      <c r="I75" s="73" t="s">
        <v>207</v>
      </c>
      <c r="J75" s="73" t="s">
        <v>207</v>
      </c>
      <c r="K75" s="73" t="s">
        <v>207</v>
      </c>
      <c r="L75" s="73" t="s">
        <v>207</v>
      </c>
      <c r="M75" s="73" t="s">
        <v>207</v>
      </c>
      <c r="N75" s="73" t="s">
        <v>207</v>
      </c>
      <c r="O75" s="73" t="s">
        <v>207</v>
      </c>
      <c r="P75" s="73" t="s">
        <v>207</v>
      </c>
      <c r="Q75" s="73" t="s">
        <v>207</v>
      </c>
      <c r="R75" s="73" t="s">
        <v>207</v>
      </c>
      <c r="S75" s="73" t="s">
        <v>207</v>
      </c>
      <c r="T75" s="73" t="s">
        <v>207</v>
      </c>
      <c r="U75" s="73" t="s">
        <v>207</v>
      </c>
      <c r="V75" s="73" t="s">
        <v>207</v>
      </c>
      <c r="W75" s="73" t="s">
        <v>207</v>
      </c>
      <c r="X75" s="73" t="s">
        <v>207</v>
      </c>
      <c r="Y75" s="73" t="s">
        <v>207</v>
      </c>
      <c r="Z75" s="73" t="s">
        <v>207</v>
      </c>
      <c r="AA75" s="73" t="s">
        <v>207</v>
      </c>
      <c r="AB75" s="73" t="s">
        <v>207</v>
      </c>
      <c r="AC75" s="73" t="s">
        <v>207</v>
      </c>
      <c r="AD75" s="73" t="s">
        <v>207</v>
      </c>
      <c r="AE75" s="73" t="s">
        <v>207</v>
      </c>
      <c r="AF75" s="73" t="s">
        <v>207</v>
      </c>
      <c r="AG75" s="73" t="s">
        <v>207</v>
      </c>
      <c r="AH75" s="73" t="s">
        <v>207</v>
      </c>
      <c r="AI75" s="73" t="s">
        <v>207</v>
      </c>
      <c r="AJ75" s="73" t="s">
        <v>207</v>
      </c>
      <c r="AK75" s="73" t="s">
        <v>207</v>
      </c>
      <c r="AL75" s="73" t="s">
        <v>207</v>
      </c>
      <c r="AM75" s="73" t="s">
        <v>207</v>
      </c>
      <c r="AN75" s="73" t="s">
        <v>207</v>
      </c>
      <c r="AO75" s="73" t="s">
        <v>207</v>
      </c>
      <c r="AP75" s="73" t="s">
        <v>207</v>
      </c>
      <c r="AQ75" s="73" t="s">
        <v>207</v>
      </c>
      <c r="AR75" s="73" t="s">
        <v>207</v>
      </c>
      <c r="AS75" s="73" t="s">
        <v>207</v>
      </c>
      <c r="AT75" s="73" t="s">
        <v>207</v>
      </c>
      <c r="AU75" s="73" t="s">
        <v>207</v>
      </c>
      <c r="AV75" s="73" t="s">
        <v>207</v>
      </c>
      <c r="AW75" s="73" t="s">
        <v>207</v>
      </c>
      <c r="AX75" s="73" t="s">
        <v>207</v>
      </c>
      <c r="AY75" s="73" t="s">
        <v>207</v>
      </c>
      <c r="AZ75" s="73" t="s">
        <v>207</v>
      </c>
      <c r="BA75" s="73" t="s">
        <v>207</v>
      </c>
      <c r="BB75" s="73" t="s">
        <v>207</v>
      </c>
      <c r="BC75" s="73" t="s">
        <v>207</v>
      </c>
      <c r="BD75" s="73" t="s">
        <v>207</v>
      </c>
      <c r="BE75" s="73" t="s">
        <v>207</v>
      </c>
      <c r="BF75" s="73" t="s">
        <v>207</v>
      </c>
      <c r="BG75" s="73" t="s">
        <v>207</v>
      </c>
      <c r="BH75" s="73" t="s">
        <v>207</v>
      </c>
      <c r="BI75" s="73" t="s">
        <v>207</v>
      </c>
      <c r="BJ75" s="73" t="s">
        <v>207</v>
      </c>
      <c r="BK75" s="73" t="s">
        <v>207</v>
      </c>
      <c r="BL75" s="73" t="s">
        <v>207</v>
      </c>
      <c r="BM75" s="73" t="s">
        <v>207</v>
      </c>
      <c r="BN75" s="73" t="s">
        <v>207</v>
      </c>
      <c r="BO75" s="73" t="s">
        <v>207</v>
      </c>
      <c r="BP75" s="73" t="s">
        <v>207</v>
      </c>
      <c r="BQ75" s="73" t="s">
        <v>207</v>
      </c>
      <c r="BR75" s="73" t="s">
        <v>207</v>
      </c>
      <c r="BS75" s="73" t="s">
        <v>207</v>
      </c>
      <c r="BT75" s="73" t="s">
        <v>207</v>
      </c>
      <c r="BU75" s="73" t="s">
        <v>207</v>
      </c>
    </row>
    <row r="76" spans="1:73">
      <c r="A76" s="72" t="s">
        <v>451</v>
      </c>
      <c r="B76" s="74" t="s">
        <v>207</v>
      </c>
      <c r="C76" s="74" t="s">
        <v>207</v>
      </c>
      <c r="D76" s="74" t="s">
        <v>207</v>
      </c>
      <c r="E76" s="74" t="s">
        <v>207</v>
      </c>
      <c r="F76" s="74" t="s">
        <v>207</v>
      </c>
      <c r="G76" s="74" t="s">
        <v>207</v>
      </c>
      <c r="H76" s="74" t="s">
        <v>207</v>
      </c>
      <c r="I76" s="74" t="s">
        <v>207</v>
      </c>
      <c r="J76" s="74" t="s">
        <v>207</v>
      </c>
      <c r="K76" s="74" t="s">
        <v>207</v>
      </c>
      <c r="L76" s="74" t="s">
        <v>207</v>
      </c>
      <c r="M76" s="74" t="s">
        <v>207</v>
      </c>
      <c r="N76" s="74" t="s">
        <v>207</v>
      </c>
      <c r="O76" s="74" t="s">
        <v>207</v>
      </c>
      <c r="P76" s="74" t="s">
        <v>207</v>
      </c>
      <c r="Q76" s="74" t="s">
        <v>207</v>
      </c>
      <c r="R76" s="74" t="s">
        <v>207</v>
      </c>
      <c r="S76" s="74" t="s">
        <v>207</v>
      </c>
      <c r="T76" s="74" t="s">
        <v>207</v>
      </c>
      <c r="U76" s="74" t="s">
        <v>207</v>
      </c>
      <c r="V76" s="74" t="s">
        <v>207</v>
      </c>
      <c r="W76" s="74" t="s">
        <v>207</v>
      </c>
      <c r="X76" s="74" t="s">
        <v>207</v>
      </c>
      <c r="Y76" s="74" t="s">
        <v>207</v>
      </c>
      <c r="Z76" s="74" t="s">
        <v>207</v>
      </c>
      <c r="AA76" s="74" t="s">
        <v>207</v>
      </c>
      <c r="AB76" s="74" t="s">
        <v>207</v>
      </c>
      <c r="AC76" s="74" t="s">
        <v>207</v>
      </c>
      <c r="AD76" s="74" t="s">
        <v>207</v>
      </c>
      <c r="AE76" s="74" t="s">
        <v>207</v>
      </c>
      <c r="AF76" s="74" t="s">
        <v>207</v>
      </c>
      <c r="AG76" s="74" t="s">
        <v>207</v>
      </c>
      <c r="AH76" s="74" t="s">
        <v>207</v>
      </c>
      <c r="AI76" s="74" t="s">
        <v>207</v>
      </c>
      <c r="AJ76" s="74" t="s">
        <v>207</v>
      </c>
      <c r="AK76" s="74" t="s">
        <v>207</v>
      </c>
      <c r="AL76" s="74" t="s">
        <v>207</v>
      </c>
      <c r="AM76" s="74" t="s">
        <v>207</v>
      </c>
      <c r="AN76" s="74" t="s">
        <v>207</v>
      </c>
      <c r="AO76" s="74" t="s">
        <v>207</v>
      </c>
      <c r="AP76" s="74" t="s">
        <v>207</v>
      </c>
      <c r="AQ76" s="74" t="s">
        <v>207</v>
      </c>
      <c r="AR76" s="74" t="s">
        <v>207</v>
      </c>
      <c r="AS76" s="74" t="s">
        <v>207</v>
      </c>
      <c r="AT76" s="74" t="s">
        <v>207</v>
      </c>
      <c r="AU76" s="74" t="s">
        <v>207</v>
      </c>
      <c r="AV76" s="74" t="s">
        <v>207</v>
      </c>
      <c r="AW76" s="74" t="s">
        <v>207</v>
      </c>
      <c r="AX76" s="74" t="s">
        <v>207</v>
      </c>
      <c r="AY76" s="74" t="s">
        <v>207</v>
      </c>
      <c r="AZ76" s="74" t="s">
        <v>207</v>
      </c>
      <c r="BA76" s="74" t="s">
        <v>207</v>
      </c>
      <c r="BB76" s="74" t="s">
        <v>207</v>
      </c>
      <c r="BC76" s="74" t="s">
        <v>207</v>
      </c>
      <c r="BD76" s="74" t="s">
        <v>207</v>
      </c>
      <c r="BE76" s="74" t="s">
        <v>207</v>
      </c>
      <c r="BF76" s="74" t="s">
        <v>207</v>
      </c>
      <c r="BG76" s="74" t="s">
        <v>207</v>
      </c>
      <c r="BH76" s="74" t="s">
        <v>207</v>
      </c>
      <c r="BI76" s="74" t="s">
        <v>207</v>
      </c>
      <c r="BJ76" s="74" t="s">
        <v>207</v>
      </c>
      <c r="BK76" s="74" t="s">
        <v>207</v>
      </c>
      <c r="BL76" s="74" t="s">
        <v>207</v>
      </c>
      <c r="BM76" s="74" t="s">
        <v>207</v>
      </c>
      <c r="BN76" s="74" t="s">
        <v>207</v>
      </c>
      <c r="BO76" s="74" t="s">
        <v>207</v>
      </c>
      <c r="BP76" s="74" t="s">
        <v>207</v>
      </c>
      <c r="BQ76" s="74" t="s">
        <v>207</v>
      </c>
      <c r="BR76" s="74" t="s">
        <v>207</v>
      </c>
      <c r="BS76" s="74" t="s">
        <v>207</v>
      </c>
      <c r="BT76" s="74" t="s">
        <v>207</v>
      </c>
      <c r="BU76" s="74" t="s">
        <v>207</v>
      </c>
    </row>
    <row r="77" spans="1:73">
      <c r="A77" s="72" t="s">
        <v>453</v>
      </c>
      <c r="B77" s="73" t="s">
        <v>207</v>
      </c>
      <c r="C77" s="73" t="s">
        <v>207</v>
      </c>
      <c r="D77" s="73" t="s">
        <v>207</v>
      </c>
      <c r="E77" s="73" t="s">
        <v>207</v>
      </c>
      <c r="F77" s="73" t="s">
        <v>207</v>
      </c>
      <c r="G77" s="73" t="s">
        <v>207</v>
      </c>
      <c r="H77" s="73" t="s">
        <v>207</v>
      </c>
      <c r="I77" s="73" t="s">
        <v>207</v>
      </c>
      <c r="J77" s="73" t="s">
        <v>207</v>
      </c>
      <c r="K77" s="73" t="s">
        <v>207</v>
      </c>
      <c r="L77" s="73" t="s">
        <v>207</v>
      </c>
      <c r="M77" s="73" t="s">
        <v>207</v>
      </c>
      <c r="N77" s="73" t="s">
        <v>207</v>
      </c>
      <c r="O77" s="73" t="s">
        <v>207</v>
      </c>
      <c r="P77" s="73" t="s">
        <v>207</v>
      </c>
      <c r="Q77" s="73" t="s">
        <v>207</v>
      </c>
      <c r="R77" s="73" t="s">
        <v>207</v>
      </c>
      <c r="S77" s="73" t="s">
        <v>207</v>
      </c>
      <c r="T77" s="73" t="s">
        <v>207</v>
      </c>
      <c r="U77" s="73" t="s">
        <v>207</v>
      </c>
      <c r="V77" s="73" t="s">
        <v>207</v>
      </c>
      <c r="W77" s="73" t="s">
        <v>207</v>
      </c>
      <c r="X77" s="73" t="s">
        <v>207</v>
      </c>
      <c r="Y77" s="73" t="s">
        <v>207</v>
      </c>
      <c r="Z77" s="73" t="s">
        <v>207</v>
      </c>
      <c r="AA77" s="73" t="s">
        <v>207</v>
      </c>
      <c r="AB77" s="73" t="s">
        <v>207</v>
      </c>
      <c r="AC77" s="73" t="s">
        <v>207</v>
      </c>
      <c r="AD77" s="73" t="s">
        <v>207</v>
      </c>
      <c r="AE77" s="73" t="s">
        <v>207</v>
      </c>
      <c r="AF77" s="73" t="s">
        <v>207</v>
      </c>
      <c r="AG77" s="73" t="s">
        <v>207</v>
      </c>
      <c r="AH77" s="73" t="s">
        <v>207</v>
      </c>
      <c r="AI77" s="73" t="s">
        <v>207</v>
      </c>
      <c r="AJ77" s="73" t="s">
        <v>207</v>
      </c>
      <c r="AK77" s="73" t="s">
        <v>207</v>
      </c>
      <c r="AL77" s="73" t="s">
        <v>207</v>
      </c>
      <c r="AM77" s="73" t="s">
        <v>207</v>
      </c>
      <c r="AN77" s="73" t="s">
        <v>207</v>
      </c>
      <c r="AO77" s="73" t="s">
        <v>207</v>
      </c>
      <c r="AP77" s="73" t="s">
        <v>207</v>
      </c>
      <c r="AQ77" s="73" t="s">
        <v>207</v>
      </c>
      <c r="AR77" s="73" t="s">
        <v>207</v>
      </c>
      <c r="AS77" s="73" t="s">
        <v>207</v>
      </c>
      <c r="AT77" s="73" t="s">
        <v>207</v>
      </c>
      <c r="AU77" s="73" t="s">
        <v>207</v>
      </c>
      <c r="AV77" s="73" t="s">
        <v>207</v>
      </c>
      <c r="AW77" s="73" t="s">
        <v>207</v>
      </c>
      <c r="AX77" s="73" t="s">
        <v>207</v>
      </c>
      <c r="AY77" s="73" t="s">
        <v>207</v>
      </c>
      <c r="AZ77" s="73" t="s">
        <v>207</v>
      </c>
      <c r="BA77" s="73" t="s">
        <v>207</v>
      </c>
      <c r="BB77" s="73" t="s">
        <v>207</v>
      </c>
      <c r="BC77" s="73" t="s">
        <v>207</v>
      </c>
      <c r="BD77" s="73" t="s">
        <v>207</v>
      </c>
      <c r="BE77" s="73" t="s">
        <v>207</v>
      </c>
      <c r="BF77" s="73" t="s">
        <v>207</v>
      </c>
      <c r="BG77" s="73" t="s">
        <v>207</v>
      </c>
      <c r="BH77" s="73" t="s">
        <v>207</v>
      </c>
      <c r="BI77" s="73" t="s">
        <v>207</v>
      </c>
      <c r="BJ77" s="73" t="s">
        <v>207</v>
      </c>
      <c r="BK77" s="73" t="s">
        <v>207</v>
      </c>
      <c r="BL77" s="73" t="s">
        <v>207</v>
      </c>
      <c r="BM77" s="73" t="s">
        <v>207</v>
      </c>
      <c r="BN77" s="73" t="s">
        <v>207</v>
      </c>
      <c r="BO77" s="73" t="s">
        <v>207</v>
      </c>
      <c r="BP77" s="73" t="s">
        <v>207</v>
      </c>
      <c r="BQ77" s="73" t="s">
        <v>207</v>
      </c>
      <c r="BR77" s="73" t="s">
        <v>207</v>
      </c>
      <c r="BS77" s="73" t="s">
        <v>207</v>
      </c>
      <c r="BT77" s="73" t="s">
        <v>207</v>
      </c>
      <c r="BU77" s="73" t="s">
        <v>207</v>
      </c>
    </row>
    <row r="78" spans="1:73">
      <c r="A78" s="72" t="s">
        <v>455</v>
      </c>
      <c r="B78" s="74" t="s">
        <v>207</v>
      </c>
      <c r="C78" s="74" t="s">
        <v>207</v>
      </c>
      <c r="D78" s="74" t="s">
        <v>207</v>
      </c>
      <c r="E78" s="74" t="s">
        <v>207</v>
      </c>
      <c r="F78" s="74" t="s">
        <v>207</v>
      </c>
      <c r="G78" s="74" t="s">
        <v>207</v>
      </c>
      <c r="H78" s="74" t="s">
        <v>207</v>
      </c>
      <c r="I78" s="74" t="s">
        <v>207</v>
      </c>
      <c r="J78" s="74" t="s">
        <v>207</v>
      </c>
      <c r="K78" s="74" t="s">
        <v>207</v>
      </c>
      <c r="L78" s="74" t="s">
        <v>207</v>
      </c>
      <c r="M78" s="74" t="s">
        <v>207</v>
      </c>
      <c r="N78" s="76">
        <v>1.91</v>
      </c>
      <c r="O78" s="74" t="s">
        <v>207</v>
      </c>
      <c r="P78" s="74" t="s">
        <v>207</v>
      </c>
      <c r="Q78" s="74" t="s">
        <v>207</v>
      </c>
      <c r="R78" s="74" t="s">
        <v>207</v>
      </c>
      <c r="S78" s="74" t="s">
        <v>207</v>
      </c>
      <c r="T78" s="77">
        <v>47.5</v>
      </c>
      <c r="U78" s="74" t="s">
        <v>207</v>
      </c>
      <c r="V78" s="77">
        <v>38</v>
      </c>
      <c r="W78" s="74" t="s">
        <v>207</v>
      </c>
      <c r="X78" s="76">
        <v>0.32</v>
      </c>
      <c r="Y78" s="74" t="s">
        <v>207</v>
      </c>
      <c r="Z78" s="77">
        <v>0.9</v>
      </c>
      <c r="AA78" s="76">
        <v>169.21</v>
      </c>
      <c r="AB78" s="74" t="s">
        <v>207</v>
      </c>
      <c r="AC78" s="76">
        <v>167.81</v>
      </c>
      <c r="AD78" s="74" t="s">
        <v>207</v>
      </c>
      <c r="AE78" s="76">
        <v>177.37</v>
      </c>
      <c r="AF78" s="74" t="s">
        <v>207</v>
      </c>
      <c r="AG78" s="76">
        <v>176.96</v>
      </c>
      <c r="AH78" s="74" t="s">
        <v>207</v>
      </c>
      <c r="AI78" s="76">
        <v>176.54</v>
      </c>
      <c r="AJ78" s="77">
        <v>15</v>
      </c>
      <c r="AK78" s="74" t="s">
        <v>207</v>
      </c>
      <c r="AL78" s="74" t="s">
        <v>207</v>
      </c>
      <c r="AM78" s="76">
        <v>167.34</v>
      </c>
      <c r="AN78" s="74" t="s">
        <v>207</v>
      </c>
      <c r="AO78" s="76">
        <v>352.05</v>
      </c>
      <c r="AP78" s="77">
        <v>18.600000000000001</v>
      </c>
      <c r="AQ78" s="74" t="s">
        <v>207</v>
      </c>
      <c r="AR78" s="74" t="s">
        <v>207</v>
      </c>
      <c r="AS78" s="74" t="s">
        <v>207</v>
      </c>
      <c r="AT78" s="74" t="s">
        <v>207</v>
      </c>
      <c r="AU78" s="77">
        <v>163.80000000000001</v>
      </c>
      <c r="AV78" s="77">
        <v>1.9</v>
      </c>
      <c r="AW78" s="74" t="s">
        <v>207</v>
      </c>
      <c r="AX78" s="74" t="s">
        <v>207</v>
      </c>
      <c r="AY78" s="74" t="s">
        <v>207</v>
      </c>
      <c r="AZ78" s="74" t="s">
        <v>207</v>
      </c>
      <c r="BA78" s="74" t="s">
        <v>207</v>
      </c>
      <c r="BB78" s="74" t="s">
        <v>207</v>
      </c>
      <c r="BC78" s="74" t="s">
        <v>207</v>
      </c>
      <c r="BD78" s="74" t="s">
        <v>207</v>
      </c>
      <c r="BE78" s="74" t="s">
        <v>207</v>
      </c>
      <c r="BF78" s="74" t="s">
        <v>207</v>
      </c>
      <c r="BG78" s="74" t="s">
        <v>207</v>
      </c>
      <c r="BH78" s="74" t="s">
        <v>207</v>
      </c>
      <c r="BI78" s="74" t="s">
        <v>207</v>
      </c>
      <c r="BJ78" s="74" t="s">
        <v>207</v>
      </c>
      <c r="BK78" s="74" t="s">
        <v>207</v>
      </c>
      <c r="BL78" s="77">
        <v>0</v>
      </c>
      <c r="BM78" s="74" t="s">
        <v>207</v>
      </c>
      <c r="BN78" s="76">
        <v>0.08</v>
      </c>
      <c r="BO78" s="74" t="s">
        <v>207</v>
      </c>
      <c r="BP78" s="74" t="s">
        <v>207</v>
      </c>
      <c r="BQ78" s="74" t="s">
        <v>207</v>
      </c>
      <c r="BR78" s="74" t="s">
        <v>207</v>
      </c>
      <c r="BS78" s="74" t="s">
        <v>207</v>
      </c>
      <c r="BT78" s="74" t="s">
        <v>207</v>
      </c>
      <c r="BU78" s="74" t="s">
        <v>207</v>
      </c>
    </row>
    <row r="79" spans="1:73">
      <c r="A79" s="72" t="s">
        <v>457</v>
      </c>
      <c r="B79" s="73" t="s">
        <v>207</v>
      </c>
      <c r="C79" s="75">
        <v>1.1299999999999999</v>
      </c>
      <c r="D79" s="73" t="s">
        <v>207</v>
      </c>
      <c r="E79" s="75">
        <v>0.68</v>
      </c>
      <c r="F79" s="75">
        <v>57.17</v>
      </c>
      <c r="G79" s="75">
        <v>0.02</v>
      </c>
      <c r="H79" s="73" t="s">
        <v>207</v>
      </c>
      <c r="I79" s="73" t="s">
        <v>207</v>
      </c>
      <c r="J79" s="75">
        <v>0.98</v>
      </c>
      <c r="K79" s="75">
        <v>0.91</v>
      </c>
      <c r="L79" s="73" t="s">
        <v>207</v>
      </c>
      <c r="M79" s="75">
        <v>1.1299999999999999</v>
      </c>
      <c r="N79" s="73" t="s">
        <v>207</v>
      </c>
      <c r="O79" s="73" t="s">
        <v>207</v>
      </c>
      <c r="P79" s="73" t="s">
        <v>207</v>
      </c>
      <c r="Q79" s="73" t="s">
        <v>207</v>
      </c>
      <c r="R79" s="73" t="s">
        <v>207</v>
      </c>
      <c r="S79" s="75">
        <v>2.2599999999999998</v>
      </c>
      <c r="T79" s="78">
        <v>7.6</v>
      </c>
      <c r="U79" s="75">
        <v>0.34</v>
      </c>
      <c r="V79" s="78">
        <v>7.6</v>
      </c>
      <c r="W79" s="73" t="s">
        <v>207</v>
      </c>
      <c r="X79" s="78">
        <v>15.2</v>
      </c>
      <c r="Y79" s="73" t="s">
        <v>207</v>
      </c>
      <c r="Z79" s="75">
        <v>0.09</v>
      </c>
      <c r="AA79" s="73" t="s">
        <v>207</v>
      </c>
      <c r="AB79" s="75">
        <v>0.09</v>
      </c>
      <c r="AC79" s="73" t="s">
        <v>207</v>
      </c>
      <c r="AD79" s="75">
        <v>0.18</v>
      </c>
      <c r="AE79" s="75">
        <v>2.4900000000000002</v>
      </c>
      <c r="AF79" s="73" t="s">
        <v>207</v>
      </c>
      <c r="AG79" s="75">
        <v>0.27</v>
      </c>
      <c r="AH79" s="75">
        <v>2.0699999999999998</v>
      </c>
      <c r="AI79" s="75">
        <v>0.02</v>
      </c>
      <c r="AJ79" s="75">
        <v>0.09</v>
      </c>
      <c r="AK79" s="75">
        <v>0.23</v>
      </c>
      <c r="AL79" s="73" t="s">
        <v>207</v>
      </c>
      <c r="AM79" s="75">
        <v>0.34</v>
      </c>
      <c r="AN79" s="73" t="s">
        <v>207</v>
      </c>
      <c r="AO79" s="75">
        <v>1.1299999999999999</v>
      </c>
      <c r="AP79" s="75">
        <v>2.16</v>
      </c>
      <c r="AQ79" s="73" t="s">
        <v>207</v>
      </c>
      <c r="AR79" s="73" t="s">
        <v>207</v>
      </c>
      <c r="AS79" s="73" t="s">
        <v>207</v>
      </c>
      <c r="AT79" s="73" t="s">
        <v>207</v>
      </c>
      <c r="AU79" s="75">
        <v>0.25</v>
      </c>
      <c r="AV79" s="75">
        <v>0.43</v>
      </c>
      <c r="AW79" s="75">
        <v>0.66</v>
      </c>
      <c r="AX79" s="73" t="s">
        <v>207</v>
      </c>
      <c r="AY79" s="75">
        <v>0.25</v>
      </c>
      <c r="AZ79" s="73" t="s">
        <v>207</v>
      </c>
      <c r="BA79" s="75">
        <v>0.65</v>
      </c>
      <c r="BB79" s="78">
        <v>6.3</v>
      </c>
      <c r="BC79" s="75">
        <v>0.28999999999999998</v>
      </c>
      <c r="BD79" s="75">
        <v>1.99</v>
      </c>
      <c r="BE79" s="75">
        <v>0.06</v>
      </c>
      <c r="BF79" s="78">
        <v>12</v>
      </c>
      <c r="BG79" s="75">
        <v>0.33</v>
      </c>
      <c r="BH79" s="75">
        <v>0.09</v>
      </c>
      <c r="BI79" s="75">
        <v>0.24</v>
      </c>
      <c r="BJ79" s="78">
        <v>12</v>
      </c>
      <c r="BK79" s="75">
        <v>0.71</v>
      </c>
      <c r="BL79" s="75">
        <v>0.81</v>
      </c>
      <c r="BM79" s="75">
        <v>0.45</v>
      </c>
      <c r="BN79" s="73" t="s">
        <v>207</v>
      </c>
      <c r="BO79" s="75">
        <v>0.45</v>
      </c>
      <c r="BP79" s="78">
        <v>6</v>
      </c>
      <c r="BQ79" s="78">
        <v>0.1</v>
      </c>
      <c r="BR79" s="73" t="s">
        <v>207</v>
      </c>
      <c r="BS79" s="75">
        <v>0.64</v>
      </c>
      <c r="BT79" s="78">
        <v>5</v>
      </c>
      <c r="BU79" s="75">
        <v>0.75</v>
      </c>
    </row>
    <row r="80" spans="1:73">
      <c r="A80" s="72" t="s">
        <v>459</v>
      </c>
      <c r="B80" s="76">
        <v>85.91</v>
      </c>
      <c r="C80" s="77">
        <v>4.9000000000000004</v>
      </c>
      <c r="D80" s="76">
        <v>383.69</v>
      </c>
      <c r="E80" s="76">
        <v>7.77</v>
      </c>
      <c r="F80" s="76">
        <v>150.08000000000001</v>
      </c>
      <c r="G80" s="76">
        <v>5.13</v>
      </c>
      <c r="H80" s="76">
        <v>177.07</v>
      </c>
      <c r="I80" s="76">
        <v>2.2200000000000002</v>
      </c>
      <c r="J80" s="76">
        <v>186.76</v>
      </c>
      <c r="K80" s="76">
        <v>10.74</v>
      </c>
      <c r="L80" s="77">
        <v>215.2</v>
      </c>
      <c r="M80" s="74" t="s">
        <v>207</v>
      </c>
      <c r="N80" s="76">
        <v>2.35</v>
      </c>
      <c r="O80" s="76">
        <v>0.56000000000000005</v>
      </c>
      <c r="P80" s="76">
        <v>9.4700000000000006</v>
      </c>
      <c r="Q80" s="76">
        <v>7.99</v>
      </c>
      <c r="R80" s="76">
        <v>234.78</v>
      </c>
      <c r="S80" s="76">
        <v>48.19</v>
      </c>
      <c r="T80" s="76">
        <v>18.170000000000002</v>
      </c>
      <c r="U80" s="76">
        <v>5.28</v>
      </c>
      <c r="V80" s="76">
        <v>1029.24</v>
      </c>
      <c r="W80" s="77">
        <v>1</v>
      </c>
      <c r="X80" s="76">
        <v>20.54</v>
      </c>
      <c r="Y80" s="76">
        <v>6.56</v>
      </c>
      <c r="Z80" s="76">
        <v>1.18</v>
      </c>
      <c r="AA80" s="76">
        <v>12.12</v>
      </c>
      <c r="AB80" s="76">
        <v>31.45</v>
      </c>
      <c r="AC80" s="76">
        <v>1.55</v>
      </c>
      <c r="AD80" s="76">
        <v>1.08</v>
      </c>
      <c r="AE80" s="77">
        <v>0</v>
      </c>
      <c r="AF80" s="76">
        <v>10.51</v>
      </c>
      <c r="AG80" s="76">
        <v>0.25</v>
      </c>
      <c r="AH80" s="76">
        <v>44.66</v>
      </c>
      <c r="AI80" s="76">
        <v>0.02</v>
      </c>
      <c r="AJ80" s="76">
        <v>2.27</v>
      </c>
      <c r="AK80" s="77">
        <v>0.8</v>
      </c>
      <c r="AL80" s="76">
        <v>10.32</v>
      </c>
      <c r="AM80" s="76">
        <v>0.25</v>
      </c>
      <c r="AN80" s="76">
        <v>380.57</v>
      </c>
      <c r="AO80" s="76">
        <v>18.28</v>
      </c>
      <c r="AP80" s="76">
        <v>196.78</v>
      </c>
      <c r="AQ80" s="76">
        <v>4.1500000000000004</v>
      </c>
      <c r="AR80" s="76">
        <v>2342.15</v>
      </c>
      <c r="AS80" s="76">
        <v>71.290000000000006</v>
      </c>
      <c r="AT80" s="76">
        <v>3197.46</v>
      </c>
      <c r="AU80" s="77">
        <v>1</v>
      </c>
      <c r="AV80" s="76">
        <v>714.06</v>
      </c>
      <c r="AW80" s="77">
        <v>797</v>
      </c>
      <c r="AX80" s="76">
        <v>50.56</v>
      </c>
      <c r="AY80" s="76">
        <v>3.69</v>
      </c>
      <c r="AZ80" s="76">
        <v>1114.1600000000001</v>
      </c>
      <c r="BA80" s="76">
        <v>35.909999999999997</v>
      </c>
      <c r="BB80" s="76">
        <v>615.41999999999996</v>
      </c>
      <c r="BC80" s="76">
        <v>6.04</v>
      </c>
      <c r="BD80" s="76">
        <v>2213.34</v>
      </c>
      <c r="BE80" s="76">
        <v>7.39</v>
      </c>
      <c r="BF80" s="76">
        <v>1855.78</v>
      </c>
      <c r="BG80" s="76">
        <v>9.4600000000000009</v>
      </c>
      <c r="BH80" s="76">
        <v>732.48</v>
      </c>
      <c r="BI80" s="76">
        <v>13.14</v>
      </c>
      <c r="BJ80" s="76">
        <v>1789.54</v>
      </c>
      <c r="BK80" s="76">
        <v>291.83999999999997</v>
      </c>
      <c r="BL80" s="76">
        <v>2016.11</v>
      </c>
      <c r="BM80" s="76">
        <v>4.76</v>
      </c>
      <c r="BN80" s="76">
        <v>3969.62</v>
      </c>
      <c r="BO80" s="76">
        <v>6.74</v>
      </c>
      <c r="BP80" s="76">
        <v>4375.6499999999996</v>
      </c>
      <c r="BQ80" s="76">
        <v>29.62</v>
      </c>
      <c r="BR80" s="76">
        <v>2099.38</v>
      </c>
      <c r="BS80" s="76">
        <v>4.75</v>
      </c>
      <c r="BT80" s="76">
        <v>1601.04</v>
      </c>
      <c r="BU80" s="77">
        <v>212.4</v>
      </c>
    </row>
    <row r="81" spans="1:73">
      <c r="A81" s="72" t="s">
        <v>461</v>
      </c>
      <c r="B81" s="75">
        <v>4997.46</v>
      </c>
      <c r="C81" s="78">
        <v>0.5</v>
      </c>
      <c r="D81" s="78">
        <v>10064.6</v>
      </c>
      <c r="E81" s="75">
        <v>11.73</v>
      </c>
      <c r="F81" s="75">
        <v>16587.45</v>
      </c>
      <c r="G81" s="75">
        <v>2.37</v>
      </c>
      <c r="H81" s="75">
        <v>14002.42</v>
      </c>
      <c r="I81" s="78">
        <v>2</v>
      </c>
      <c r="J81" s="78">
        <v>20068.2</v>
      </c>
      <c r="K81" s="75">
        <v>281.58</v>
      </c>
      <c r="L81" s="75">
        <v>4793.78</v>
      </c>
      <c r="M81" s="75">
        <v>0.25</v>
      </c>
      <c r="N81" s="75">
        <v>15445.66</v>
      </c>
      <c r="O81" s="75">
        <v>0.74</v>
      </c>
      <c r="P81" s="78">
        <v>6608.6</v>
      </c>
      <c r="Q81" s="75">
        <v>1.39</v>
      </c>
      <c r="R81" s="78">
        <v>16459.5</v>
      </c>
      <c r="S81" s="75">
        <v>5.28</v>
      </c>
      <c r="T81" s="75">
        <v>10149.530000000001</v>
      </c>
      <c r="U81" s="75">
        <v>11.15</v>
      </c>
      <c r="V81" s="75">
        <v>21945.67</v>
      </c>
      <c r="W81" s="75">
        <v>2.13</v>
      </c>
      <c r="X81" s="75">
        <v>9401.25</v>
      </c>
      <c r="Y81" s="78">
        <v>17</v>
      </c>
      <c r="Z81" s="75">
        <v>15486.33</v>
      </c>
      <c r="AA81" s="75">
        <v>2.0099999999999998</v>
      </c>
      <c r="AB81" s="75">
        <v>10149.89</v>
      </c>
      <c r="AC81" s="75">
        <v>5.56</v>
      </c>
      <c r="AD81" s="75">
        <v>9992.2199999999993</v>
      </c>
      <c r="AE81" s="75">
        <v>34.19</v>
      </c>
      <c r="AF81" s="75">
        <v>20641.23</v>
      </c>
      <c r="AG81" s="75">
        <v>28.44</v>
      </c>
      <c r="AH81" s="75">
        <v>10505.04</v>
      </c>
      <c r="AI81" s="75">
        <v>21.68</v>
      </c>
      <c r="AJ81" s="75">
        <v>5912.58</v>
      </c>
      <c r="AK81" s="75">
        <v>12.25</v>
      </c>
      <c r="AL81" s="75">
        <v>19864.11</v>
      </c>
      <c r="AM81" s="75">
        <v>19.97</v>
      </c>
      <c r="AN81" s="75">
        <v>10252.75</v>
      </c>
      <c r="AO81" s="75">
        <v>9.52</v>
      </c>
      <c r="AP81" s="78">
        <v>25467</v>
      </c>
      <c r="AQ81" s="75">
        <v>11.88</v>
      </c>
      <c r="AR81" s="75">
        <v>15371.86</v>
      </c>
      <c r="AS81" s="78">
        <v>9.1</v>
      </c>
      <c r="AT81" s="75">
        <v>14997.11</v>
      </c>
      <c r="AU81" s="75">
        <v>20.29</v>
      </c>
      <c r="AV81" s="75">
        <v>20061.919999999998</v>
      </c>
      <c r="AW81" s="75">
        <v>11.25</v>
      </c>
      <c r="AX81" s="75">
        <v>10121.07</v>
      </c>
      <c r="AY81" s="75">
        <v>20.76</v>
      </c>
      <c r="AZ81" s="75">
        <v>16792.75</v>
      </c>
      <c r="BA81" s="75">
        <v>6.58</v>
      </c>
      <c r="BB81" s="75">
        <v>3045.52</v>
      </c>
      <c r="BC81" s="78">
        <v>32.6</v>
      </c>
      <c r="BD81" s="75">
        <v>10691.98</v>
      </c>
      <c r="BE81" s="75">
        <v>29.23</v>
      </c>
      <c r="BF81" s="75">
        <v>21315.49</v>
      </c>
      <c r="BG81" s="75">
        <v>3.78</v>
      </c>
      <c r="BH81" s="75">
        <v>10706.31</v>
      </c>
      <c r="BI81" s="75">
        <v>6.65</v>
      </c>
      <c r="BJ81" s="75">
        <v>5679.32</v>
      </c>
      <c r="BK81" s="78">
        <v>30.7</v>
      </c>
      <c r="BL81" s="75">
        <v>25671.57</v>
      </c>
      <c r="BM81" s="75">
        <v>21.57</v>
      </c>
      <c r="BN81" s="78">
        <v>441.6</v>
      </c>
      <c r="BO81" s="75">
        <v>18.36</v>
      </c>
      <c r="BP81" s="75">
        <v>22077.79</v>
      </c>
      <c r="BQ81" s="75">
        <v>3.23</v>
      </c>
      <c r="BR81" s="78">
        <v>10235.5</v>
      </c>
      <c r="BS81" s="75">
        <v>32.21</v>
      </c>
      <c r="BT81" s="78">
        <v>17949.5</v>
      </c>
      <c r="BU81" s="75">
        <v>18.690000000000001</v>
      </c>
    </row>
    <row r="82" spans="1:73">
      <c r="A82" s="72" t="s">
        <v>463</v>
      </c>
      <c r="B82" s="76">
        <v>218.64</v>
      </c>
      <c r="C82" s="77">
        <v>25.2</v>
      </c>
      <c r="D82" s="76">
        <v>104.18</v>
      </c>
      <c r="E82" s="76">
        <v>25.65</v>
      </c>
      <c r="F82" s="76">
        <v>246.17</v>
      </c>
      <c r="G82" s="76">
        <v>28.15</v>
      </c>
      <c r="H82" s="76">
        <v>172.07</v>
      </c>
      <c r="I82" s="76">
        <v>26.88</v>
      </c>
      <c r="J82" s="76">
        <v>158.97999999999999</v>
      </c>
      <c r="K82" s="76">
        <v>9.7100000000000009</v>
      </c>
      <c r="L82" s="76">
        <v>231.04</v>
      </c>
      <c r="M82" s="76">
        <v>29.89</v>
      </c>
      <c r="N82" s="76">
        <v>197.33</v>
      </c>
      <c r="O82" s="76">
        <v>46.42</v>
      </c>
      <c r="P82" s="76">
        <v>188.01</v>
      </c>
      <c r="Q82" s="76">
        <v>27.99</v>
      </c>
      <c r="R82" s="76">
        <v>351.11</v>
      </c>
      <c r="S82" s="76">
        <v>59.66</v>
      </c>
      <c r="T82" s="76">
        <v>327.14</v>
      </c>
      <c r="U82" s="76">
        <v>11.68</v>
      </c>
      <c r="V82" s="76">
        <v>398.04</v>
      </c>
      <c r="W82" s="76">
        <v>62.43</v>
      </c>
      <c r="X82" s="76">
        <v>381.04</v>
      </c>
      <c r="Y82" s="76">
        <v>21.66</v>
      </c>
      <c r="Z82" s="76">
        <v>627.22</v>
      </c>
      <c r="AA82" s="76">
        <v>9.0299999999999994</v>
      </c>
      <c r="AB82" s="76">
        <v>699.02</v>
      </c>
      <c r="AC82" s="76">
        <v>11.78</v>
      </c>
      <c r="AD82" s="76">
        <v>903.62</v>
      </c>
      <c r="AE82" s="76">
        <v>34.270000000000003</v>
      </c>
      <c r="AF82" s="77">
        <v>662.9</v>
      </c>
      <c r="AG82" s="76">
        <v>47.59</v>
      </c>
      <c r="AH82" s="76">
        <v>996.97</v>
      </c>
      <c r="AI82" s="76">
        <v>14.18</v>
      </c>
      <c r="AJ82" s="76">
        <v>744.25</v>
      </c>
      <c r="AK82" s="76">
        <v>18.79</v>
      </c>
      <c r="AL82" s="76">
        <v>949.55</v>
      </c>
      <c r="AM82" s="76">
        <v>35.19</v>
      </c>
      <c r="AN82" s="76">
        <v>1039.3900000000001</v>
      </c>
      <c r="AO82" s="76">
        <v>29.47</v>
      </c>
      <c r="AP82" s="76">
        <v>565.49</v>
      </c>
      <c r="AQ82" s="76">
        <v>29.11</v>
      </c>
      <c r="AR82" s="76">
        <v>954.12</v>
      </c>
      <c r="AS82" s="76">
        <v>39.01</v>
      </c>
      <c r="AT82" s="76">
        <v>555.33000000000004</v>
      </c>
      <c r="AU82" s="76">
        <v>36.549999999999997</v>
      </c>
      <c r="AV82" s="76">
        <v>691.85</v>
      </c>
      <c r="AW82" s="76">
        <v>40.89</v>
      </c>
      <c r="AX82" s="76">
        <v>637.49</v>
      </c>
      <c r="AY82" s="76">
        <v>60.14</v>
      </c>
      <c r="AZ82" s="76">
        <v>556.54</v>
      </c>
      <c r="BA82" s="76">
        <v>41.19</v>
      </c>
      <c r="BB82" s="76">
        <v>535.01</v>
      </c>
      <c r="BC82" s="76">
        <v>32.28</v>
      </c>
      <c r="BD82" s="77">
        <v>741.2</v>
      </c>
      <c r="BE82" s="76">
        <v>43.51</v>
      </c>
      <c r="BF82" s="76">
        <v>498.22</v>
      </c>
      <c r="BG82" s="76">
        <v>48.67</v>
      </c>
      <c r="BH82" s="76">
        <v>622.54999999999995</v>
      </c>
      <c r="BI82" s="77">
        <v>41.2</v>
      </c>
      <c r="BJ82" s="76">
        <v>518.46</v>
      </c>
      <c r="BK82" s="76">
        <v>86.87</v>
      </c>
      <c r="BL82" s="77">
        <v>760.3</v>
      </c>
      <c r="BM82" s="76">
        <v>72.260000000000005</v>
      </c>
      <c r="BN82" s="76">
        <v>666.84</v>
      </c>
      <c r="BO82" s="76">
        <v>92.95</v>
      </c>
      <c r="BP82" s="76">
        <v>542.94000000000005</v>
      </c>
      <c r="BQ82" s="77">
        <v>94</v>
      </c>
      <c r="BR82" s="76">
        <v>1118.49</v>
      </c>
      <c r="BS82" s="76">
        <v>97.79</v>
      </c>
      <c r="BT82" s="76">
        <v>393.62</v>
      </c>
      <c r="BU82" s="76">
        <v>35.89</v>
      </c>
    </row>
    <row r="83" spans="1:73">
      <c r="A83" s="72" t="s">
        <v>465</v>
      </c>
      <c r="B83" s="75">
        <v>2531.7600000000002</v>
      </c>
      <c r="C83" s="75">
        <v>31.68</v>
      </c>
      <c r="D83" s="75">
        <v>15643.93</v>
      </c>
      <c r="E83" s="75">
        <v>2.0299999999999998</v>
      </c>
      <c r="F83" s="75">
        <v>4841.5600000000004</v>
      </c>
      <c r="G83" s="75">
        <v>160.49</v>
      </c>
      <c r="H83" s="75">
        <v>9917.93</v>
      </c>
      <c r="I83" s="75">
        <v>20.239999999999998</v>
      </c>
      <c r="J83" s="78">
        <v>1018.9</v>
      </c>
      <c r="K83" s="75">
        <v>0.83</v>
      </c>
      <c r="L83" s="75">
        <v>10063.69</v>
      </c>
      <c r="M83" s="75">
        <v>9.1199999999999992</v>
      </c>
      <c r="N83" s="75">
        <v>8517.82</v>
      </c>
      <c r="O83" s="75">
        <v>1.49</v>
      </c>
      <c r="P83" s="75">
        <v>6148.84</v>
      </c>
      <c r="Q83" s="75">
        <v>1.1299999999999999</v>
      </c>
      <c r="R83" s="75">
        <v>5203.47</v>
      </c>
      <c r="S83" s="75">
        <v>1.55</v>
      </c>
      <c r="T83" s="78">
        <v>7834.3</v>
      </c>
      <c r="U83" s="75">
        <v>21.91</v>
      </c>
      <c r="V83" s="75">
        <v>8601.0300000000007</v>
      </c>
      <c r="W83" s="75">
        <v>1.26</v>
      </c>
      <c r="X83" s="75">
        <v>10036.280000000001</v>
      </c>
      <c r="Y83" s="75">
        <v>113.16</v>
      </c>
      <c r="Z83" s="75">
        <v>4464.78</v>
      </c>
      <c r="AA83" s="75">
        <v>6.81</v>
      </c>
      <c r="AB83" s="75">
        <v>9096.61</v>
      </c>
      <c r="AC83" s="75">
        <v>1.83</v>
      </c>
      <c r="AD83" s="78">
        <v>9846.2999999999993</v>
      </c>
      <c r="AE83" s="75">
        <v>0.97</v>
      </c>
      <c r="AF83" s="75">
        <v>7544.66</v>
      </c>
      <c r="AG83" s="75">
        <v>2.98</v>
      </c>
      <c r="AH83" s="75">
        <v>2465.77</v>
      </c>
      <c r="AI83" s="75">
        <v>2.72</v>
      </c>
      <c r="AJ83" s="75">
        <v>7320.49</v>
      </c>
      <c r="AK83" s="75">
        <v>4.0199999999999996</v>
      </c>
      <c r="AL83" s="75">
        <v>12041.44</v>
      </c>
      <c r="AM83" s="75">
        <v>23.32</v>
      </c>
      <c r="AN83" s="75">
        <v>4105.08</v>
      </c>
      <c r="AO83" s="78">
        <v>3.2</v>
      </c>
      <c r="AP83" s="75">
        <v>6213.01</v>
      </c>
      <c r="AQ83" s="75">
        <v>40.67</v>
      </c>
      <c r="AR83" s="75">
        <v>5673.59</v>
      </c>
      <c r="AS83" s="75">
        <v>5.01</v>
      </c>
      <c r="AT83" s="75">
        <v>6888.45</v>
      </c>
      <c r="AU83" s="75">
        <v>18.63</v>
      </c>
      <c r="AV83" s="75">
        <v>8947.75</v>
      </c>
      <c r="AW83" s="75">
        <v>7.45</v>
      </c>
      <c r="AX83" s="75">
        <v>21850.02</v>
      </c>
      <c r="AY83" s="75">
        <v>16.850000000000001</v>
      </c>
      <c r="AZ83" s="75">
        <v>3690.24</v>
      </c>
      <c r="BA83" s="75">
        <v>0.92</v>
      </c>
      <c r="BB83" s="75">
        <v>3140.33</v>
      </c>
      <c r="BC83" s="75">
        <v>1.1299999999999999</v>
      </c>
      <c r="BD83" s="78">
        <v>26960.5</v>
      </c>
      <c r="BE83" s="75">
        <v>1.1599999999999999</v>
      </c>
      <c r="BF83" s="75">
        <v>2454.64</v>
      </c>
      <c r="BG83" s="75">
        <v>0.76</v>
      </c>
      <c r="BH83" s="75">
        <v>5643.33</v>
      </c>
      <c r="BI83" s="78">
        <v>4</v>
      </c>
      <c r="BJ83" s="75">
        <v>1828.49</v>
      </c>
      <c r="BK83" s="75">
        <v>0.42</v>
      </c>
      <c r="BL83" s="75">
        <v>3967.69</v>
      </c>
      <c r="BM83" s="75">
        <v>2.91</v>
      </c>
      <c r="BN83" s="75">
        <v>22859.07</v>
      </c>
      <c r="BO83" s="75">
        <v>3.07</v>
      </c>
      <c r="BP83" s="75">
        <v>2450.75</v>
      </c>
      <c r="BQ83" s="75">
        <v>1.81</v>
      </c>
      <c r="BR83" s="75">
        <v>3452.19</v>
      </c>
      <c r="BS83" s="75">
        <v>43.57</v>
      </c>
      <c r="BT83" s="75">
        <v>2020.72</v>
      </c>
      <c r="BU83" s="78">
        <v>12</v>
      </c>
    </row>
    <row r="84" spans="1:73">
      <c r="A84" s="72" t="s">
        <v>467</v>
      </c>
      <c r="B84" s="77">
        <v>88.2</v>
      </c>
      <c r="C84" s="76">
        <v>19.75</v>
      </c>
      <c r="D84" s="77">
        <v>30.6</v>
      </c>
      <c r="E84" s="77">
        <v>0.2</v>
      </c>
      <c r="F84" s="76">
        <v>68.010000000000005</v>
      </c>
      <c r="G84" s="77">
        <v>9.3000000000000007</v>
      </c>
      <c r="H84" s="77">
        <v>11.1</v>
      </c>
      <c r="I84" s="76">
        <v>0.57999999999999996</v>
      </c>
      <c r="J84" s="76">
        <v>133.94</v>
      </c>
      <c r="K84" s="76">
        <v>17.82</v>
      </c>
      <c r="L84" s="76">
        <v>43.16</v>
      </c>
      <c r="M84" s="76">
        <v>2.4300000000000002</v>
      </c>
      <c r="N84" s="76">
        <v>32.909999999999997</v>
      </c>
      <c r="O84" s="76">
        <v>1.08</v>
      </c>
      <c r="P84" s="76">
        <v>78.56</v>
      </c>
      <c r="Q84" s="76">
        <v>8.75</v>
      </c>
      <c r="R84" s="76">
        <v>97.91</v>
      </c>
      <c r="S84" s="76">
        <v>12.74</v>
      </c>
      <c r="T84" s="76">
        <v>94.17</v>
      </c>
      <c r="U84" s="76">
        <v>9.34</v>
      </c>
      <c r="V84" s="76">
        <v>138.41999999999999</v>
      </c>
      <c r="W84" s="76">
        <v>2.88</v>
      </c>
      <c r="X84" s="76">
        <v>34.659999999999997</v>
      </c>
      <c r="Y84" s="76">
        <v>61.72</v>
      </c>
      <c r="Z84" s="76">
        <v>893.84</v>
      </c>
      <c r="AA84" s="76">
        <v>7.24</v>
      </c>
      <c r="AB84" s="76">
        <v>159.75</v>
      </c>
      <c r="AC84" s="76">
        <v>3.97</v>
      </c>
      <c r="AD84" s="76">
        <v>261.79000000000002</v>
      </c>
      <c r="AE84" s="77">
        <v>7.8</v>
      </c>
      <c r="AF84" s="76">
        <v>82.97</v>
      </c>
      <c r="AG84" s="76">
        <v>9.92</v>
      </c>
      <c r="AH84" s="76">
        <v>225.44</v>
      </c>
      <c r="AI84" s="76">
        <v>7.97</v>
      </c>
      <c r="AJ84" s="76">
        <v>176.71</v>
      </c>
      <c r="AK84" s="76">
        <v>9.2100000000000009</v>
      </c>
      <c r="AL84" s="76">
        <v>518.64</v>
      </c>
      <c r="AM84" s="76">
        <v>11.03</v>
      </c>
      <c r="AN84" s="76">
        <v>317.67</v>
      </c>
      <c r="AO84" s="76">
        <v>7.18</v>
      </c>
      <c r="AP84" s="77">
        <v>292.8</v>
      </c>
      <c r="AQ84" s="77">
        <v>10.3</v>
      </c>
      <c r="AR84" s="76">
        <v>83.05</v>
      </c>
      <c r="AS84" s="76">
        <v>16.190000000000001</v>
      </c>
      <c r="AT84" s="77">
        <v>306.10000000000002</v>
      </c>
      <c r="AU84" s="76">
        <v>14.13</v>
      </c>
      <c r="AV84" s="76">
        <v>556.33000000000004</v>
      </c>
      <c r="AW84" s="76">
        <v>3.73</v>
      </c>
      <c r="AX84" s="77">
        <v>52.8</v>
      </c>
      <c r="AY84" s="76">
        <v>2.69</v>
      </c>
      <c r="AZ84" s="76">
        <v>125.26</v>
      </c>
      <c r="BA84" s="76">
        <v>2.75</v>
      </c>
      <c r="BB84" s="76">
        <v>207.54</v>
      </c>
      <c r="BC84" s="76">
        <v>4.68</v>
      </c>
      <c r="BD84" s="76">
        <v>164.12</v>
      </c>
      <c r="BE84" s="76">
        <v>9.07</v>
      </c>
      <c r="BF84" s="77">
        <v>155</v>
      </c>
      <c r="BG84" s="76">
        <v>13.75</v>
      </c>
      <c r="BH84" s="76">
        <v>122.41</v>
      </c>
      <c r="BI84" s="76">
        <v>4.8600000000000003</v>
      </c>
      <c r="BJ84" s="76">
        <v>160.32</v>
      </c>
      <c r="BK84" s="76">
        <v>4.9400000000000004</v>
      </c>
      <c r="BL84" s="76">
        <v>154.13999999999999</v>
      </c>
      <c r="BM84" s="76">
        <v>11.12</v>
      </c>
      <c r="BN84" s="76">
        <v>225.03</v>
      </c>
      <c r="BO84" s="76">
        <v>13.74</v>
      </c>
      <c r="BP84" s="76">
        <v>159.31</v>
      </c>
      <c r="BQ84" s="76">
        <v>26.46</v>
      </c>
      <c r="BR84" s="76">
        <v>70.78</v>
      </c>
      <c r="BS84" s="76">
        <v>11.65</v>
      </c>
      <c r="BT84" s="76">
        <v>131.79</v>
      </c>
      <c r="BU84" s="76">
        <v>4.51</v>
      </c>
    </row>
    <row r="85" spans="1:73">
      <c r="A85" s="72" t="s">
        <v>469</v>
      </c>
      <c r="B85" s="75">
        <v>75.47</v>
      </c>
      <c r="C85" s="75">
        <v>11.91</v>
      </c>
      <c r="D85" s="75">
        <v>1849.16</v>
      </c>
      <c r="E85" s="78">
        <v>2</v>
      </c>
      <c r="F85" s="75">
        <v>8.52</v>
      </c>
      <c r="G85" s="75">
        <v>87.74</v>
      </c>
      <c r="H85" s="75">
        <v>385.53</v>
      </c>
      <c r="I85" s="75">
        <v>0.82</v>
      </c>
      <c r="J85" s="75">
        <v>33.47</v>
      </c>
      <c r="K85" s="75">
        <v>32.39</v>
      </c>
      <c r="L85" s="75">
        <v>10.17</v>
      </c>
      <c r="M85" s="75">
        <v>0.55000000000000004</v>
      </c>
      <c r="N85" s="78">
        <v>152</v>
      </c>
      <c r="O85" s="75">
        <v>3.64</v>
      </c>
      <c r="P85" s="75">
        <v>113.39</v>
      </c>
      <c r="Q85" s="75">
        <v>9.64</v>
      </c>
      <c r="R85" s="75">
        <v>41.09</v>
      </c>
      <c r="S85" s="75">
        <v>0.55000000000000004</v>
      </c>
      <c r="T85" s="75">
        <v>100.72</v>
      </c>
      <c r="U85" s="75">
        <v>0.55000000000000004</v>
      </c>
      <c r="V85" s="75">
        <v>133.31</v>
      </c>
      <c r="W85" s="75">
        <v>4.3600000000000003</v>
      </c>
      <c r="X85" s="75">
        <v>69.53</v>
      </c>
      <c r="Y85" s="78">
        <v>10</v>
      </c>
      <c r="Z85" s="75">
        <v>603.45000000000005</v>
      </c>
      <c r="AA85" s="75">
        <v>86.69</v>
      </c>
      <c r="AB85" s="78">
        <v>244.7</v>
      </c>
      <c r="AC85" s="75">
        <v>1.79</v>
      </c>
      <c r="AD85" s="75">
        <v>484.31</v>
      </c>
      <c r="AE85" s="75">
        <v>36.380000000000003</v>
      </c>
      <c r="AF85" s="78">
        <v>359.6</v>
      </c>
      <c r="AG85" s="75">
        <v>18.27</v>
      </c>
      <c r="AH85" s="78">
        <v>1258.8</v>
      </c>
      <c r="AI85" s="75">
        <v>4.67</v>
      </c>
      <c r="AJ85" s="75">
        <v>2.97</v>
      </c>
      <c r="AK85" s="75">
        <v>0.15</v>
      </c>
      <c r="AL85" s="75">
        <v>630.21</v>
      </c>
      <c r="AM85" s="75">
        <v>0.27</v>
      </c>
      <c r="AN85" s="75">
        <v>90.15</v>
      </c>
      <c r="AO85" s="75">
        <v>0.55000000000000004</v>
      </c>
      <c r="AP85" s="75">
        <v>653.54999999999995</v>
      </c>
      <c r="AQ85" s="75">
        <v>0.01</v>
      </c>
      <c r="AR85" s="75">
        <v>478.92</v>
      </c>
      <c r="AS85" s="75">
        <v>0.25</v>
      </c>
      <c r="AT85" s="78">
        <v>301.7</v>
      </c>
      <c r="AU85" s="75">
        <v>0.46</v>
      </c>
      <c r="AV85" s="75">
        <v>903.39</v>
      </c>
      <c r="AW85" s="73" t="s">
        <v>207</v>
      </c>
      <c r="AX85" s="75">
        <v>675.81</v>
      </c>
      <c r="AY85" s="75">
        <v>2.52</v>
      </c>
      <c r="AZ85" s="75">
        <v>936.23</v>
      </c>
      <c r="BA85" s="75">
        <v>5.57</v>
      </c>
      <c r="BB85" s="75">
        <v>1181.58</v>
      </c>
      <c r="BC85" s="75">
        <v>5.52</v>
      </c>
      <c r="BD85" s="75">
        <v>1001.57</v>
      </c>
      <c r="BE85" s="75">
        <v>1.36</v>
      </c>
      <c r="BF85" s="75">
        <v>1212.8499999999999</v>
      </c>
      <c r="BG85" s="78">
        <v>0.5</v>
      </c>
      <c r="BH85" s="75">
        <v>381.04</v>
      </c>
      <c r="BI85" s="75">
        <v>0.55000000000000004</v>
      </c>
      <c r="BJ85" s="75">
        <v>909.82</v>
      </c>
      <c r="BK85" s="75">
        <v>0.63</v>
      </c>
      <c r="BL85" s="75">
        <v>1020.56</v>
      </c>
      <c r="BM85" s="75">
        <v>2.0099999999999998</v>
      </c>
      <c r="BN85" s="75">
        <v>1510.08</v>
      </c>
      <c r="BO85" s="75">
        <v>1.73</v>
      </c>
      <c r="BP85" s="75">
        <v>950.78</v>
      </c>
      <c r="BQ85" s="75">
        <v>1.82</v>
      </c>
      <c r="BR85" s="75">
        <v>1612.95</v>
      </c>
      <c r="BS85" s="75">
        <v>10.11</v>
      </c>
      <c r="BT85" s="75">
        <v>1669.88</v>
      </c>
      <c r="BU85" s="75">
        <v>0.76</v>
      </c>
    </row>
    <row r="86" spans="1:73">
      <c r="A86" s="72" t="s">
        <v>471</v>
      </c>
      <c r="B86" s="77">
        <v>15061.5</v>
      </c>
      <c r="C86" s="76">
        <v>699.71</v>
      </c>
      <c r="D86" s="77">
        <v>13402.2</v>
      </c>
      <c r="E86" s="76">
        <v>392.68</v>
      </c>
      <c r="F86" s="76">
        <v>11678.94</v>
      </c>
      <c r="G86" s="76">
        <v>1113.17</v>
      </c>
      <c r="H86" s="76">
        <v>12540.15</v>
      </c>
      <c r="I86" s="76">
        <v>670.94</v>
      </c>
      <c r="J86" s="77">
        <v>10363.4</v>
      </c>
      <c r="K86" s="76">
        <v>546.78</v>
      </c>
      <c r="L86" s="77">
        <v>8483.2999999999993</v>
      </c>
      <c r="M86" s="76">
        <v>422.59</v>
      </c>
      <c r="N86" s="77">
        <v>11233</v>
      </c>
      <c r="O86" s="76">
        <v>917.24</v>
      </c>
      <c r="P86" s="76">
        <v>10693.08</v>
      </c>
      <c r="Q86" s="76">
        <v>557.46</v>
      </c>
      <c r="R86" s="76">
        <v>17669.45</v>
      </c>
      <c r="S86" s="76">
        <v>780.66</v>
      </c>
      <c r="T86" s="76">
        <v>12498.15</v>
      </c>
      <c r="U86" s="77">
        <v>877.4</v>
      </c>
      <c r="V86" s="77">
        <v>12377.1</v>
      </c>
      <c r="W86" s="76">
        <v>2064.34</v>
      </c>
      <c r="X86" s="77">
        <v>9911.2999999999993</v>
      </c>
      <c r="Y86" s="76">
        <v>2625.76</v>
      </c>
      <c r="Z86" s="76">
        <v>7659.67</v>
      </c>
      <c r="AA86" s="77">
        <v>2555.6</v>
      </c>
      <c r="AB86" s="77">
        <v>4705.8999999999996</v>
      </c>
      <c r="AC86" s="76">
        <v>1813.79</v>
      </c>
      <c r="AD86" s="76">
        <v>5744.06</v>
      </c>
      <c r="AE86" s="76">
        <v>3450.07</v>
      </c>
      <c r="AF86" s="77">
        <v>9460.2999999999993</v>
      </c>
      <c r="AG86" s="76">
        <v>2357.54</v>
      </c>
      <c r="AH86" s="76">
        <v>7921.58</v>
      </c>
      <c r="AI86" s="76">
        <v>1951.75</v>
      </c>
      <c r="AJ86" s="77">
        <v>11828.7</v>
      </c>
      <c r="AK86" s="76">
        <v>2122.33</v>
      </c>
      <c r="AL86" s="76">
        <v>11847.92</v>
      </c>
      <c r="AM86" s="76">
        <v>2220.79</v>
      </c>
      <c r="AN86" s="76">
        <v>13693.42</v>
      </c>
      <c r="AO86" s="76">
        <v>2642.82</v>
      </c>
      <c r="AP86" s="76">
        <v>9763.25</v>
      </c>
      <c r="AQ86" s="76">
        <v>3853.38</v>
      </c>
      <c r="AR86" s="76">
        <v>9549.01</v>
      </c>
      <c r="AS86" s="76">
        <v>4556.88</v>
      </c>
      <c r="AT86" s="76">
        <v>12545.78</v>
      </c>
      <c r="AU86" s="76">
        <v>2701.98</v>
      </c>
      <c r="AV86" s="76">
        <v>8507.31</v>
      </c>
      <c r="AW86" s="77">
        <v>3536.2</v>
      </c>
      <c r="AX86" s="77">
        <v>3379.3</v>
      </c>
      <c r="AY86" s="76">
        <v>530.47</v>
      </c>
      <c r="AZ86" s="77">
        <v>5501.7</v>
      </c>
      <c r="BA86" s="76">
        <v>3815.55</v>
      </c>
      <c r="BB86" s="76">
        <v>4663.13</v>
      </c>
      <c r="BC86" s="76">
        <v>3097.71</v>
      </c>
      <c r="BD86" s="76">
        <v>9079.1299999999992</v>
      </c>
      <c r="BE86" s="76">
        <v>3552.21</v>
      </c>
      <c r="BF86" s="76">
        <v>7189.11</v>
      </c>
      <c r="BG86" s="76">
        <v>1762.72</v>
      </c>
      <c r="BH86" s="77">
        <v>6401.1</v>
      </c>
      <c r="BI86" s="76">
        <v>2071.48</v>
      </c>
      <c r="BJ86" s="76">
        <v>3311.14</v>
      </c>
      <c r="BK86" s="76">
        <v>5317.79</v>
      </c>
      <c r="BL86" s="76">
        <v>4675.75</v>
      </c>
      <c r="BM86" s="76">
        <v>2128.29</v>
      </c>
      <c r="BN86" s="77">
        <v>7425.4</v>
      </c>
      <c r="BO86" s="76">
        <v>3188.31</v>
      </c>
      <c r="BP86" s="77">
        <v>5054.3999999999996</v>
      </c>
      <c r="BQ86" s="76">
        <v>2046.13</v>
      </c>
      <c r="BR86" s="77">
        <v>4411.8</v>
      </c>
      <c r="BS86" s="76">
        <v>2795.05</v>
      </c>
      <c r="BT86" s="77">
        <v>2300.9</v>
      </c>
      <c r="BU86" s="76">
        <v>1296.3900000000001</v>
      </c>
    </row>
    <row r="87" spans="1:73">
      <c r="A87" s="72" t="s">
        <v>473</v>
      </c>
      <c r="B87" s="75">
        <v>13.26</v>
      </c>
      <c r="C87" s="75">
        <v>0.28000000000000003</v>
      </c>
      <c r="D87" s="75">
        <v>39.04</v>
      </c>
      <c r="E87" s="75">
        <v>28.31</v>
      </c>
      <c r="F87" s="75">
        <v>20.04</v>
      </c>
      <c r="G87" s="75">
        <v>0.26</v>
      </c>
      <c r="H87" s="75">
        <v>3.08</v>
      </c>
      <c r="I87" s="75">
        <v>0.08</v>
      </c>
      <c r="J87" s="75">
        <v>25.55</v>
      </c>
      <c r="K87" s="75">
        <v>0.11</v>
      </c>
      <c r="L87" s="75">
        <v>3.49</v>
      </c>
      <c r="M87" s="75">
        <v>0.13</v>
      </c>
      <c r="N87" s="75">
        <v>21.69</v>
      </c>
      <c r="O87" s="75">
        <v>1.83</v>
      </c>
      <c r="P87" s="75">
        <v>63.65</v>
      </c>
      <c r="Q87" s="75">
        <v>10.65</v>
      </c>
      <c r="R87" s="75">
        <v>119.59</v>
      </c>
      <c r="S87" s="75">
        <v>0.96</v>
      </c>
      <c r="T87" s="75">
        <v>92.53</v>
      </c>
      <c r="U87" s="75">
        <v>11.33</v>
      </c>
      <c r="V87" s="78">
        <v>45.8</v>
      </c>
      <c r="W87" s="75">
        <v>0.12</v>
      </c>
      <c r="X87" s="75">
        <v>73.08</v>
      </c>
      <c r="Y87" s="75">
        <v>12.85</v>
      </c>
      <c r="Z87" s="75">
        <v>196.72</v>
      </c>
      <c r="AA87" s="75">
        <v>11.66</v>
      </c>
      <c r="AB87" s="75">
        <v>165.66</v>
      </c>
      <c r="AC87" s="75">
        <v>17.12</v>
      </c>
      <c r="AD87" s="75">
        <v>126.16</v>
      </c>
      <c r="AE87" s="75">
        <v>11.65</v>
      </c>
      <c r="AF87" s="75">
        <v>207.72</v>
      </c>
      <c r="AG87" s="75">
        <v>4.7300000000000004</v>
      </c>
      <c r="AH87" s="75">
        <v>228.77</v>
      </c>
      <c r="AI87" s="75">
        <v>4.43</v>
      </c>
      <c r="AJ87" s="75">
        <v>140.94</v>
      </c>
      <c r="AK87" s="75">
        <v>21.31</v>
      </c>
      <c r="AL87" s="75">
        <v>133.63</v>
      </c>
      <c r="AM87" s="75">
        <v>4.0599999999999996</v>
      </c>
      <c r="AN87" s="75">
        <v>266.16000000000003</v>
      </c>
      <c r="AO87" s="75">
        <v>2.21</v>
      </c>
      <c r="AP87" s="75">
        <v>277.49</v>
      </c>
      <c r="AQ87" s="78">
        <v>70.8</v>
      </c>
      <c r="AR87" s="75">
        <v>236.19</v>
      </c>
      <c r="AS87" s="75">
        <v>27.88</v>
      </c>
      <c r="AT87" s="75">
        <v>86.11</v>
      </c>
      <c r="AU87" s="75">
        <v>60.12</v>
      </c>
      <c r="AV87" s="75">
        <v>199.12</v>
      </c>
      <c r="AW87" s="75">
        <v>7.44</v>
      </c>
      <c r="AX87" s="75">
        <v>168.01</v>
      </c>
      <c r="AY87" s="75">
        <v>105.89</v>
      </c>
      <c r="AZ87" s="75">
        <v>171.56</v>
      </c>
      <c r="BA87" s="75">
        <v>245.38</v>
      </c>
      <c r="BB87" s="75">
        <v>206.46</v>
      </c>
      <c r="BC87" s="75">
        <v>214.02</v>
      </c>
      <c r="BD87" s="75">
        <v>168.68</v>
      </c>
      <c r="BE87" s="75">
        <v>227.98</v>
      </c>
      <c r="BF87" s="75">
        <v>108.99</v>
      </c>
      <c r="BG87" s="78">
        <v>174.9</v>
      </c>
      <c r="BH87" s="75">
        <v>113.87</v>
      </c>
      <c r="BI87" s="75">
        <v>69.959999999999994</v>
      </c>
      <c r="BJ87" s="75">
        <v>154.68</v>
      </c>
      <c r="BK87" s="75">
        <v>193.78</v>
      </c>
      <c r="BL87" s="78">
        <v>230.5</v>
      </c>
      <c r="BM87" s="75">
        <v>432.63</v>
      </c>
      <c r="BN87" s="75">
        <v>99.57</v>
      </c>
      <c r="BO87" s="75">
        <v>204.06</v>
      </c>
      <c r="BP87" s="75">
        <v>223.45</v>
      </c>
      <c r="BQ87" s="75">
        <v>338.85</v>
      </c>
      <c r="BR87" s="75">
        <v>117.73</v>
      </c>
      <c r="BS87" s="78">
        <v>328.7</v>
      </c>
      <c r="BT87" s="75">
        <v>264.12</v>
      </c>
      <c r="BU87" s="75">
        <v>361.24</v>
      </c>
    </row>
    <row r="88" spans="1:73">
      <c r="A88" s="72" t="s">
        <v>475</v>
      </c>
      <c r="B88" s="76">
        <v>9042.15</v>
      </c>
      <c r="C88" s="76">
        <v>223.23</v>
      </c>
      <c r="D88" s="76">
        <v>7582.84</v>
      </c>
      <c r="E88" s="76">
        <v>100.04</v>
      </c>
      <c r="F88" s="76">
        <v>10122.67</v>
      </c>
      <c r="G88" s="76">
        <v>54.84</v>
      </c>
      <c r="H88" s="76">
        <v>8274.98</v>
      </c>
      <c r="I88" s="76">
        <v>156.76</v>
      </c>
      <c r="J88" s="76">
        <v>6881.05</v>
      </c>
      <c r="K88" s="76">
        <v>37.090000000000003</v>
      </c>
      <c r="L88" s="77">
        <v>5487</v>
      </c>
      <c r="M88" s="76">
        <v>107.48</v>
      </c>
      <c r="N88" s="76">
        <v>9005.01</v>
      </c>
      <c r="O88" s="76">
        <v>109.92</v>
      </c>
      <c r="P88" s="76">
        <v>9486.39</v>
      </c>
      <c r="Q88" s="76">
        <v>47.83</v>
      </c>
      <c r="R88" s="76">
        <v>11107.06</v>
      </c>
      <c r="S88" s="76">
        <v>118.67</v>
      </c>
      <c r="T88" s="76">
        <v>12718.03</v>
      </c>
      <c r="U88" s="76">
        <v>169.29</v>
      </c>
      <c r="V88" s="76">
        <v>11747.49</v>
      </c>
      <c r="W88" s="76">
        <v>199.53</v>
      </c>
      <c r="X88" s="76">
        <v>13651.93</v>
      </c>
      <c r="Y88" s="76">
        <v>269.93</v>
      </c>
      <c r="Z88" s="76">
        <v>16516.68</v>
      </c>
      <c r="AA88" s="76">
        <v>4083.48</v>
      </c>
      <c r="AB88" s="76">
        <v>15116.06</v>
      </c>
      <c r="AC88" s="76">
        <v>1336.28</v>
      </c>
      <c r="AD88" s="77">
        <v>20469.7</v>
      </c>
      <c r="AE88" s="76">
        <v>1737.75</v>
      </c>
      <c r="AF88" s="76">
        <v>14741.95</v>
      </c>
      <c r="AG88" s="76">
        <v>2348.0700000000002</v>
      </c>
      <c r="AH88" s="76">
        <v>16494.75</v>
      </c>
      <c r="AI88" s="76">
        <v>2923.26</v>
      </c>
      <c r="AJ88" s="76">
        <v>15662.62</v>
      </c>
      <c r="AK88" s="76">
        <v>1189.3699999999999</v>
      </c>
      <c r="AL88" s="76">
        <v>16125.77</v>
      </c>
      <c r="AM88" s="76">
        <v>5663.07</v>
      </c>
      <c r="AN88" s="76">
        <v>16511.79</v>
      </c>
      <c r="AO88" s="77">
        <v>2995.4</v>
      </c>
      <c r="AP88" s="76">
        <v>13945.97</v>
      </c>
      <c r="AQ88" s="76">
        <v>5151.58</v>
      </c>
      <c r="AR88" s="76">
        <v>12523.18</v>
      </c>
      <c r="AS88" s="76">
        <v>1185.72</v>
      </c>
      <c r="AT88" s="76">
        <v>14098.24</v>
      </c>
      <c r="AU88" s="76">
        <v>560.80999999999995</v>
      </c>
      <c r="AV88" s="76">
        <v>12057.82</v>
      </c>
      <c r="AW88" s="76">
        <v>837.71</v>
      </c>
      <c r="AX88" s="76">
        <v>13382.44</v>
      </c>
      <c r="AY88" s="76">
        <v>2089.7199999999998</v>
      </c>
      <c r="AZ88" s="76">
        <v>11348.87</v>
      </c>
      <c r="BA88" s="76">
        <v>1480.27</v>
      </c>
      <c r="BB88" s="76">
        <v>9707.0499999999993</v>
      </c>
      <c r="BC88" s="76">
        <v>1195.32</v>
      </c>
      <c r="BD88" s="76">
        <v>9128.57</v>
      </c>
      <c r="BE88" s="76">
        <v>4048.56</v>
      </c>
      <c r="BF88" s="76">
        <v>9218.11</v>
      </c>
      <c r="BG88" s="76">
        <v>1065.68</v>
      </c>
      <c r="BH88" s="76">
        <v>5304.48</v>
      </c>
      <c r="BI88" s="76">
        <v>245.43</v>
      </c>
      <c r="BJ88" s="76">
        <v>14521.84</v>
      </c>
      <c r="BK88" s="76">
        <v>334.33</v>
      </c>
      <c r="BL88" s="76">
        <v>14887.69</v>
      </c>
      <c r="BM88" s="76">
        <v>453.93</v>
      </c>
      <c r="BN88" s="76">
        <v>10738.17</v>
      </c>
      <c r="BO88" s="76">
        <v>1682.11</v>
      </c>
      <c r="BP88" s="76">
        <v>14450.47</v>
      </c>
      <c r="BQ88" s="76">
        <v>1869.89</v>
      </c>
      <c r="BR88" s="76">
        <v>18283.87</v>
      </c>
      <c r="BS88" s="76">
        <v>2000.41</v>
      </c>
      <c r="BT88" s="76">
        <v>16825.68</v>
      </c>
      <c r="BU88" s="76">
        <v>1693.12</v>
      </c>
    </row>
    <row r="89" spans="1:73">
      <c r="A89" s="72" t="s">
        <v>479</v>
      </c>
      <c r="B89" s="73" t="s">
        <v>207</v>
      </c>
      <c r="C89" s="73" t="s">
        <v>207</v>
      </c>
      <c r="D89" s="73" t="s">
        <v>207</v>
      </c>
      <c r="E89" s="73" t="s">
        <v>207</v>
      </c>
      <c r="F89" s="73" t="s">
        <v>207</v>
      </c>
      <c r="G89" s="73" t="s">
        <v>207</v>
      </c>
      <c r="H89" s="73" t="s">
        <v>207</v>
      </c>
      <c r="I89" s="73" t="s">
        <v>207</v>
      </c>
      <c r="J89" s="73" t="s">
        <v>207</v>
      </c>
      <c r="K89" s="73" t="s">
        <v>207</v>
      </c>
      <c r="L89" s="73" t="s">
        <v>207</v>
      </c>
      <c r="M89" s="73" t="s">
        <v>207</v>
      </c>
      <c r="N89" s="73" t="s">
        <v>207</v>
      </c>
      <c r="O89" s="73" t="s">
        <v>207</v>
      </c>
      <c r="P89" s="73" t="s">
        <v>207</v>
      </c>
      <c r="Q89" s="73" t="s">
        <v>207</v>
      </c>
      <c r="R89" s="73" t="s">
        <v>207</v>
      </c>
      <c r="S89" s="73" t="s">
        <v>207</v>
      </c>
      <c r="T89" s="73" t="s">
        <v>207</v>
      </c>
      <c r="U89" s="73" t="s">
        <v>207</v>
      </c>
      <c r="V89" s="73" t="s">
        <v>207</v>
      </c>
      <c r="W89" s="73" t="s">
        <v>207</v>
      </c>
      <c r="X89" s="73" t="s">
        <v>207</v>
      </c>
      <c r="Y89" s="73" t="s">
        <v>207</v>
      </c>
      <c r="Z89" s="73" t="s">
        <v>207</v>
      </c>
      <c r="AA89" s="73" t="s">
        <v>207</v>
      </c>
      <c r="AB89" s="73" t="s">
        <v>207</v>
      </c>
      <c r="AC89" s="73" t="s">
        <v>207</v>
      </c>
      <c r="AD89" s="73" t="s">
        <v>207</v>
      </c>
      <c r="AE89" s="73" t="s">
        <v>207</v>
      </c>
      <c r="AF89" s="73" t="s">
        <v>207</v>
      </c>
      <c r="AG89" s="73" t="s">
        <v>207</v>
      </c>
      <c r="AH89" s="73" t="s">
        <v>207</v>
      </c>
      <c r="AI89" s="73" t="s">
        <v>207</v>
      </c>
      <c r="AJ89" s="73" t="s">
        <v>207</v>
      </c>
      <c r="AK89" s="73" t="s">
        <v>207</v>
      </c>
      <c r="AL89" s="73" t="s">
        <v>207</v>
      </c>
      <c r="AM89" s="73" t="s">
        <v>207</v>
      </c>
      <c r="AN89" s="73" t="s">
        <v>207</v>
      </c>
      <c r="AO89" s="73" t="s">
        <v>207</v>
      </c>
      <c r="AP89" s="73" t="s">
        <v>207</v>
      </c>
      <c r="AQ89" s="73" t="s">
        <v>207</v>
      </c>
      <c r="AR89" s="73" t="s">
        <v>207</v>
      </c>
      <c r="AS89" s="73" t="s">
        <v>207</v>
      </c>
      <c r="AT89" s="73" t="s">
        <v>207</v>
      </c>
      <c r="AU89" s="73" t="s">
        <v>207</v>
      </c>
      <c r="AV89" s="73" t="s">
        <v>207</v>
      </c>
      <c r="AW89" s="73" t="s">
        <v>207</v>
      </c>
      <c r="AX89" s="73" t="s">
        <v>207</v>
      </c>
      <c r="AY89" s="73" t="s">
        <v>207</v>
      </c>
      <c r="AZ89" s="73" t="s">
        <v>207</v>
      </c>
      <c r="BA89" s="73" t="s">
        <v>207</v>
      </c>
      <c r="BB89" s="73" t="s">
        <v>207</v>
      </c>
      <c r="BC89" s="73" t="s">
        <v>207</v>
      </c>
      <c r="BD89" s="73" t="s">
        <v>207</v>
      </c>
      <c r="BE89" s="73" t="s">
        <v>207</v>
      </c>
      <c r="BF89" s="73" t="s">
        <v>207</v>
      </c>
      <c r="BG89" s="73" t="s">
        <v>207</v>
      </c>
      <c r="BH89" s="73" t="s">
        <v>207</v>
      </c>
      <c r="BI89" s="73" t="s">
        <v>207</v>
      </c>
      <c r="BJ89" s="73" t="s">
        <v>207</v>
      </c>
      <c r="BK89" s="73" t="s">
        <v>207</v>
      </c>
      <c r="BL89" s="73" t="s">
        <v>207</v>
      </c>
      <c r="BM89" s="73" t="s">
        <v>207</v>
      </c>
      <c r="BN89" s="73" t="s">
        <v>207</v>
      </c>
      <c r="BO89" s="73" t="s">
        <v>207</v>
      </c>
      <c r="BP89" s="73" t="s">
        <v>207</v>
      </c>
      <c r="BQ89" s="73" t="s">
        <v>207</v>
      </c>
      <c r="BR89" s="73" t="s">
        <v>207</v>
      </c>
      <c r="BS89" s="73" t="s">
        <v>207</v>
      </c>
      <c r="BT89" s="73" t="s">
        <v>207</v>
      </c>
      <c r="BU89" s="73" t="s">
        <v>207</v>
      </c>
    </row>
    <row r="90" spans="1:73">
      <c r="A90" s="72" t="s">
        <v>481</v>
      </c>
      <c r="B90" s="74" t="s">
        <v>207</v>
      </c>
      <c r="C90" s="74" t="s">
        <v>207</v>
      </c>
      <c r="D90" s="74" t="s">
        <v>207</v>
      </c>
      <c r="E90" s="74" t="s">
        <v>207</v>
      </c>
      <c r="F90" s="74" t="s">
        <v>207</v>
      </c>
      <c r="G90" s="74" t="s">
        <v>207</v>
      </c>
      <c r="H90" s="74" t="s">
        <v>207</v>
      </c>
      <c r="I90" s="74" t="s">
        <v>207</v>
      </c>
      <c r="J90" s="74" t="s">
        <v>207</v>
      </c>
      <c r="K90" s="74" t="s">
        <v>207</v>
      </c>
      <c r="L90" s="74" t="s">
        <v>207</v>
      </c>
      <c r="M90" s="74" t="s">
        <v>207</v>
      </c>
      <c r="N90" s="74" t="s">
        <v>207</v>
      </c>
      <c r="O90" s="74" t="s">
        <v>207</v>
      </c>
      <c r="P90" s="74" t="s">
        <v>207</v>
      </c>
      <c r="Q90" s="74" t="s">
        <v>207</v>
      </c>
      <c r="R90" s="74" t="s">
        <v>207</v>
      </c>
      <c r="S90" s="74" t="s">
        <v>207</v>
      </c>
      <c r="T90" s="74" t="s">
        <v>207</v>
      </c>
      <c r="U90" s="74" t="s">
        <v>207</v>
      </c>
      <c r="V90" s="74" t="s">
        <v>207</v>
      </c>
      <c r="W90" s="74" t="s">
        <v>207</v>
      </c>
      <c r="X90" s="74" t="s">
        <v>207</v>
      </c>
      <c r="Y90" s="74" t="s">
        <v>207</v>
      </c>
      <c r="Z90" s="74" t="s">
        <v>207</v>
      </c>
      <c r="AA90" s="74" t="s">
        <v>207</v>
      </c>
      <c r="AB90" s="74" t="s">
        <v>207</v>
      </c>
      <c r="AC90" s="74" t="s">
        <v>207</v>
      </c>
      <c r="AD90" s="74" t="s">
        <v>207</v>
      </c>
      <c r="AE90" s="74" t="s">
        <v>207</v>
      </c>
      <c r="AF90" s="74" t="s">
        <v>207</v>
      </c>
      <c r="AG90" s="74" t="s">
        <v>207</v>
      </c>
      <c r="AH90" s="74" t="s">
        <v>207</v>
      </c>
      <c r="AI90" s="74" t="s">
        <v>207</v>
      </c>
      <c r="AJ90" s="74" t="s">
        <v>207</v>
      </c>
      <c r="AK90" s="74" t="s">
        <v>207</v>
      </c>
      <c r="AL90" s="74" t="s">
        <v>207</v>
      </c>
      <c r="AM90" s="74" t="s">
        <v>207</v>
      </c>
      <c r="AN90" s="74" t="s">
        <v>207</v>
      </c>
      <c r="AO90" s="74" t="s">
        <v>207</v>
      </c>
      <c r="AP90" s="74" t="s">
        <v>207</v>
      </c>
      <c r="AQ90" s="74" t="s">
        <v>207</v>
      </c>
      <c r="AR90" s="74" t="s">
        <v>207</v>
      </c>
      <c r="AS90" s="74" t="s">
        <v>207</v>
      </c>
      <c r="AT90" s="74" t="s">
        <v>207</v>
      </c>
      <c r="AU90" s="74" t="s">
        <v>207</v>
      </c>
      <c r="AV90" s="74" t="s">
        <v>207</v>
      </c>
      <c r="AW90" s="74" t="s">
        <v>207</v>
      </c>
      <c r="AX90" s="74" t="s">
        <v>207</v>
      </c>
      <c r="AY90" s="74" t="s">
        <v>207</v>
      </c>
      <c r="AZ90" s="74" t="s">
        <v>207</v>
      </c>
      <c r="BA90" s="74" t="s">
        <v>207</v>
      </c>
      <c r="BB90" s="74" t="s">
        <v>207</v>
      </c>
      <c r="BC90" s="74" t="s">
        <v>207</v>
      </c>
      <c r="BD90" s="74" t="s">
        <v>207</v>
      </c>
      <c r="BE90" s="74" t="s">
        <v>207</v>
      </c>
      <c r="BF90" s="74" t="s">
        <v>207</v>
      </c>
      <c r="BG90" s="74" t="s">
        <v>207</v>
      </c>
      <c r="BH90" s="74" t="s">
        <v>207</v>
      </c>
      <c r="BI90" s="74" t="s">
        <v>207</v>
      </c>
      <c r="BJ90" s="74" t="s">
        <v>207</v>
      </c>
      <c r="BK90" s="74" t="s">
        <v>207</v>
      </c>
      <c r="BL90" s="74" t="s">
        <v>207</v>
      </c>
      <c r="BM90" s="74" t="s">
        <v>207</v>
      </c>
      <c r="BN90" s="74" t="s">
        <v>207</v>
      </c>
      <c r="BO90" s="74" t="s">
        <v>207</v>
      </c>
      <c r="BP90" s="74" t="s">
        <v>207</v>
      </c>
      <c r="BQ90" s="74" t="s">
        <v>207</v>
      </c>
      <c r="BR90" s="74" t="s">
        <v>207</v>
      </c>
      <c r="BS90" s="74" t="s">
        <v>207</v>
      </c>
      <c r="BT90" s="74" t="s">
        <v>207</v>
      </c>
      <c r="BU90" s="74" t="s">
        <v>207</v>
      </c>
    </row>
    <row r="91" spans="1:73">
      <c r="A91" s="72" t="s">
        <v>483</v>
      </c>
      <c r="B91" s="73" t="s">
        <v>207</v>
      </c>
      <c r="C91" s="75">
        <v>0.18</v>
      </c>
      <c r="D91" s="78">
        <v>6</v>
      </c>
      <c r="E91" s="73" t="s">
        <v>207</v>
      </c>
      <c r="F91" s="73" t="s">
        <v>207</v>
      </c>
      <c r="G91" s="73" t="s">
        <v>207</v>
      </c>
      <c r="H91" s="75">
        <v>19.84</v>
      </c>
      <c r="I91" s="73" t="s">
        <v>207</v>
      </c>
      <c r="J91" s="73" t="s">
        <v>207</v>
      </c>
      <c r="K91" s="73" t="s">
        <v>207</v>
      </c>
      <c r="L91" s="73" t="s">
        <v>207</v>
      </c>
      <c r="M91" s="73" t="s">
        <v>207</v>
      </c>
      <c r="N91" s="78">
        <v>2.8</v>
      </c>
      <c r="O91" s="73" t="s">
        <v>207</v>
      </c>
      <c r="P91" s="73" t="s">
        <v>207</v>
      </c>
      <c r="Q91" s="75">
        <v>7.0000000000000007E-2</v>
      </c>
      <c r="R91" s="73" t="s">
        <v>207</v>
      </c>
      <c r="S91" s="78">
        <v>0.3</v>
      </c>
      <c r="T91" s="75">
        <v>0.06</v>
      </c>
      <c r="U91" s="73" t="s">
        <v>207</v>
      </c>
      <c r="V91" s="75">
        <v>5.18</v>
      </c>
      <c r="W91" s="73" t="s">
        <v>207</v>
      </c>
      <c r="X91" s="73" t="s">
        <v>207</v>
      </c>
      <c r="Y91" s="75">
        <v>0.48</v>
      </c>
      <c r="Z91" s="78">
        <v>10.8</v>
      </c>
      <c r="AA91" s="73" t="s">
        <v>207</v>
      </c>
      <c r="AB91" s="75">
        <v>0.14000000000000001</v>
      </c>
      <c r="AC91" s="73" t="s">
        <v>207</v>
      </c>
      <c r="AD91" s="73" t="s">
        <v>207</v>
      </c>
      <c r="AE91" s="73" t="s">
        <v>207</v>
      </c>
      <c r="AF91" s="78">
        <v>21.6</v>
      </c>
      <c r="AG91" s="75">
        <v>1.25</v>
      </c>
      <c r="AH91" s="73" t="s">
        <v>207</v>
      </c>
      <c r="AI91" s="73" t="s">
        <v>207</v>
      </c>
      <c r="AJ91" s="75">
        <v>31.97</v>
      </c>
      <c r="AK91" s="73" t="s">
        <v>207</v>
      </c>
      <c r="AL91" s="75">
        <v>8.82</v>
      </c>
      <c r="AM91" s="73" t="s">
        <v>207</v>
      </c>
      <c r="AN91" s="73" t="s">
        <v>207</v>
      </c>
      <c r="AO91" s="73" t="s">
        <v>207</v>
      </c>
      <c r="AP91" s="73" t="s">
        <v>207</v>
      </c>
      <c r="AQ91" s="75">
        <v>1.08</v>
      </c>
      <c r="AR91" s="75">
        <v>1.46</v>
      </c>
      <c r="AS91" s="73" t="s">
        <v>207</v>
      </c>
      <c r="AT91" s="73" t="s">
        <v>207</v>
      </c>
      <c r="AU91" s="73" t="s">
        <v>207</v>
      </c>
      <c r="AV91" s="73" t="s">
        <v>207</v>
      </c>
      <c r="AW91" s="73" t="s">
        <v>207</v>
      </c>
      <c r="AX91" s="73" t="s">
        <v>207</v>
      </c>
      <c r="AY91" s="73" t="s">
        <v>207</v>
      </c>
      <c r="AZ91" s="73" t="s">
        <v>207</v>
      </c>
      <c r="BA91" s="73" t="s">
        <v>207</v>
      </c>
      <c r="BB91" s="73" t="s">
        <v>207</v>
      </c>
      <c r="BC91" s="73" t="s">
        <v>207</v>
      </c>
      <c r="BD91" s="73" t="s">
        <v>207</v>
      </c>
      <c r="BE91" s="75">
        <v>0.14000000000000001</v>
      </c>
      <c r="BF91" s="73" t="s">
        <v>207</v>
      </c>
      <c r="BG91" s="73" t="s">
        <v>207</v>
      </c>
      <c r="BH91" s="73" t="s">
        <v>207</v>
      </c>
      <c r="BI91" s="73" t="s">
        <v>207</v>
      </c>
      <c r="BJ91" s="73" t="s">
        <v>207</v>
      </c>
      <c r="BK91" s="73" t="s">
        <v>207</v>
      </c>
      <c r="BL91" s="73" t="s">
        <v>207</v>
      </c>
      <c r="BM91" s="73" t="s">
        <v>207</v>
      </c>
      <c r="BN91" s="75">
        <v>0.56000000000000005</v>
      </c>
      <c r="BO91" s="73" t="s">
        <v>207</v>
      </c>
      <c r="BP91" s="73" t="s">
        <v>207</v>
      </c>
      <c r="BQ91" s="73" t="s">
        <v>207</v>
      </c>
      <c r="BR91" s="73" t="s">
        <v>207</v>
      </c>
      <c r="BS91" s="73" t="s">
        <v>207</v>
      </c>
      <c r="BT91" s="73" t="s">
        <v>207</v>
      </c>
      <c r="BU91" s="75">
        <v>0.06</v>
      </c>
    </row>
    <row r="92" spans="1:73">
      <c r="A92" s="72" t="s">
        <v>485</v>
      </c>
      <c r="B92" s="76">
        <v>10477.68</v>
      </c>
      <c r="C92" s="74" t="s">
        <v>207</v>
      </c>
      <c r="D92" s="77">
        <v>9577.2999999999993</v>
      </c>
      <c r="E92" s="74" t="s">
        <v>207</v>
      </c>
      <c r="F92" s="76">
        <v>10454.41</v>
      </c>
      <c r="G92" s="74" t="s">
        <v>207</v>
      </c>
      <c r="H92" s="76">
        <v>11128.62</v>
      </c>
      <c r="I92" s="74" t="s">
        <v>207</v>
      </c>
      <c r="J92" s="76">
        <v>11885.92</v>
      </c>
      <c r="K92" s="74" t="s">
        <v>207</v>
      </c>
      <c r="L92" s="76">
        <v>9953.74</v>
      </c>
      <c r="M92" s="74" t="s">
        <v>207</v>
      </c>
      <c r="N92" s="76">
        <v>4188.8500000000004</v>
      </c>
      <c r="O92" s="74" t="s">
        <v>207</v>
      </c>
      <c r="P92" s="77">
        <v>9151.1</v>
      </c>
      <c r="Q92" s="74" t="s">
        <v>207</v>
      </c>
      <c r="R92" s="76">
        <v>10603.66</v>
      </c>
      <c r="S92" s="74" t="s">
        <v>207</v>
      </c>
      <c r="T92" s="76">
        <v>9076.74</v>
      </c>
      <c r="U92" s="74" t="s">
        <v>207</v>
      </c>
      <c r="V92" s="76">
        <v>15421.51</v>
      </c>
      <c r="W92" s="74" t="s">
        <v>207</v>
      </c>
      <c r="X92" s="77">
        <v>18841</v>
      </c>
      <c r="Y92" s="74" t="s">
        <v>207</v>
      </c>
      <c r="Z92" s="76">
        <v>9644.94</v>
      </c>
      <c r="AA92" s="74" t="s">
        <v>207</v>
      </c>
      <c r="AB92" s="76">
        <v>8312.08</v>
      </c>
      <c r="AC92" s="74" t="s">
        <v>207</v>
      </c>
      <c r="AD92" s="76">
        <v>8585.89</v>
      </c>
      <c r="AE92" s="74" t="s">
        <v>207</v>
      </c>
      <c r="AF92" s="76">
        <v>9974.7199999999993</v>
      </c>
      <c r="AG92" s="74" t="s">
        <v>207</v>
      </c>
      <c r="AH92" s="76">
        <v>9574.94</v>
      </c>
      <c r="AI92" s="74" t="s">
        <v>207</v>
      </c>
      <c r="AJ92" s="76">
        <v>6408.83</v>
      </c>
      <c r="AK92" s="74" t="s">
        <v>207</v>
      </c>
      <c r="AL92" s="76">
        <v>8325.02</v>
      </c>
      <c r="AM92" s="74" t="s">
        <v>207</v>
      </c>
      <c r="AN92" s="76">
        <v>5464.61</v>
      </c>
      <c r="AO92" s="74" t="s">
        <v>207</v>
      </c>
      <c r="AP92" s="76">
        <v>6518.98</v>
      </c>
      <c r="AQ92" s="74" t="s">
        <v>207</v>
      </c>
      <c r="AR92" s="76">
        <v>13382.42</v>
      </c>
      <c r="AS92" s="74" t="s">
        <v>207</v>
      </c>
      <c r="AT92" s="76">
        <v>6924.33</v>
      </c>
      <c r="AU92" s="74" t="s">
        <v>207</v>
      </c>
      <c r="AV92" s="76">
        <v>14894.15</v>
      </c>
      <c r="AW92" s="74" t="s">
        <v>207</v>
      </c>
      <c r="AX92" s="77">
        <v>0.5</v>
      </c>
      <c r="AY92" s="74" t="s">
        <v>207</v>
      </c>
      <c r="AZ92" s="76">
        <v>0.01</v>
      </c>
      <c r="BA92" s="74" t="s">
        <v>207</v>
      </c>
      <c r="BB92" s="76">
        <v>0.46</v>
      </c>
      <c r="BC92" s="74" t="s">
        <v>207</v>
      </c>
      <c r="BD92" s="74" t="s">
        <v>207</v>
      </c>
      <c r="BE92" s="74" t="s">
        <v>207</v>
      </c>
      <c r="BF92" s="77">
        <v>24.5</v>
      </c>
      <c r="BG92" s="74" t="s">
        <v>207</v>
      </c>
      <c r="BH92" s="74" t="s">
        <v>207</v>
      </c>
      <c r="BI92" s="74" t="s">
        <v>207</v>
      </c>
      <c r="BJ92" s="74" t="s">
        <v>207</v>
      </c>
      <c r="BK92" s="74" t="s">
        <v>207</v>
      </c>
      <c r="BL92" s="74" t="s">
        <v>207</v>
      </c>
      <c r="BM92" s="74" t="s">
        <v>207</v>
      </c>
      <c r="BN92" s="76">
        <v>0.43</v>
      </c>
      <c r="BO92" s="74" t="s">
        <v>207</v>
      </c>
      <c r="BP92" s="77">
        <v>20.8</v>
      </c>
      <c r="BQ92" s="74" t="s">
        <v>207</v>
      </c>
      <c r="BR92" s="76">
        <v>0.01</v>
      </c>
      <c r="BS92" s="74" t="s">
        <v>207</v>
      </c>
      <c r="BT92" s="77">
        <v>30</v>
      </c>
      <c r="BU92" s="74" t="s">
        <v>207</v>
      </c>
    </row>
    <row r="93" spans="1:73">
      <c r="A93" s="72" t="s">
        <v>487</v>
      </c>
      <c r="B93" s="73" t="s">
        <v>207</v>
      </c>
      <c r="C93" s="73" t="s">
        <v>207</v>
      </c>
      <c r="D93" s="73" t="s">
        <v>207</v>
      </c>
      <c r="E93" s="73" t="s">
        <v>207</v>
      </c>
      <c r="F93" s="73" t="s">
        <v>207</v>
      </c>
      <c r="G93" s="73" t="s">
        <v>207</v>
      </c>
      <c r="H93" s="73" t="s">
        <v>207</v>
      </c>
      <c r="I93" s="73" t="s">
        <v>207</v>
      </c>
      <c r="J93" s="73" t="s">
        <v>207</v>
      </c>
      <c r="K93" s="73" t="s">
        <v>207</v>
      </c>
      <c r="L93" s="73" t="s">
        <v>207</v>
      </c>
      <c r="M93" s="73" t="s">
        <v>207</v>
      </c>
      <c r="N93" s="73" t="s">
        <v>207</v>
      </c>
      <c r="O93" s="73" t="s">
        <v>207</v>
      </c>
      <c r="P93" s="73" t="s">
        <v>207</v>
      </c>
      <c r="Q93" s="73" t="s">
        <v>207</v>
      </c>
      <c r="R93" s="73" t="s">
        <v>207</v>
      </c>
      <c r="S93" s="73" t="s">
        <v>207</v>
      </c>
      <c r="T93" s="73" t="s">
        <v>207</v>
      </c>
      <c r="U93" s="73" t="s">
        <v>207</v>
      </c>
      <c r="V93" s="73" t="s">
        <v>207</v>
      </c>
      <c r="W93" s="73" t="s">
        <v>207</v>
      </c>
      <c r="X93" s="73" t="s">
        <v>207</v>
      </c>
      <c r="Y93" s="73" t="s">
        <v>207</v>
      </c>
      <c r="Z93" s="73" t="s">
        <v>207</v>
      </c>
      <c r="AA93" s="73" t="s">
        <v>207</v>
      </c>
      <c r="AB93" s="73" t="s">
        <v>207</v>
      </c>
      <c r="AC93" s="73" t="s">
        <v>207</v>
      </c>
      <c r="AD93" s="73" t="s">
        <v>207</v>
      </c>
      <c r="AE93" s="73" t="s">
        <v>207</v>
      </c>
      <c r="AF93" s="73" t="s">
        <v>207</v>
      </c>
      <c r="AG93" s="73" t="s">
        <v>207</v>
      </c>
      <c r="AH93" s="73" t="s">
        <v>207</v>
      </c>
      <c r="AI93" s="73" t="s">
        <v>207</v>
      </c>
      <c r="AJ93" s="73" t="s">
        <v>207</v>
      </c>
      <c r="AK93" s="73" t="s">
        <v>207</v>
      </c>
      <c r="AL93" s="73" t="s">
        <v>207</v>
      </c>
      <c r="AM93" s="73" t="s">
        <v>207</v>
      </c>
      <c r="AN93" s="73" t="s">
        <v>207</v>
      </c>
      <c r="AO93" s="73" t="s">
        <v>207</v>
      </c>
      <c r="AP93" s="73" t="s">
        <v>207</v>
      </c>
      <c r="AQ93" s="73" t="s">
        <v>207</v>
      </c>
      <c r="AR93" s="73" t="s">
        <v>207</v>
      </c>
      <c r="AS93" s="73" t="s">
        <v>207</v>
      </c>
      <c r="AT93" s="73" t="s">
        <v>207</v>
      </c>
      <c r="AU93" s="73" t="s">
        <v>207</v>
      </c>
      <c r="AV93" s="73" t="s">
        <v>207</v>
      </c>
      <c r="AW93" s="73" t="s">
        <v>207</v>
      </c>
      <c r="AX93" s="73" t="s">
        <v>207</v>
      </c>
      <c r="AY93" s="73" t="s">
        <v>207</v>
      </c>
      <c r="AZ93" s="73" t="s">
        <v>207</v>
      </c>
      <c r="BA93" s="73" t="s">
        <v>207</v>
      </c>
      <c r="BB93" s="73" t="s">
        <v>207</v>
      </c>
      <c r="BC93" s="73" t="s">
        <v>207</v>
      </c>
      <c r="BD93" s="73" t="s">
        <v>207</v>
      </c>
      <c r="BE93" s="73" t="s">
        <v>207</v>
      </c>
      <c r="BF93" s="73" t="s">
        <v>207</v>
      </c>
      <c r="BG93" s="73" t="s">
        <v>207</v>
      </c>
      <c r="BH93" s="73" t="s">
        <v>207</v>
      </c>
      <c r="BI93" s="73" t="s">
        <v>207</v>
      </c>
      <c r="BJ93" s="73" t="s">
        <v>207</v>
      </c>
      <c r="BK93" s="73" t="s">
        <v>207</v>
      </c>
      <c r="BL93" s="73" t="s">
        <v>207</v>
      </c>
      <c r="BM93" s="73" t="s">
        <v>207</v>
      </c>
      <c r="BN93" s="73" t="s">
        <v>207</v>
      </c>
      <c r="BO93" s="73" t="s">
        <v>207</v>
      </c>
      <c r="BP93" s="73" t="s">
        <v>207</v>
      </c>
      <c r="BQ93" s="73" t="s">
        <v>207</v>
      </c>
      <c r="BR93" s="73" t="s">
        <v>207</v>
      </c>
      <c r="BS93" s="73" t="s">
        <v>207</v>
      </c>
      <c r="BT93" s="73" t="s">
        <v>207</v>
      </c>
      <c r="BU93" s="73" t="s">
        <v>207</v>
      </c>
    </row>
    <row r="94" spans="1:73">
      <c r="A94" s="72" t="s">
        <v>489</v>
      </c>
      <c r="B94" s="74" t="s">
        <v>207</v>
      </c>
      <c r="C94" s="74" t="s">
        <v>207</v>
      </c>
      <c r="D94" s="74" t="s">
        <v>207</v>
      </c>
      <c r="E94" s="74" t="s">
        <v>207</v>
      </c>
      <c r="F94" s="74" t="s">
        <v>207</v>
      </c>
      <c r="G94" s="74" t="s">
        <v>207</v>
      </c>
      <c r="H94" s="74" t="s">
        <v>207</v>
      </c>
      <c r="I94" s="74" t="s">
        <v>207</v>
      </c>
      <c r="J94" s="74" t="s">
        <v>207</v>
      </c>
      <c r="K94" s="74" t="s">
        <v>207</v>
      </c>
      <c r="L94" s="74" t="s">
        <v>207</v>
      </c>
      <c r="M94" s="74" t="s">
        <v>207</v>
      </c>
      <c r="N94" s="74" t="s">
        <v>207</v>
      </c>
      <c r="O94" s="74" t="s">
        <v>207</v>
      </c>
      <c r="P94" s="74" t="s">
        <v>207</v>
      </c>
      <c r="Q94" s="74" t="s">
        <v>207</v>
      </c>
      <c r="R94" s="74" t="s">
        <v>207</v>
      </c>
      <c r="S94" s="74" t="s">
        <v>207</v>
      </c>
      <c r="T94" s="74" t="s">
        <v>207</v>
      </c>
      <c r="U94" s="74" t="s">
        <v>207</v>
      </c>
      <c r="V94" s="74" t="s">
        <v>207</v>
      </c>
      <c r="W94" s="74" t="s">
        <v>207</v>
      </c>
      <c r="X94" s="74" t="s">
        <v>207</v>
      </c>
      <c r="Y94" s="74" t="s">
        <v>207</v>
      </c>
      <c r="Z94" s="74" t="s">
        <v>207</v>
      </c>
      <c r="AA94" s="74" t="s">
        <v>207</v>
      </c>
      <c r="AB94" s="74" t="s">
        <v>207</v>
      </c>
      <c r="AC94" s="74" t="s">
        <v>207</v>
      </c>
      <c r="AD94" s="74" t="s">
        <v>207</v>
      </c>
      <c r="AE94" s="74" t="s">
        <v>207</v>
      </c>
      <c r="AF94" s="74" t="s">
        <v>207</v>
      </c>
      <c r="AG94" s="74" t="s">
        <v>207</v>
      </c>
      <c r="AH94" s="74" t="s">
        <v>207</v>
      </c>
      <c r="AI94" s="74" t="s">
        <v>207</v>
      </c>
      <c r="AJ94" s="74" t="s">
        <v>207</v>
      </c>
      <c r="AK94" s="74" t="s">
        <v>207</v>
      </c>
      <c r="AL94" s="74" t="s">
        <v>207</v>
      </c>
      <c r="AM94" s="74" t="s">
        <v>207</v>
      </c>
      <c r="AN94" s="74" t="s">
        <v>207</v>
      </c>
      <c r="AO94" s="74" t="s">
        <v>207</v>
      </c>
      <c r="AP94" s="74" t="s">
        <v>207</v>
      </c>
      <c r="AQ94" s="74" t="s">
        <v>207</v>
      </c>
      <c r="AR94" s="74" t="s">
        <v>207</v>
      </c>
      <c r="AS94" s="74" t="s">
        <v>207</v>
      </c>
      <c r="AT94" s="74" t="s">
        <v>207</v>
      </c>
      <c r="AU94" s="74" t="s">
        <v>207</v>
      </c>
      <c r="AV94" s="74" t="s">
        <v>207</v>
      </c>
      <c r="AW94" s="74" t="s">
        <v>207</v>
      </c>
      <c r="AX94" s="74" t="s">
        <v>207</v>
      </c>
      <c r="AY94" s="74" t="s">
        <v>207</v>
      </c>
      <c r="AZ94" s="74" t="s">
        <v>207</v>
      </c>
      <c r="BA94" s="74" t="s">
        <v>207</v>
      </c>
      <c r="BB94" s="74" t="s">
        <v>207</v>
      </c>
      <c r="BC94" s="74" t="s">
        <v>207</v>
      </c>
      <c r="BD94" s="74" t="s">
        <v>207</v>
      </c>
      <c r="BE94" s="74" t="s">
        <v>207</v>
      </c>
      <c r="BF94" s="74" t="s">
        <v>207</v>
      </c>
      <c r="BG94" s="74" t="s">
        <v>207</v>
      </c>
      <c r="BH94" s="74" t="s">
        <v>207</v>
      </c>
      <c r="BI94" s="74" t="s">
        <v>207</v>
      </c>
      <c r="BJ94" s="74" t="s">
        <v>207</v>
      </c>
      <c r="BK94" s="74" t="s">
        <v>207</v>
      </c>
      <c r="BL94" s="74" t="s">
        <v>207</v>
      </c>
      <c r="BM94" s="74" t="s">
        <v>207</v>
      </c>
      <c r="BN94" s="74" t="s">
        <v>207</v>
      </c>
      <c r="BO94" s="74" t="s">
        <v>207</v>
      </c>
      <c r="BP94" s="74" t="s">
        <v>207</v>
      </c>
      <c r="BQ94" s="74" t="s">
        <v>207</v>
      </c>
      <c r="BR94" s="74" t="s">
        <v>207</v>
      </c>
      <c r="BS94" s="74" t="s">
        <v>207</v>
      </c>
      <c r="BT94" s="74" t="s">
        <v>207</v>
      </c>
      <c r="BU94" s="74" t="s">
        <v>207</v>
      </c>
    </row>
    <row r="95" spans="1:73">
      <c r="A95" s="72" t="s">
        <v>491</v>
      </c>
      <c r="B95" s="75">
        <v>14.26</v>
      </c>
      <c r="C95" s="73" t="s">
        <v>207</v>
      </c>
      <c r="D95" s="73" t="s">
        <v>207</v>
      </c>
      <c r="E95" s="73" t="s">
        <v>207</v>
      </c>
      <c r="F95" s="73" t="s">
        <v>207</v>
      </c>
      <c r="G95" s="78">
        <v>0.7</v>
      </c>
      <c r="H95" s="73" t="s">
        <v>207</v>
      </c>
      <c r="I95" s="73" t="s">
        <v>207</v>
      </c>
      <c r="J95" s="78">
        <v>105.6</v>
      </c>
      <c r="K95" s="78">
        <v>50.3</v>
      </c>
      <c r="L95" s="75">
        <v>9.11</v>
      </c>
      <c r="M95" s="75">
        <v>0.38</v>
      </c>
      <c r="N95" s="75">
        <v>99.84</v>
      </c>
      <c r="O95" s="78">
        <v>38.4</v>
      </c>
      <c r="P95" s="78">
        <v>0.8</v>
      </c>
      <c r="Q95" s="73" t="s">
        <v>207</v>
      </c>
      <c r="R95" s="73" t="s">
        <v>207</v>
      </c>
      <c r="S95" s="73" t="s">
        <v>207</v>
      </c>
      <c r="T95" s="78">
        <v>9.6</v>
      </c>
      <c r="U95" s="73" t="s">
        <v>207</v>
      </c>
      <c r="V95" s="73" t="s">
        <v>207</v>
      </c>
      <c r="W95" s="73" t="s">
        <v>207</v>
      </c>
      <c r="X95" s="78">
        <v>11.2</v>
      </c>
      <c r="Y95" s="73" t="s">
        <v>207</v>
      </c>
      <c r="Z95" s="75">
        <v>23.24</v>
      </c>
      <c r="AA95" s="73" t="s">
        <v>207</v>
      </c>
      <c r="AB95" s="75">
        <v>18.489999999999998</v>
      </c>
      <c r="AC95" s="73" t="s">
        <v>207</v>
      </c>
      <c r="AD95" s="78">
        <v>42.4</v>
      </c>
      <c r="AE95" s="73" t="s">
        <v>207</v>
      </c>
      <c r="AF95" s="73" t="s">
        <v>207</v>
      </c>
      <c r="AG95" s="73" t="s">
        <v>207</v>
      </c>
      <c r="AH95" s="75">
        <v>44.76</v>
      </c>
      <c r="AI95" s="73" t="s">
        <v>207</v>
      </c>
      <c r="AJ95" s="78">
        <v>13.4</v>
      </c>
      <c r="AK95" s="73" t="s">
        <v>207</v>
      </c>
      <c r="AL95" s="75">
        <v>49.92</v>
      </c>
      <c r="AM95" s="73" t="s">
        <v>207</v>
      </c>
      <c r="AN95" s="73" t="s">
        <v>207</v>
      </c>
      <c r="AO95" s="73" t="s">
        <v>207</v>
      </c>
      <c r="AP95" s="75">
        <v>12.31</v>
      </c>
      <c r="AQ95" s="73" t="s">
        <v>207</v>
      </c>
      <c r="AR95" s="75">
        <v>76.98</v>
      </c>
      <c r="AS95" s="73" t="s">
        <v>207</v>
      </c>
      <c r="AT95" s="75">
        <v>7.32</v>
      </c>
      <c r="AU95" s="73" t="s">
        <v>207</v>
      </c>
      <c r="AV95" s="78">
        <v>23.5</v>
      </c>
      <c r="AW95" s="73" t="s">
        <v>207</v>
      </c>
      <c r="AX95" s="73" t="s">
        <v>207</v>
      </c>
      <c r="AY95" s="75">
        <v>0.12</v>
      </c>
      <c r="AZ95" s="75">
        <v>0.45</v>
      </c>
      <c r="BA95" s="75">
        <v>0.24</v>
      </c>
      <c r="BB95" s="73" t="s">
        <v>207</v>
      </c>
      <c r="BC95" s="75">
        <v>0.36</v>
      </c>
      <c r="BD95" s="73" t="s">
        <v>207</v>
      </c>
      <c r="BE95" s="75">
        <v>0.24</v>
      </c>
      <c r="BF95" s="73" t="s">
        <v>207</v>
      </c>
      <c r="BG95" s="75">
        <v>0.12</v>
      </c>
      <c r="BH95" s="73" t="s">
        <v>207</v>
      </c>
      <c r="BI95" s="75">
        <v>0.12</v>
      </c>
      <c r="BJ95" s="73" t="s">
        <v>207</v>
      </c>
      <c r="BK95" s="73" t="s">
        <v>207</v>
      </c>
      <c r="BL95" s="75">
        <v>8.1199999999999992</v>
      </c>
      <c r="BM95" s="73" t="s">
        <v>207</v>
      </c>
      <c r="BN95" s="73" t="s">
        <v>207</v>
      </c>
      <c r="BO95" s="73" t="s">
        <v>207</v>
      </c>
      <c r="BP95" s="73" t="s">
        <v>207</v>
      </c>
      <c r="BQ95" s="73" t="s">
        <v>207</v>
      </c>
      <c r="BR95" s="73" t="s">
        <v>207</v>
      </c>
      <c r="BS95" s="73" t="s">
        <v>207</v>
      </c>
      <c r="BT95" s="73" t="s">
        <v>207</v>
      </c>
      <c r="BU95" s="73" t="s">
        <v>207</v>
      </c>
    </row>
    <row r="96" spans="1:73">
      <c r="A96" s="72" t="s">
        <v>493</v>
      </c>
      <c r="B96" s="77">
        <v>420.8</v>
      </c>
      <c r="C96" s="74" t="s">
        <v>207</v>
      </c>
      <c r="D96" s="76">
        <v>2.34</v>
      </c>
      <c r="E96" s="74" t="s">
        <v>207</v>
      </c>
      <c r="F96" s="76">
        <v>177.16</v>
      </c>
      <c r="G96" s="74" t="s">
        <v>207</v>
      </c>
      <c r="H96" s="74" t="s">
        <v>207</v>
      </c>
      <c r="I96" s="74" t="s">
        <v>207</v>
      </c>
      <c r="J96" s="74" t="s">
        <v>207</v>
      </c>
      <c r="K96" s="74" t="s">
        <v>207</v>
      </c>
      <c r="L96" s="77">
        <v>118.4</v>
      </c>
      <c r="M96" s="74" t="s">
        <v>207</v>
      </c>
      <c r="N96" s="74" t="s">
        <v>207</v>
      </c>
      <c r="O96" s="74" t="s">
        <v>207</v>
      </c>
      <c r="P96" s="74" t="s">
        <v>207</v>
      </c>
      <c r="Q96" s="74" t="s">
        <v>207</v>
      </c>
      <c r="R96" s="76">
        <v>169.81</v>
      </c>
      <c r="S96" s="76">
        <v>0.01</v>
      </c>
      <c r="T96" s="77">
        <v>14.6</v>
      </c>
      <c r="U96" s="74" t="s">
        <v>207</v>
      </c>
      <c r="V96" s="77">
        <v>169.4</v>
      </c>
      <c r="W96" s="76">
        <v>4.33</v>
      </c>
      <c r="X96" s="77">
        <v>100</v>
      </c>
      <c r="Y96" s="74" t="s">
        <v>207</v>
      </c>
      <c r="Z96" s="76">
        <v>144.54</v>
      </c>
      <c r="AA96" s="74" t="s">
        <v>207</v>
      </c>
      <c r="AB96" s="74" t="s">
        <v>207</v>
      </c>
      <c r="AC96" s="74" t="s">
        <v>207</v>
      </c>
      <c r="AD96" s="76">
        <v>2.39</v>
      </c>
      <c r="AE96" s="74" t="s">
        <v>207</v>
      </c>
      <c r="AF96" s="76">
        <v>1.28</v>
      </c>
      <c r="AG96" s="74" t="s">
        <v>207</v>
      </c>
      <c r="AH96" s="77">
        <v>91.2</v>
      </c>
      <c r="AI96" s="74" t="s">
        <v>207</v>
      </c>
      <c r="AJ96" s="74" t="s">
        <v>207</v>
      </c>
      <c r="AK96" s="74" t="s">
        <v>207</v>
      </c>
      <c r="AL96" s="74" t="s">
        <v>207</v>
      </c>
      <c r="AM96" s="74" t="s">
        <v>207</v>
      </c>
      <c r="AN96" s="76">
        <v>0.06</v>
      </c>
      <c r="AO96" s="74" t="s">
        <v>207</v>
      </c>
      <c r="AP96" s="76">
        <v>1.55</v>
      </c>
      <c r="AQ96" s="74" t="s">
        <v>207</v>
      </c>
      <c r="AR96" s="76">
        <v>3.52</v>
      </c>
      <c r="AS96" s="74" t="s">
        <v>207</v>
      </c>
      <c r="AT96" s="77">
        <v>100.6</v>
      </c>
      <c r="AU96" s="74" t="s">
        <v>207</v>
      </c>
      <c r="AV96" s="74" t="s">
        <v>207</v>
      </c>
      <c r="AW96" s="74" t="s">
        <v>207</v>
      </c>
      <c r="AX96" s="74" t="s">
        <v>207</v>
      </c>
      <c r="AY96" s="74" t="s">
        <v>207</v>
      </c>
      <c r="AZ96" s="77">
        <v>100</v>
      </c>
      <c r="BA96" s="74" t="s">
        <v>207</v>
      </c>
      <c r="BB96" s="77">
        <v>64.8</v>
      </c>
      <c r="BC96" s="74" t="s">
        <v>207</v>
      </c>
      <c r="BD96" s="77">
        <v>99.4</v>
      </c>
      <c r="BE96" s="74" t="s">
        <v>207</v>
      </c>
      <c r="BF96" s="77">
        <v>302.39999999999998</v>
      </c>
      <c r="BG96" s="74" t="s">
        <v>207</v>
      </c>
      <c r="BH96" s="77">
        <v>1</v>
      </c>
      <c r="BI96" s="74" t="s">
        <v>207</v>
      </c>
      <c r="BJ96" s="77">
        <v>504.9</v>
      </c>
      <c r="BK96" s="74" t="s">
        <v>207</v>
      </c>
      <c r="BL96" s="74" t="s">
        <v>207</v>
      </c>
      <c r="BM96" s="74" t="s">
        <v>207</v>
      </c>
      <c r="BN96" s="77">
        <v>191.4</v>
      </c>
      <c r="BO96" s="74" t="s">
        <v>207</v>
      </c>
      <c r="BP96" s="74" t="s">
        <v>207</v>
      </c>
      <c r="BQ96" s="74" t="s">
        <v>207</v>
      </c>
      <c r="BR96" s="77">
        <v>201.6</v>
      </c>
      <c r="BS96" s="74" t="s">
        <v>207</v>
      </c>
      <c r="BT96" s="77">
        <v>89.8</v>
      </c>
      <c r="BU96" s="76">
        <v>0.12</v>
      </c>
    </row>
    <row r="97" spans="1:73">
      <c r="A97" s="72" t="s">
        <v>495</v>
      </c>
      <c r="B97" s="75">
        <v>22.18</v>
      </c>
      <c r="C97" s="78">
        <v>12.5</v>
      </c>
      <c r="D97" s="75">
        <v>242.64</v>
      </c>
      <c r="E97" s="75">
        <v>4.71</v>
      </c>
      <c r="F97" s="75">
        <v>2.64</v>
      </c>
      <c r="G97" s="75">
        <v>4.7300000000000004</v>
      </c>
      <c r="H97" s="78">
        <v>8245.9</v>
      </c>
      <c r="I97" s="75">
        <v>17.14</v>
      </c>
      <c r="J97" s="78">
        <v>507.9</v>
      </c>
      <c r="K97" s="78">
        <v>4</v>
      </c>
      <c r="L97" s="75">
        <v>3857.46</v>
      </c>
      <c r="M97" s="78">
        <v>7</v>
      </c>
      <c r="N97" s="75">
        <v>9.9499999999999993</v>
      </c>
      <c r="O97" s="75">
        <v>8.48</v>
      </c>
      <c r="P97" s="75">
        <v>14.34</v>
      </c>
      <c r="Q97" s="75">
        <v>17.760000000000002</v>
      </c>
      <c r="R97" s="75">
        <v>255.71</v>
      </c>
      <c r="S97" s="75">
        <v>1.25</v>
      </c>
      <c r="T97" s="78">
        <v>14.4</v>
      </c>
      <c r="U97" s="75">
        <v>16.850000000000001</v>
      </c>
      <c r="V97" s="75">
        <v>258.69</v>
      </c>
      <c r="W97" s="75">
        <v>27.97</v>
      </c>
      <c r="X97" s="75">
        <v>4.8899999999999997</v>
      </c>
      <c r="Y97" s="75">
        <v>30.22</v>
      </c>
      <c r="Z97" s="75">
        <v>48.45</v>
      </c>
      <c r="AA97" s="75">
        <v>28.11</v>
      </c>
      <c r="AB97" s="75">
        <v>0.53</v>
      </c>
      <c r="AC97" s="73" t="s">
        <v>207</v>
      </c>
      <c r="AD97" s="75">
        <v>214.89</v>
      </c>
      <c r="AE97" s="75">
        <v>10.25</v>
      </c>
      <c r="AF97" s="75">
        <v>53.91</v>
      </c>
      <c r="AG97" s="75">
        <v>50.85</v>
      </c>
      <c r="AH97" s="75">
        <v>24.81</v>
      </c>
      <c r="AI97" s="78">
        <v>44.8</v>
      </c>
      <c r="AJ97" s="75">
        <v>19.350000000000001</v>
      </c>
      <c r="AK97" s="78">
        <v>10.5</v>
      </c>
      <c r="AL97" s="78">
        <v>44</v>
      </c>
      <c r="AM97" s="78">
        <v>21</v>
      </c>
      <c r="AN97" s="75">
        <v>7.56</v>
      </c>
      <c r="AO97" s="75">
        <v>14.65</v>
      </c>
      <c r="AP97" s="75">
        <v>31.07</v>
      </c>
      <c r="AQ97" s="75">
        <v>11.25</v>
      </c>
      <c r="AR97" s="78">
        <v>23.1</v>
      </c>
      <c r="AS97" s="75">
        <v>0.25</v>
      </c>
      <c r="AT97" s="75">
        <v>3.98</v>
      </c>
      <c r="AU97" s="73" t="s">
        <v>207</v>
      </c>
      <c r="AV97" s="75">
        <v>10.25</v>
      </c>
      <c r="AW97" s="75">
        <v>50.21</v>
      </c>
      <c r="AX97" s="78">
        <v>61</v>
      </c>
      <c r="AY97" s="78">
        <v>60</v>
      </c>
      <c r="AZ97" s="75">
        <v>3.25</v>
      </c>
      <c r="BA97" s="75">
        <v>2.25</v>
      </c>
      <c r="BB97" s="75">
        <v>5.25</v>
      </c>
      <c r="BC97" s="75">
        <v>1.75</v>
      </c>
      <c r="BD97" s="75">
        <v>30.51</v>
      </c>
      <c r="BE97" s="78">
        <v>31</v>
      </c>
      <c r="BF97" s="78">
        <v>5.5</v>
      </c>
      <c r="BG97" s="73" t="s">
        <v>207</v>
      </c>
      <c r="BH97" s="75">
        <v>4.01</v>
      </c>
      <c r="BI97" s="78">
        <v>200.6</v>
      </c>
      <c r="BJ97" s="78">
        <v>297.10000000000002</v>
      </c>
      <c r="BK97" s="75">
        <v>30.05</v>
      </c>
      <c r="BL97" s="78">
        <v>2.2999999999999998</v>
      </c>
      <c r="BM97" s="75">
        <v>0.25</v>
      </c>
      <c r="BN97" s="75">
        <v>1.01</v>
      </c>
      <c r="BO97" s="78">
        <v>1</v>
      </c>
      <c r="BP97" s="78">
        <v>36.5</v>
      </c>
      <c r="BQ97" s="78">
        <v>33.6</v>
      </c>
      <c r="BR97" s="75">
        <v>34.06</v>
      </c>
      <c r="BS97" s="78">
        <v>30</v>
      </c>
      <c r="BT97" s="75">
        <v>27.25</v>
      </c>
      <c r="BU97" s="75">
        <v>20.55</v>
      </c>
    </row>
    <row r="98" spans="1:73">
      <c r="A98" s="72" t="s">
        <v>497</v>
      </c>
      <c r="B98" s="74" t="s">
        <v>207</v>
      </c>
      <c r="C98" s="74" t="s">
        <v>207</v>
      </c>
      <c r="D98" s="74" t="s">
        <v>207</v>
      </c>
      <c r="E98" s="74" t="s">
        <v>207</v>
      </c>
      <c r="F98" s="76">
        <v>0.24</v>
      </c>
      <c r="G98" s="74" t="s">
        <v>207</v>
      </c>
      <c r="H98" s="74" t="s">
        <v>207</v>
      </c>
      <c r="I98" s="74" t="s">
        <v>207</v>
      </c>
      <c r="J98" s="74" t="s">
        <v>207</v>
      </c>
      <c r="K98" s="74" t="s">
        <v>207</v>
      </c>
      <c r="L98" s="76">
        <v>7.68</v>
      </c>
      <c r="M98" s="74" t="s">
        <v>207</v>
      </c>
      <c r="N98" s="74" t="s">
        <v>207</v>
      </c>
      <c r="O98" s="74" t="s">
        <v>207</v>
      </c>
      <c r="P98" s="74" t="s">
        <v>207</v>
      </c>
      <c r="Q98" s="74" t="s">
        <v>207</v>
      </c>
      <c r="R98" s="74" t="s">
        <v>207</v>
      </c>
      <c r="S98" s="74" t="s">
        <v>207</v>
      </c>
      <c r="T98" s="74" t="s">
        <v>207</v>
      </c>
      <c r="U98" s="74" t="s">
        <v>207</v>
      </c>
      <c r="V98" s="74" t="s">
        <v>207</v>
      </c>
      <c r="W98" s="74" t="s">
        <v>207</v>
      </c>
      <c r="X98" s="74" t="s">
        <v>207</v>
      </c>
      <c r="Y98" s="74" t="s">
        <v>207</v>
      </c>
      <c r="Z98" s="74" t="s">
        <v>207</v>
      </c>
      <c r="AA98" s="74" t="s">
        <v>207</v>
      </c>
      <c r="AB98" s="74" t="s">
        <v>207</v>
      </c>
      <c r="AC98" s="74" t="s">
        <v>207</v>
      </c>
      <c r="AD98" s="74" t="s">
        <v>207</v>
      </c>
      <c r="AE98" s="74" t="s">
        <v>207</v>
      </c>
      <c r="AF98" s="74" t="s">
        <v>207</v>
      </c>
      <c r="AG98" s="74" t="s">
        <v>207</v>
      </c>
      <c r="AH98" s="76">
        <v>0.26</v>
      </c>
      <c r="AI98" s="74" t="s">
        <v>207</v>
      </c>
      <c r="AJ98" s="76">
        <v>0.19</v>
      </c>
      <c r="AK98" s="74" t="s">
        <v>207</v>
      </c>
      <c r="AL98" s="74" t="s">
        <v>207</v>
      </c>
      <c r="AM98" s="74" t="s">
        <v>207</v>
      </c>
      <c r="AN98" s="74" t="s">
        <v>207</v>
      </c>
      <c r="AO98" s="74" t="s">
        <v>207</v>
      </c>
      <c r="AP98" s="74" t="s">
        <v>207</v>
      </c>
      <c r="AQ98" s="74" t="s">
        <v>207</v>
      </c>
      <c r="AR98" s="74" t="s">
        <v>207</v>
      </c>
      <c r="AS98" s="74" t="s">
        <v>207</v>
      </c>
      <c r="AT98" s="74" t="s">
        <v>207</v>
      </c>
      <c r="AU98" s="74" t="s">
        <v>207</v>
      </c>
      <c r="AV98" s="76">
        <v>0.75</v>
      </c>
      <c r="AW98" s="74" t="s">
        <v>207</v>
      </c>
      <c r="AX98" s="77">
        <v>0</v>
      </c>
      <c r="AY98" s="74" t="s">
        <v>207</v>
      </c>
      <c r="AZ98" s="74" t="s">
        <v>207</v>
      </c>
      <c r="BA98" s="74" t="s">
        <v>207</v>
      </c>
      <c r="BB98" s="74" t="s">
        <v>207</v>
      </c>
      <c r="BC98" s="74" t="s">
        <v>207</v>
      </c>
      <c r="BD98" s="76">
        <v>0.01</v>
      </c>
      <c r="BE98" s="74" t="s">
        <v>207</v>
      </c>
      <c r="BF98" s="74" t="s">
        <v>207</v>
      </c>
      <c r="BG98" s="74" t="s">
        <v>207</v>
      </c>
      <c r="BH98" s="74" t="s">
        <v>207</v>
      </c>
      <c r="BI98" s="74" t="s">
        <v>207</v>
      </c>
      <c r="BJ98" s="74" t="s">
        <v>207</v>
      </c>
      <c r="BK98" s="74" t="s">
        <v>207</v>
      </c>
      <c r="BL98" s="76">
        <v>0.25</v>
      </c>
      <c r="BM98" s="74" t="s">
        <v>207</v>
      </c>
      <c r="BN98" s="74" t="s">
        <v>207</v>
      </c>
      <c r="BO98" s="76">
        <v>18.239999999999998</v>
      </c>
      <c r="BP98" s="77">
        <v>0</v>
      </c>
      <c r="BQ98" s="74" t="s">
        <v>207</v>
      </c>
      <c r="BR98" s="76">
        <v>0.02</v>
      </c>
      <c r="BS98" s="74" t="s">
        <v>207</v>
      </c>
      <c r="BT98" s="74" t="s">
        <v>207</v>
      </c>
      <c r="BU98" s="74" t="s">
        <v>207</v>
      </c>
    </row>
    <row r="99" spans="1:73">
      <c r="A99" s="72" t="s">
        <v>499</v>
      </c>
      <c r="B99" s="75">
        <v>508.84</v>
      </c>
      <c r="C99" s="75">
        <v>12.58</v>
      </c>
      <c r="D99" s="75">
        <v>1548.17</v>
      </c>
      <c r="E99" s="73" t="s">
        <v>207</v>
      </c>
      <c r="F99" s="75">
        <v>615.41999999999996</v>
      </c>
      <c r="G99" s="75">
        <v>12.58</v>
      </c>
      <c r="H99" s="75">
        <v>466.55</v>
      </c>
      <c r="I99" s="73" t="s">
        <v>207</v>
      </c>
      <c r="J99" s="75">
        <v>515.41</v>
      </c>
      <c r="K99" s="78">
        <v>2000</v>
      </c>
      <c r="L99" s="78">
        <v>499.2</v>
      </c>
      <c r="M99" s="73" t="s">
        <v>207</v>
      </c>
      <c r="N99" s="75">
        <v>720.25</v>
      </c>
      <c r="O99" s="73" t="s">
        <v>207</v>
      </c>
      <c r="P99" s="78">
        <v>627.4</v>
      </c>
      <c r="Q99" s="75">
        <v>0.25</v>
      </c>
      <c r="R99" s="75">
        <v>1023.25</v>
      </c>
      <c r="S99" s="78">
        <v>0.5</v>
      </c>
      <c r="T99" s="75">
        <v>629.29</v>
      </c>
      <c r="U99" s="75">
        <v>10.08</v>
      </c>
      <c r="V99" s="75">
        <v>465.45</v>
      </c>
      <c r="W99" s="75">
        <v>0.75</v>
      </c>
      <c r="X99" s="75">
        <v>772.36</v>
      </c>
      <c r="Y99" s="75">
        <v>0.25</v>
      </c>
      <c r="Z99" s="75">
        <v>260.37</v>
      </c>
      <c r="AA99" s="78">
        <v>1.6</v>
      </c>
      <c r="AB99" s="75">
        <v>539.25</v>
      </c>
      <c r="AC99" s="75">
        <v>0.36</v>
      </c>
      <c r="AD99" s="78">
        <v>388</v>
      </c>
      <c r="AE99" s="75">
        <v>3.37</v>
      </c>
      <c r="AF99" s="75">
        <v>520.36</v>
      </c>
      <c r="AG99" s="75">
        <v>2.1800000000000002</v>
      </c>
      <c r="AH99" s="78">
        <v>506.1</v>
      </c>
      <c r="AI99" s="75">
        <v>0.18</v>
      </c>
      <c r="AJ99" s="78">
        <v>3.6</v>
      </c>
      <c r="AK99" s="73" t="s">
        <v>207</v>
      </c>
      <c r="AL99" s="78">
        <v>502.9</v>
      </c>
      <c r="AM99" s="75">
        <v>0.18</v>
      </c>
      <c r="AN99" s="75">
        <v>560.19000000000005</v>
      </c>
      <c r="AO99" s="73" t="s">
        <v>207</v>
      </c>
      <c r="AP99" s="75">
        <v>521.49</v>
      </c>
      <c r="AQ99" s="75">
        <v>1.76</v>
      </c>
      <c r="AR99" s="78">
        <v>512</v>
      </c>
      <c r="AS99" s="78">
        <v>12</v>
      </c>
      <c r="AT99" s="75">
        <v>253.55</v>
      </c>
      <c r="AU99" s="73" t="s">
        <v>207</v>
      </c>
      <c r="AV99" s="78">
        <v>270.60000000000002</v>
      </c>
      <c r="AW99" s="78">
        <v>1</v>
      </c>
      <c r="AX99" s="75">
        <v>514.36</v>
      </c>
      <c r="AY99" s="73" t="s">
        <v>207</v>
      </c>
      <c r="AZ99" s="75">
        <v>262.72000000000003</v>
      </c>
      <c r="BA99" s="78">
        <v>18.2</v>
      </c>
      <c r="BB99" s="75">
        <v>569.53</v>
      </c>
      <c r="BC99" s="75">
        <v>0.56999999999999995</v>
      </c>
      <c r="BD99" s="75">
        <v>500.56</v>
      </c>
      <c r="BE99" s="78">
        <v>753.2</v>
      </c>
      <c r="BF99" s="75">
        <v>258.82</v>
      </c>
      <c r="BG99" s="78">
        <v>249.3</v>
      </c>
      <c r="BH99" s="75">
        <v>488.01</v>
      </c>
      <c r="BI99" s="75">
        <v>0.02</v>
      </c>
      <c r="BJ99" s="75">
        <v>323.20999999999998</v>
      </c>
      <c r="BK99" s="75">
        <v>7.49</v>
      </c>
      <c r="BL99" s="78">
        <v>348</v>
      </c>
      <c r="BM99" s="78">
        <v>4.5999999999999996</v>
      </c>
      <c r="BN99" s="75">
        <v>94.61</v>
      </c>
      <c r="BO99" s="75">
        <v>0.51</v>
      </c>
      <c r="BP99" s="75">
        <v>514.91999999999996</v>
      </c>
      <c r="BQ99" s="75">
        <v>3.55</v>
      </c>
      <c r="BR99" s="75">
        <v>50.92</v>
      </c>
      <c r="BS99" s="75">
        <v>1.75</v>
      </c>
      <c r="BT99" s="78">
        <v>499.6</v>
      </c>
      <c r="BU99" s="73" t="s">
        <v>207</v>
      </c>
    </row>
    <row r="100" spans="1:73">
      <c r="A100" s="72" t="s">
        <v>501</v>
      </c>
      <c r="B100" s="74" t="s">
        <v>207</v>
      </c>
      <c r="C100" s="74" t="s">
        <v>207</v>
      </c>
      <c r="D100" s="74" t="s">
        <v>207</v>
      </c>
      <c r="E100" s="74" t="s">
        <v>207</v>
      </c>
      <c r="F100" s="74" t="s">
        <v>207</v>
      </c>
      <c r="G100" s="74" t="s">
        <v>207</v>
      </c>
      <c r="H100" s="74" t="s">
        <v>207</v>
      </c>
      <c r="I100" s="74" t="s">
        <v>207</v>
      </c>
      <c r="J100" s="74" t="s">
        <v>207</v>
      </c>
      <c r="K100" s="74" t="s">
        <v>207</v>
      </c>
      <c r="L100" s="74" t="s">
        <v>207</v>
      </c>
      <c r="M100" s="74" t="s">
        <v>207</v>
      </c>
      <c r="N100" s="74" t="s">
        <v>207</v>
      </c>
      <c r="O100" s="74" t="s">
        <v>207</v>
      </c>
      <c r="P100" s="74" t="s">
        <v>207</v>
      </c>
      <c r="Q100" s="74" t="s">
        <v>207</v>
      </c>
      <c r="R100" s="74" t="s">
        <v>207</v>
      </c>
      <c r="S100" s="74" t="s">
        <v>207</v>
      </c>
      <c r="T100" s="74" t="s">
        <v>207</v>
      </c>
      <c r="U100" s="74" t="s">
        <v>207</v>
      </c>
      <c r="V100" s="74" t="s">
        <v>207</v>
      </c>
      <c r="W100" s="74" t="s">
        <v>207</v>
      </c>
      <c r="X100" s="74" t="s">
        <v>207</v>
      </c>
      <c r="Y100" s="74" t="s">
        <v>207</v>
      </c>
      <c r="Z100" s="74" t="s">
        <v>207</v>
      </c>
      <c r="AA100" s="74" t="s">
        <v>207</v>
      </c>
      <c r="AB100" s="74" t="s">
        <v>207</v>
      </c>
      <c r="AC100" s="74" t="s">
        <v>207</v>
      </c>
      <c r="AD100" s="74" t="s">
        <v>207</v>
      </c>
      <c r="AE100" s="74" t="s">
        <v>207</v>
      </c>
      <c r="AF100" s="74" t="s">
        <v>207</v>
      </c>
      <c r="AG100" s="74" t="s">
        <v>207</v>
      </c>
      <c r="AH100" s="74" t="s">
        <v>207</v>
      </c>
      <c r="AI100" s="74" t="s">
        <v>207</v>
      </c>
      <c r="AJ100" s="74" t="s">
        <v>207</v>
      </c>
      <c r="AK100" s="74" t="s">
        <v>207</v>
      </c>
      <c r="AL100" s="74" t="s">
        <v>207</v>
      </c>
      <c r="AM100" s="74" t="s">
        <v>207</v>
      </c>
      <c r="AN100" s="74" t="s">
        <v>207</v>
      </c>
      <c r="AO100" s="74" t="s">
        <v>207</v>
      </c>
      <c r="AP100" s="74" t="s">
        <v>207</v>
      </c>
      <c r="AQ100" s="74" t="s">
        <v>207</v>
      </c>
      <c r="AR100" s="74" t="s">
        <v>207</v>
      </c>
      <c r="AS100" s="74" t="s">
        <v>207</v>
      </c>
      <c r="AT100" s="74" t="s">
        <v>207</v>
      </c>
      <c r="AU100" s="74" t="s">
        <v>207</v>
      </c>
      <c r="AV100" s="74" t="s">
        <v>207</v>
      </c>
      <c r="AW100" s="74" t="s">
        <v>207</v>
      </c>
      <c r="AX100" s="74" t="s">
        <v>207</v>
      </c>
      <c r="AY100" s="74" t="s">
        <v>207</v>
      </c>
      <c r="AZ100" s="74" t="s">
        <v>207</v>
      </c>
      <c r="BA100" s="74" t="s">
        <v>207</v>
      </c>
      <c r="BB100" s="74" t="s">
        <v>207</v>
      </c>
      <c r="BC100" s="74" t="s">
        <v>207</v>
      </c>
      <c r="BD100" s="74" t="s">
        <v>207</v>
      </c>
      <c r="BE100" s="74" t="s">
        <v>207</v>
      </c>
      <c r="BF100" s="74" t="s">
        <v>207</v>
      </c>
      <c r="BG100" s="74" t="s">
        <v>207</v>
      </c>
      <c r="BH100" s="74" t="s">
        <v>207</v>
      </c>
      <c r="BI100" s="74" t="s">
        <v>207</v>
      </c>
      <c r="BJ100" s="74" t="s">
        <v>207</v>
      </c>
      <c r="BK100" s="74" t="s">
        <v>207</v>
      </c>
      <c r="BL100" s="74" t="s">
        <v>207</v>
      </c>
      <c r="BM100" s="74" t="s">
        <v>207</v>
      </c>
      <c r="BN100" s="74" t="s">
        <v>207</v>
      </c>
      <c r="BO100" s="74" t="s">
        <v>207</v>
      </c>
      <c r="BP100" s="74" t="s">
        <v>207</v>
      </c>
      <c r="BQ100" s="74" t="s">
        <v>207</v>
      </c>
      <c r="BR100" s="74" t="s">
        <v>207</v>
      </c>
      <c r="BS100" s="74" t="s">
        <v>207</v>
      </c>
      <c r="BT100" s="74" t="s">
        <v>207</v>
      </c>
      <c r="BU100" s="74" t="s">
        <v>207</v>
      </c>
    </row>
    <row r="101" spans="1:73">
      <c r="A101" s="72" t="s">
        <v>503</v>
      </c>
      <c r="B101" s="73" t="s">
        <v>207</v>
      </c>
      <c r="C101" s="73" t="s">
        <v>207</v>
      </c>
      <c r="D101" s="73" t="s">
        <v>207</v>
      </c>
      <c r="E101" s="73" t="s">
        <v>207</v>
      </c>
      <c r="F101" s="73" t="s">
        <v>207</v>
      </c>
      <c r="G101" s="73" t="s">
        <v>207</v>
      </c>
      <c r="H101" s="73" t="s">
        <v>207</v>
      </c>
      <c r="I101" s="73" t="s">
        <v>207</v>
      </c>
      <c r="J101" s="73" t="s">
        <v>207</v>
      </c>
      <c r="K101" s="73" t="s">
        <v>207</v>
      </c>
      <c r="L101" s="73" t="s">
        <v>207</v>
      </c>
      <c r="M101" s="73" t="s">
        <v>207</v>
      </c>
      <c r="N101" s="73" t="s">
        <v>207</v>
      </c>
      <c r="O101" s="73" t="s">
        <v>207</v>
      </c>
      <c r="P101" s="73" t="s">
        <v>207</v>
      </c>
      <c r="Q101" s="73" t="s">
        <v>207</v>
      </c>
      <c r="R101" s="73" t="s">
        <v>207</v>
      </c>
      <c r="S101" s="73" t="s">
        <v>207</v>
      </c>
      <c r="T101" s="73" t="s">
        <v>207</v>
      </c>
      <c r="U101" s="73" t="s">
        <v>207</v>
      </c>
      <c r="V101" s="73" t="s">
        <v>207</v>
      </c>
      <c r="W101" s="73" t="s">
        <v>207</v>
      </c>
      <c r="X101" s="73" t="s">
        <v>207</v>
      </c>
      <c r="Y101" s="73" t="s">
        <v>207</v>
      </c>
      <c r="Z101" s="73" t="s">
        <v>207</v>
      </c>
      <c r="AA101" s="73" t="s">
        <v>207</v>
      </c>
      <c r="AB101" s="73" t="s">
        <v>207</v>
      </c>
      <c r="AC101" s="73" t="s">
        <v>207</v>
      </c>
      <c r="AD101" s="73" t="s">
        <v>207</v>
      </c>
      <c r="AE101" s="73" t="s">
        <v>207</v>
      </c>
      <c r="AF101" s="73" t="s">
        <v>207</v>
      </c>
      <c r="AG101" s="73" t="s">
        <v>207</v>
      </c>
      <c r="AH101" s="73" t="s">
        <v>207</v>
      </c>
      <c r="AI101" s="73" t="s">
        <v>207</v>
      </c>
      <c r="AJ101" s="73" t="s">
        <v>207</v>
      </c>
      <c r="AK101" s="73" t="s">
        <v>207</v>
      </c>
      <c r="AL101" s="73" t="s">
        <v>207</v>
      </c>
      <c r="AM101" s="73" t="s">
        <v>207</v>
      </c>
      <c r="AN101" s="73" t="s">
        <v>207</v>
      </c>
      <c r="AO101" s="73" t="s">
        <v>207</v>
      </c>
      <c r="AP101" s="73" t="s">
        <v>207</v>
      </c>
      <c r="AQ101" s="73" t="s">
        <v>207</v>
      </c>
      <c r="AR101" s="73" t="s">
        <v>207</v>
      </c>
      <c r="AS101" s="73" t="s">
        <v>207</v>
      </c>
      <c r="AT101" s="73" t="s">
        <v>207</v>
      </c>
      <c r="AU101" s="73" t="s">
        <v>207</v>
      </c>
      <c r="AV101" s="73" t="s">
        <v>207</v>
      </c>
      <c r="AW101" s="73" t="s">
        <v>207</v>
      </c>
      <c r="AX101" s="73" t="s">
        <v>207</v>
      </c>
      <c r="AY101" s="73" t="s">
        <v>207</v>
      </c>
      <c r="AZ101" s="73" t="s">
        <v>207</v>
      </c>
      <c r="BA101" s="73" t="s">
        <v>207</v>
      </c>
      <c r="BB101" s="73" t="s">
        <v>207</v>
      </c>
      <c r="BC101" s="73" t="s">
        <v>207</v>
      </c>
      <c r="BD101" s="73" t="s">
        <v>207</v>
      </c>
      <c r="BE101" s="73" t="s">
        <v>207</v>
      </c>
      <c r="BF101" s="73" t="s">
        <v>207</v>
      </c>
      <c r="BG101" s="73" t="s">
        <v>207</v>
      </c>
      <c r="BH101" s="73" t="s">
        <v>207</v>
      </c>
      <c r="BI101" s="73" t="s">
        <v>207</v>
      </c>
      <c r="BJ101" s="73" t="s">
        <v>207</v>
      </c>
      <c r="BK101" s="73" t="s">
        <v>207</v>
      </c>
      <c r="BL101" s="73" t="s">
        <v>207</v>
      </c>
      <c r="BM101" s="73" t="s">
        <v>207</v>
      </c>
      <c r="BN101" s="73" t="s">
        <v>207</v>
      </c>
      <c r="BO101" s="73" t="s">
        <v>207</v>
      </c>
      <c r="BP101" s="73" t="s">
        <v>207</v>
      </c>
      <c r="BQ101" s="73" t="s">
        <v>207</v>
      </c>
      <c r="BR101" s="73" t="s">
        <v>207</v>
      </c>
      <c r="BS101" s="73" t="s">
        <v>207</v>
      </c>
      <c r="BT101" s="73" t="s">
        <v>207</v>
      </c>
      <c r="BU101" s="73" t="s">
        <v>207</v>
      </c>
    </row>
    <row r="102" spans="1:73">
      <c r="A102" s="72" t="s">
        <v>509</v>
      </c>
      <c r="B102" s="76">
        <v>31726.68</v>
      </c>
      <c r="C102" s="76">
        <v>461.25</v>
      </c>
      <c r="D102" s="76">
        <v>41171.35</v>
      </c>
      <c r="E102" s="77">
        <v>31578.9</v>
      </c>
      <c r="F102" s="76">
        <v>30961.58</v>
      </c>
      <c r="G102" s="76">
        <v>1379.16</v>
      </c>
      <c r="H102" s="76">
        <v>16696.27</v>
      </c>
      <c r="I102" s="76">
        <v>303.88</v>
      </c>
      <c r="J102" s="76">
        <v>21719.05</v>
      </c>
      <c r="K102" s="76">
        <v>9844.07</v>
      </c>
      <c r="L102" s="77">
        <v>733.2</v>
      </c>
      <c r="M102" s="76">
        <v>68013.89</v>
      </c>
      <c r="N102" s="76">
        <v>21604.240000000002</v>
      </c>
      <c r="O102" s="76">
        <v>30279.22</v>
      </c>
      <c r="P102" s="76">
        <v>10955.05</v>
      </c>
      <c r="Q102" s="77">
        <v>382.9</v>
      </c>
      <c r="R102" s="76">
        <v>1715.03</v>
      </c>
      <c r="S102" s="76">
        <v>156808.38</v>
      </c>
      <c r="T102" s="77">
        <v>11325.4</v>
      </c>
      <c r="U102" s="76">
        <v>79763.929999999993</v>
      </c>
      <c r="V102" s="77">
        <v>1014.1</v>
      </c>
      <c r="W102" s="76">
        <v>71718.36</v>
      </c>
      <c r="X102" s="77">
        <v>51551</v>
      </c>
      <c r="Y102" s="76">
        <v>5848.96</v>
      </c>
      <c r="Z102" s="76">
        <v>1305.8800000000001</v>
      </c>
      <c r="AA102" s="76">
        <v>12493.62</v>
      </c>
      <c r="AB102" s="76">
        <v>749.46</v>
      </c>
      <c r="AC102" s="76">
        <v>42974.080000000002</v>
      </c>
      <c r="AD102" s="76">
        <v>30459.01</v>
      </c>
      <c r="AE102" s="76">
        <v>66071.39</v>
      </c>
      <c r="AF102" s="76">
        <v>2204.84</v>
      </c>
      <c r="AG102" s="76">
        <v>75437.81</v>
      </c>
      <c r="AH102" s="76">
        <v>1188.02</v>
      </c>
      <c r="AI102" s="76">
        <v>55087.040000000001</v>
      </c>
      <c r="AJ102" s="77">
        <v>1220.7</v>
      </c>
      <c r="AK102" s="77">
        <v>11732.8</v>
      </c>
      <c r="AL102" s="76">
        <v>972.47</v>
      </c>
      <c r="AM102" s="76">
        <v>5588.72</v>
      </c>
      <c r="AN102" s="76">
        <v>964.55</v>
      </c>
      <c r="AO102" s="76">
        <v>42093.58</v>
      </c>
      <c r="AP102" s="76">
        <v>1931.47</v>
      </c>
      <c r="AQ102" s="76">
        <v>139420.64000000001</v>
      </c>
      <c r="AR102" s="76">
        <v>957.69</v>
      </c>
      <c r="AS102" s="76">
        <v>4888.9399999999996</v>
      </c>
      <c r="AT102" s="76">
        <v>356.79</v>
      </c>
      <c r="AU102" s="76">
        <v>40631.050000000003</v>
      </c>
      <c r="AV102" s="76">
        <v>516.28</v>
      </c>
      <c r="AW102" s="76">
        <v>3710.44</v>
      </c>
      <c r="AX102" s="76">
        <v>74464.759999999995</v>
      </c>
      <c r="AY102" s="76">
        <v>156131.19</v>
      </c>
      <c r="AZ102" s="76">
        <v>7368.22</v>
      </c>
      <c r="BA102" s="76">
        <v>281865.68</v>
      </c>
      <c r="BB102" s="76">
        <v>2442.4499999999998</v>
      </c>
      <c r="BC102" s="76">
        <v>103120.92</v>
      </c>
      <c r="BD102" s="76">
        <v>1669.05</v>
      </c>
      <c r="BE102" s="76">
        <v>263277.53000000003</v>
      </c>
      <c r="BF102" s="77">
        <v>11.7</v>
      </c>
      <c r="BG102" s="76">
        <v>171362.99</v>
      </c>
      <c r="BH102" s="77">
        <v>1702.7</v>
      </c>
      <c r="BI102" s="76">
        <v>226746.34</v>
      </c>
      <c r="BJ102" s="76">
        <v>40229.64</v>
      </c>
      <c r="BK102" s="76">
        <v>161743.44</v>
      </c>
      <c r="BL102" s="76">
        <v>2039.66</v>
      </c>
      <c r="BM102" s="76">
        <v>109380.43</v>
      </c>
      <c r="BN102" s="76">
        <v>2442.38</v>
      </c>
      <c r="BO102" s="76">
        <v>212685.85</v>
      </c>
      <c r="BP102" s="76">
        <v>1817.68</v>
      </c>
      <c r="BQ102" s="76">
        <v>122102.12</v>
      </c>
      <c r="BR102" s="76">
        <v>469.04</v>
      </c>
      <c r="BS102" s="76">
        <v>145979.44</v>
      </c>
      <c r="BT102" s="76">
        <v>9.6300000000000008</v>
      </c>
      <c r="BU102" s="76">
        <v>122082.16</v>
      </c>
    </row>
    <row r="103" spans="1:73">
      <c r="A103" s="72" t="s">
        <v>511</v>
      </c>
      <c r="B103" s="75">
        <v>3775.93</v>
      </c>
      <c r="C103" s="75">
        <v>50412.12</v>
      </c>
      <c r="D103" s="75">
        <v>3026.78</v>
      </c>
      <c r="E103" s="75">
        <v>125201.77</v>
      </c>
      <c r="F103" s="75">
        <v>4017.95</v>
      </c>
      <c r="G103" s="75">
        <v>47059.86</v>
      </c>
      <c r="H103" s="75">
        <v>3356.08</v>
      </c>
      <c r="I103" s="75">
        <v>141764.09</v>
      </c>
      <c r="J103" s="75">
        <v>2352.71</v>
      </c>
      <c r="K103" s="75">
        <v>140246.87</v>
      </c>
      <c r="L103" s="75">
        <v>1938.92</v>
      </c>
      <c r="M103" s="75">
        <v>35852.019999999997</v>
      </c>
      <c r="N103" s="75">
        <v>2240.87</v>
      </c>
      <c r="O103" s="75">
        <v>145537.82999999999</v>
      </c>
      <c r="P103" s="75">
        <v>3226.12</v>
      </c>
      <c r="Q103" s="75">
        <v>143379.04</v>
      </c>
      <c r="R103" s="75">
        <v>2186.36</v>
      </c>
      <c r="S103" s="75">
        <v>92620.36</v>
      </c>
      <c r="T103" s="75">
        <v>1216.49</v>
      </c>
      <c r="U103" s="75">
        <v>84696.31</v>
      </c>
      <c r="V103" s="78">
        <v>1955</v>
      </c>
      <c r="W103" s="75">
        <v>59092.74</v>
      </c>
      <c r="X103" s="75">
        <v>2574.2800000000002</v>
      </c>
      <c r="Y103" s="75">
        <v>75564.009999999995</v>
      </c>
      <c r="Z103" s="75">
        <v>4338.8100000000004</v>
      </c>
      <c r="AA103" s="75">
        <v>46665.26</v>
      </c>
      <c r="AB103" s="75">
        <v>3040.64</v>
      </c>
      <c r="AC103" s="75">
        <v>44620.72</v>
      </c>
      <c r="AD103" s="75">
        <v>5019.24</v>
      </c>
      <c r="AE103" s="75">
        <v>42827.22</v>
      </c>
      <c r="AF103" s="78">
        <v>3585</v>
      </c>
      <c r="AG103" s="75">
        <v>95889.63</v>
      </c>
      <c r="AH103" s="75">
        <v>2684.75</v>
      </c>
      <c r="AI103" s="75">
        <v>80737.34</v>
      </c>
      <c r="AJ103" s="75">
        <v>2116.9699999999998</v>
      </c>
      <c r="AK103" s="75">
        <v>48189.17</v>
      </c>
      <c r="AL103" s="75">
        <v>4998.38</v>
      </c>
      <c r="AM103" s="78">
        <v>61869.9</v>
      </c>
      <c r="AN103" s="75">
        <v>1762.53</v>
      </c>
      <c r="AO103" s="75">
        <v>22835.34</v>
      </c>
      <c r="AP103" s="75">
        <v>4313.53</v>
      </c>
      <c r="AQ103" s="75">
        <v>92460.99</v>
      </c>
      <c r="AR103" s="75">
        <v>7605.27</v>
      </c>
      <c r="AS103" s="75">
        <v>100381.36</v>
      </c>
      <c r="AT103" s="75">
        <v>4334.82</v>
      </c>
      <c r="AU103" s="75">
        <v>435372.09</v>
      </c>
      <c r="AV103" s="75">
        <v>4342.66</v>
      </c>
      <c r="AW103" s="75">
        <v>417832.63</v>
      </c>
      <c r="AX103" s="75">
        <v>2707.51</v>
      </c>
      <c r="AY103" s="75">
        <v>283124.59000000003</v>
      </c>
      <c r="AZ103" s="75">
        <v>3806.09</v>
      </c>
      <c r="BA103" s="75">
        <v>429808.96</v>
      </c>
      <c r="BB103" s="75">
        <v>3352.75</v>
      </c>
      <c r="BC103" s="75">
        <v>217980.12</v>
      </c>
      <c r="BD103" s="75">
        <v>6126.42</v>
      </c>
      <c r="BE103" s="78">
        <v>95689.2</v>
      </c>
      <c r="BF103" s="75">
        <v>2961.22</v>
      </c>
      <c r="BG103" s="75">
        <v>203437.59</v>
      </c>
      <c r="BH103" s="75">
        <v>4086.77</v>
      </c>
      <c r="BI103" s="75">
        <v>278696.71999999997</v>
      </c>
      <c r="BJ103" s="75">
        <v>2039.71</v>
      </c>
      <c r="BK103" s="75">
        <v>244671.59</v>
      </c>
      <c r="BL103" s="75">
        <v>2527.02</v>
      </c>
      <c r="BM103" s="75">
        <v>215489.88</v>
      </c>
      <c r="BN103" s="75">
        <v>1715.13</v>
      </c>
      <c r="BO103" s="75">
        <v>363602.97</v>
      </c>
      <c r="BP103" s="75">
        <v>1815.11</v>
      </c>
      <c r="BQ103" s="75">
        <v>193670.33</v>
      </c>
      <c r="BR103" s="75">
        <v>2256.2600000000002</v>
      </c>
      <c r="BS103" s="75">
        <v>335249.84000000003</v>
      </c>
      <c r="BT103" s="75">
        <v>1543.53</v>
      </c>
      <c r="BU103" s="75">
        <v>239724.86</v>
      </c>
    </row>
    <row r="104" spans="1:73">
      <c r="A104" s="72" t="s">
        <v>513</v>
      </c>
      <c r="B104" s="76">
        <v>2124.89</v>
      </c>
      <c r="C104" s="76">
        <v>20.89</v>
      </c>
      <c r="D104" s="76">
        <v>2058.5700000000002</v>
      </c>
      <c r="E104" s="76">
        <v>85568.73</v>
      </c>
      <c r="F104" s="76">
        <v>308.47000000000003</v>
      </c>
      <c r="G104" s="77">
        <v>88.5</v>
      </c>
      <c r="H104" s="76">
        <v>328.36</v>
      </c>
      <c r="I104" s="77">
        <v>359.3</v>
      </c>
      <c r="J104" s="77">
        <v>1302.9000000000001</v>
      </c>
      <c r="K104" s="76">
        <v>608.39</v>
      </c>
      <c r="L104" s="76">
        <v>1023.72</v>
      </c>
      <c r="M104" s="77">
        <v>63</v>
      </c>
      <c r="N104" s="76">
        <v>2908.58</v>
      </c>
      <c r="O104" s="77">
        <v>45</v>
      </c>
      <c r="P104" s="76">
        <v>1696.25</v>
      </c>
      <c r="Q104" s="77">
        <v>542.29999999999995</v>
      </c>
      <c r="R104" s="76">
        <v>720.55</v>
      </c>
      <c r="S104" s="77">
        <v>528.79999999999995</v>
      </c>
      <c r="T104" s="76">
        <v>1239.54</v>
      </c>
      <c r="U104" s="77">
        <v>240</v>
      </c>
      <c r="V104" s="76">
        <v>1291.3399999999999</v>
      </c>
      <c r="W104" s="76">
        <v>233.04</v>
      </c>
      <c r="X104" s="77">
        <v>1562.2</v>
      </c>
      <c r="Y104" s="76">
        <v>9.23</v>
      </c>
      <c r="Z104" s="76">
        <v>544.03</v>
      </c>
      <c r="AA104" s="76">
        <v>2483.65</v>
      </c>
      <c r="AB104" s="76">
        <v>794.81</v>
      </c>
      <c r="AC104" s="76">
        <v>3546.09</v>
      </c>
      <c r="AD104" s="76">
        <v>303.58</v>
      </c>
      <c r="AE104" s="76">
        <v>5475.41</v>
      </c>
      <c r="AF104" s="76">
        <v>1296.56</v>
      </c>
      <c r="AG104" s="76">
        <v>8079.25</v>
      </c>
      <c r="AH104" s="76">
        <v>844.71</v>
      </c>
      <c r="AI104" s="76">
        <v>6326.13</v>
      </c>
      <c r="AJ104" s="76">
        <v>855.98</v>
      </c>
      <c r="AK104" s="76">
        <v>3140.62</v>
      </c>
      <c r="AL104" s="76">
        <v>371.81</v>
      </c>
      <c r="AM104" s="76">
        <v>4131.58</v>
      </c>
      <c r="AN104" s="76">
        <v>449.93</v>
      </c>
      <c r="AO104" s="76">
        <v>23513.94</v>
      </c>
      <c r="AP104" s="76">
        <v>620.51</v>
      </c>
      <c r="AQ104" s="76">
        <v>46374.879999999997</v>
      </c>
      <c r="AR104" s="76">
        <v>499.35</v>
      </c>
      <c r="AS104" s="76">
        <v>55213.69</v>
      </c>
      <c r="AT104" s="76">
        <v>387.23</v>
      </c>
      <c r="AU104" s="76">
        <v>62479.72</v>
      </c>
      <c r="AV104" s="76">
        <v>887.28</v>
      </c>
      <c r="AW104" s="76">
        <v>61525.04</v>
      </c>
      <c r="AX104" s="77">
        <v>2378.6999999999998</v>
      </c>
      <c r="AY104" s="76">
        <v>105738.33</v>
      </c>
      <c r="AZ104" s="76">
        <v>52245.11</v>
      </c>
      <c r="BA104" s="76">
        <v>101263.24</v>
      </c>
      <c r="BB104" s="76">
        <v>685.98</v>
      </c>
      <c r="BC104" s="77">
        <v>5744</v>
      </c>
      <c r="BD104" s="76">
        <v>541.57000000000005</v>
      </c>
      <c r="BE104" s="76">
        <v>54062.42</v>
      </c>
      <c r="BF104" s="76">
        <v>1444.34</v>
      </c>
      <c r="BG104" s="76">
        <v>56246.82</v>
      </c>
      <c r="BH104" s="76">
        <v>593.83000000000004</v>
      </c>
      <c r="BI104" s="76">
        <v>33757.839999999997</v>
      </c>
      <c r="BJ104" s="76">
        <v>3204.67</v>
      </c>
      <c r="BK104" s="76">
        <v>3674.53</v>
      </c>
      <c r="BL104" s="76">
        <v>1708.73</v>
      </c>
      <c r="BM104" s="76">
        <v>56031.82</v>
      </c>
      <c r="BN104" s="76">
        <v>1346.15</v>
      </c>
      <c r="BO104" s="77">
        <v>4772.1000000000004</v>
      </c>
      <c r="BP104" s="76">
        <v>1336.58</v>
      </c>
      <c r="BQ104" s="76">
        <v>56500.28</v>
      </c>
      <c r="BR104" s="76">
        <v>155181.17000000001</v>
      </c>
      <c r="BS104" s="77">
        <v>2466.3000000000002</v>
      </c>
      <c r="BT104" s="76">
        <v>2076.34</v>
      </c>
      <c r="BU104" s="76">
        <v>1323.79</v>
      </c>
    </row>
    <row r="105" spans="1:73">
      <c r="A105" s="72" t="s">
        <v>515</v>
      </c>
      <c r="B105" s="78">
        <v>67424.7</v>
      </c>
      <c r="C105" s="75">
        <v>77057.679999999993</v>
      </c>
      <c r="D105" s="75">
        <v>75496.37</v>
      </c>
      <c r="E105" s="75">
        <v>38707.54</v>
      </c>
      <c r="F105" s="75">
        <v>69754.95</v>
      </c>
      <c r="G105" s="75">
        <v>32594.63</v>
      </c>
      <c r="H105" s="75">
        <v>72135.06</v>
      </c>
      <c r="I105" s="75">
        <v>32710.83</v>
      </c>
      <c r="J105" s="75">
        <v>57392.28</v>
      </c>
      <c r="K105" s="75">
        <v>129790.69</v>
      </c>
      <c r="L105" s="78">
        <v>67194.100000000006</v>
      </c>
      <c r="M105" s="75">
        <v>79040.38</v>
      </c>
      <c r="N105" s="75">
        <v>61021.35</v>
      </c>
      <c r="O105" s="75">
        <v>235716.42</v>
      </c>
      <c r="P105" s="75">
        <v>75044.84</v>
      </c>
      <c r="Q105" s="75">
        <v>90426.46</v>
      </c>
      <c r="R105" s="75">
        <v>81176.92</v>
      </c>
      <c r="S105" s="78">
        <v>30768.7</v>
      </c>
      <c r="T105" s="75">
        <v>76202.710000000006</v>
      </c>
      <c r="U105" s="75">
        <v>136949.74</v>
      </c>
      <c r="V105" s="75">
        <v>77673.460000000006</v>
      </c>
      <c r="W105" s="75">
        <v>40698.97</v>
      </c>
      <c r="X105" s="78">
        <v>84861.9</v>
      </c>
      <c r="Y105" s="75">
        <v>24915.22</v>
      </c>
      <c r="Z105" s="75">
        <v>69376.039999999994</v>
      </c>
      <c r="AA105" s="75">
        <v>9795.24</v>
      </c>
      <c r="AB105" s="75">
        <v>60194.99</v>
      </c>
      <c r="AC105" s="75">
        <v>5131.1499999999996</v>
      </c>
      <c r="AD105" s="75">
        <v>52374.66</v>
      </c>
      <c r="AE105" s="75">
        <v>5910.97</v>
      </c>
      <c r="AF105" s="75">
        <v>60008.36</v>
      </c>
      <c r="AG105" s="78">
        <v>6216.9</v>
      </c>
      <c r="AH105" s="75">
        <v>51262.97</v>
      </c>
      <c r="AI105" s="75">
        <v>5731.05</v>
      </c>
      <c r="AJ105" s="75">
        <v>56900.04</v>
      </c>
      <c r="AK105" s="75">
        <v>7307.59</v>
      </c>
      <c r="AL105" s="75">
        <v>50230.41</v>
      </c>
      <c r="AM105" s="75">
        <v>5364.46</v>
      </c>
      <c r="AN105" s="75">
        <v>49035.83</v>
      </c>
      <c r="AO105" s="75">
        <v>7503.52</v>
      </c>
      <c r="AP105" s="78">
        <v>48493.8</v>
      </c>
      <c r="AQ105" s="75">
        <v>8472.2199999999993</v>
      </c>
      <c r="AR105" s="75">
        <v>46669.43</v>
      </c>
      <c r="AS105" s="75">
        <v>97331.03</v>
      </c>
      <c r="AT105" s="75">
        <v>52547.62</v>
      </c>
      <c r="AU105" s="75">
        <v>136767.62</v>
      </c>
      <c r="AV105" s="78">
        <v>77564.600000000006</v>
      </c>
      <c r="AW105" s="75">
        <v>86921.51</v>
      </c>
      <c r="AX105" s="75">
        <v>63563.67</v>
      </c>
      <c r="AY105" s="75">
        <v>16628.22</v>
      </c>
      <c r="AZ105" s="75">
        <v>57844.06</v>
      </c>
      <c r="BA105" s="75">
        <v>11808.14</v>
      </c>
      <c r="BB105" s="75">
        <v>52548.66</v>
      </c>
      <c r="BC105" s="75">
        <v>35350.269999999997</v>
      </c>
      <c r="BD105" s="75">
        <v>117271.26</v>
      </c>
      <c r="BE105" s="75">
        <v>9261.4599999999991</v>
      </c>
      <c r="BF105" s="75">
        <v>118288.05</v>
      </c>
      <c r="BG105" s="75">
        <v>8969.9599999999991</v>
      </c>
      <c r="BH105" s="75">
        <v>49628.63</v>
      </c>
      <c r="BI105" s="75">
        <v>29369.29</v>
      </c>
      <c r="BJ105" s="75">
        <v>59404.639999999999</v>
      </c>
      <c r="BK105" s="75">
        <v>6056.04</v>
      </c>
      <c r="BL105" s="75">
        <v>57592.78</v>
      </c>
      <c r="BM105" s="78">
        <v>5451.3</v>
      </c>
      <c r="BN105" s="78">
        <v>66627.199999999997</v>
      </c>
      <c r="BO105" s="75">
        <v>9246.76</v>
      </c>
      <c r="BP105" s="75">
        <v>65328.22</v>
      </c>
      <c r="BQ105" s="75">
        <v>14218.41</v>
      </c>
      <c r="BR105" s="75">
        <v>63662.73</v>
      </c>
      <c r="BS105" s="75">
        <v>33901.11</v>
      </c>
      <c r="BT105" s="75">
        <v>71376.22</v>
      </c>
      <c r="BU105" s="78">
        <v>7830.9</v>
      </c>
    </row>
    <row r="106" spans="1:73">
      <c r="A106" s="72" t="s">
        <v>517</v>
      </c>
      <c r="B106" s="74" t="s">
        <v>207</v>
      </c>
      <c r="C106" s="74" t="s">
        <v>207</v>
      </c>
      <c r="D106" s="74" t="s">
        <v>207</v>
      </c>
      <c r="E106" s="74" t="s">
        <v>207</v>
      </c>
      <c r="F106" s="74" t="s">
        <v>207</v>
      </c>
      <c r="G106" s="74" t="s">
        <v>207</v>
      </c>
      <c r="H106" s="74" t="s">
        <v>207</v>
      </c>
      <c r="I106" s="74" t="s">
        <v>207</v>
      </c>
      <c r="J106" s="74" t="s">
        <v>207</v>
      </c>
      <c r="K106" s="74" t="s">
        <v>207</v>
      </c>
      <c r="L106" s="74" t="s">
        <v>207</v>
      </c>
      <c r="M106" s="74" t="s">
        <v>207</v>
      </c>
      <c r="N106" s="74" t="s">
        <v>207</v>
      </c>
      <c r="O106" s="74" t="s">
        <v>207</v>
      </c>
      <c r="P106" s="74" t="s">
        <v>207</v>
      </c>
      <c r="Q106" s="74" t="s">
        <v>207</v>
      </c>
      <c r="R106" s="74" t="s">
        <v>207</v>
      </c>
      <c r="S106" s="74" t="s">
        <v>207</v>
      </c>
      <c r="T106" s="74" t="s">
        <v>207</v>
      </c>
      <c r="U106" s="74" t="s">
        <v>207</v>
      </c>
      <c r="V106" s="74" t="s">
        <v>207</v>
      </c>
      <c r="W106" s="74" t="s">
        <v>207</v>
      </c>
      <c r="X106" s="74" t="s">
        <v>207</v>
      </c>
      <c r="Y106" s="74" t="s">
        <v>207</v>
      </c>
      <c r="Z106" s="74" t="s">
        <v>207</v>
      </c>
      <c r="AA106" s="74" t="s">
        <v>207</v>
      </c>
      <c r="AB106" s="74" t="s">
        <v>207</v>
      </c>
      <c r="AC106" s="74" t="s">
        <v>207</v>
      </c>
      <c r="AD106" s="74" t="s">
        <v>207</v>
      </c>
      <c r="AE106" s="74" t="s">
        <v>207</v>
      </c>
      <c r="AF106" s="74" t="s">
        <v>207</v>
      </c>
      <c r="AG106" s="74" t="s">
        <v>207</v>
      </c>
      <c r="AH106" s="74" t="s">
        <v>207</v>
      </c>
      <c r="AI106" s="74" t="s">
        <v>207</v>
      </c>
      <c r="AJ106" s="74" t="s">
        <v>207</v>
      </c>
      <c r="AK106" s="74" t="s">
        <v>207</v>
      </c>
      <c r="AL106" s="74" t="s">
        <v>207</v>
      </c>
      <c r="AM106" s="74" t="s">
        <v>207</v>
      </c>
      <c r="AN106" s="74" t="s">
        <v>207</v>
      </c>
      <c r="AO106" s="74" t="s">
        <v>207</v>
      </c>
      <c r="AP106" s="74" t="s">
        <v>207</v>
      </c>
      <c r="AQ106" s="74" t="s">
        <v>207</v>
      </c>
      <c r="AR106" s="74" t="s">
        <v>207</v>
      </c>
      <c r="AS106" s="74" t="s">
        <v>207</v>
      </c>
      <c r="AT106" s="74" t="s">
        <v>207</v>
      </c>
      <c r="AU106" s="74" t="s">
        <v>207</v>
      </c>
      <c r="AV106" s="74" t="s">
        <v>207</v>
      </c>
      <c r="AW106" s="74" t="s">
        <v>207</v>
      </c>
      <c r="AX106" s="74" t="s">
        <v>207</v>
      </c>
      <c r="AY106" s="74" t="s">
        <v>207</v>
      </c>
      <c r="AZ106" s="74" t="s">
        <v>207</v>
      </c>
      <c r="BA106" s="74" t="s">
        <v>207</v>
      </c>
      <c r="BB106" s="74" t="s">
        <v>207</v>
      </c>
      <c r="BC106" s="74" t="s">
        <v>207</v>
      </c>
      <c r="BD106" s="74" t="s">
        <v>207</v>
      </c>
      <c r="BE106" s="74" t="s">
        <v>207</v>
      </c>
      <c r="BF106" s="74" t="s">
        <v>207</v>
      </c>
      <c r="BG106" s="74" t="s">
        <v>207</v>
      </c>
      <c r="BH106" s="74" t="s">
        <v>207</v>
      </c>
      <c r="BI106" s="74" t="s">
        <v>207</v>
      </c>
      <c r="BJ106" s="74" t="s">
        <v>207</v>
      </c>
      <c r="BK106" s="74" t="s">
        <v>207</v>
      </c>
      <c r="BL106" s="74" t="s">
        <v>207</v>
      </c>
      <c r="BM106" s="74" t="s">
        <v>207</v>
      </c>
      <c r="BN106" s="74" t="s">
        <v>207</v>
      </c>
      <c r="BO106" s="74" t="s">
        <v>207</v>
      </c>
      <c r="BP106" s="74" t="s">
        <v>207</v>
      </c>
      <c r="BQ106" s="74" t="s">
        <v>207</v>
      </c>
      <c r="BR106" s="74" t="s">
        <v>207</v>
      </c>
      <c r="BS106" s="74" t="s">
        <v>207</v>
      </c>
      <c r="BT106" s="74" t="s">
        <v>207</v>
      </c>
      <c r="BU106" s="74" t="s">
        <v>207</v>
      </c>
    </row>
    <row r="107" spans="1:73">
      <c r="A107" s="72" t="s">
        <v>519</v>
      </c>
      <c r="B107" s="73" t="s">
        <v>207</v>
      </c>
      <c r="C107" s="73" t="s">
        <v>207</v>
      </c>
      <c r="D107" s="73" t="s">
        <v>207</v>
      </c>
      <c r="E107" s="73" t="s">
        <v>207</v>
      </c>
      <c r="F107" s="73" t="s">
        <v>207</v>
      </c>
      <c r="G107" s="73" t="s">
        <v>207</v>
      </c>
      <c r="H107" s="73" t="s">
        <v>207</v>
      </c>
      <c r="I107" s="73" t="s">
        <v>207</v>
      </c>
      <c r="J107" s="73" t="s">
        <v>207</v>
      </c>
      <c r="K107" s="73" t="s">
        <v>207</v>
      </c>
      <c r="L107" s="73" t="s">
        <v>207</v>
      </c>
      <c r="M107" s="73" t="s">
        <v>207</v>
      </c>
      <c r="N107" s="73" t="s">
        <v>207</v>
      </c>
      <c r="O107" s="73" t="s">
        <v>207</v>
      </c>
      <c r="P107" s="73" t="s">
        <v>207</v>
      </c>
      <c r="Q107" s="73" t="s">
        <v>207</v>
      </c>
      <c r="R107" s="73" t="s">
        <v>207</v>
      </c>
      <c r="S107" s="73" t="s">
        <v>207</v>
      </c>
      <c r="T107" s="73" t="s">
        <v>207</v>
      </c>
      <c r="U107" s="73" t="s">
        <v>207</v>
      </c>
      <c r="V107" s="73" t="s">
        <v>207</v>
      </c>
      <c r="W107" s="73" t="s">
        <v>207</v>
      </c>
      <c r="X107" s="73" t="s">
        <v>207</v>
      </c>
      <c r="Y107" s="73" t="s">
        <v>207</v>
      </c>
      <c r="Z107" s="73" t="s">
        <v>207</v>
      </c>
      <c r="AA107" s="73" t="s">
        <v>207</v>
      </c>
      <c r="AB107" s="73" t="s">
        <v>207</v>
      </c>
      <c r="AC107" s="73" t="s">
        <v>207</v>
      </c>
      <c r="AD107" s="73" t="s">
        <v>207</v>
      </c>
      <c r="AE107" s="73" t="s">
        <v>207</v>
      </c>
      <c r="AF107" s="73" t="s">
        <v>207</v>
      </c>
      <c r="AG107" s="73" t="s">
        <v>207</v>
      </c>
      <c r="AH107" s="73" t="s">
        <v>207</v>
      </c>
      <c r="AI107" s="73" t="s">
        <v>207</v>
      </c>
      <c r="AJ107" s="73" t="s">
        <v>207</v>
      </c>
      <c r="AK107" s="73" t="s">
        <v>207</v>
      </c>
      <c r="AL107" s="73" t="s">
        <v>207</v>
      </c>
      <c r="AM107" s="73" t="s">
        <v>207</v>
      </c>
      <c r="AN107" s="73" t="s">
        <v>207</v>
      </c>
      <c r="AO107" s="73" t="s">
        <v>207</v>
      </c>
      <c r="AP107" s="73" t="s">
        <v>207</v>
      </c>
      <c r="AQ107" s="73" t="s">
        <v>207</v>
      </c>
      <c r="AR107" s="73" t="s">
        <v>207</v>
      </c>
      <c r="AS107" s="73" t="s">
        <v>207</v>
      </c>
      <c r="AT107" s="73" t="s">
        <v>207</v>
      </c>
      <c r="AU107" s="73" t="s">
        <v>207</v>
      </c>
      <c r="AV107" s="73" t="s">
        <v>207</v>
      </c>
      <c r="AW107" s="73" t="s">
        <v>207</v>
      </c>
      <c r="AX107" s="73" t="s">
        <v>207</v>
      </c>
      <c r="AY107" s="73" t="s">
        <v>207</v>
      </c>
      <c r="AZ107" s="73" t="s">
        <v>207</v>
      </c>
      <c r="BA107" s="73" t="s">
        <v>207</v>
      </c>
      <c r="BB107" s="73" t="s">
        <v>207</v>
      </c>
      <c r="BC107" s="73" t="s">
        <v>207</v>
      </c>
      <c r="BD107" s="73" t="s">
        <v>207</v>
      </c>
      <c r="BE107" s="73" t="s">
        <v>207</v>
      </c>
      <c r="BF107" s="73" t="s">
        <v>207</v>
      </c>
      <c r="BG107" s="73" t="s">
        <v>207</v>
      </c>
      <c r="BH107" s="73" t="s">
        <v>207</v>
      </c>
      <c r="BI107" s="73" t="s">
        <v>207</v>
      </c>
      <c r="BJ107" s="73" t="s">
        <v>207</v>
      </c>
      <c r="BK107" s="73" t="s">
        <v>207</v>
      </c>
      <c r="BL107" s="73" t="s">
        <v>207</v>
      </c>
      <c r="BM107" s="73" t="s">
        <v>207</v>
      </c>
      <c r="BN107" s="73" t="s">
        <v>207</v>
      </c>
      <c r="BO107" s="73" t="s">
        <v>207</v>
      </c>
      <c r="BP107" s="73" t="s">
        <v>207</v>
      </c>
      <c r="BQ107" s="73" t="s">
        <v>207</v>
      </c>
      <c r="BR107" s="73" t="s">
        <v>207</v>
      </c>
      <c r="BS107" s="73" t="s">
        <v>207</v>
      </c>
      <c r="BT107" s="73" t="s">
        <v>207</v>
      </c>
      <c r="BU107" s="73" t="s">
        <v>207</v>
      </c>
    </row>
    <row r="108" spans="1:73">
      <c r="A108" s="72" t="s">
        <v>521</v>
      </c>
      <c r="B108" s="77">
        <v>1335.2</v>
      </c>
      <c r="C108" s="74" t="s">
        <v>207</v>
      </c>
      <c r="D108" s="76">
        <v>105.57</v>
      </c>
      <c r="E108" s="74" t="s">
        <v>207</v>
      </c>
      <c r="F108" s="77">
        <v>499.6</v>
      </c>
      <c r="G108" s="74" t="s">
        <v>207</v>
      </c>
      <c r="H108" s="77">
        <v>500.2</v>
      </c>
      <c r="I108" s="74" t="s">
        <v>207</v>
      </c>
      <c r="J108" s="77">
        <v>749.6</v>
      </c>
      <c r="K108" s="74" t="s">
        <v>207</v>
      </c>
      <c r="L108" s="77">
        <v>664.8</v>
      </c>
      <c r="M108" s="74" t="s">
        <v>207</v>
      </c>
      <c r="N108" s="77">
        <v>487.4</v>
      </c>
      <c r="O108" s="74" t="s">
        <v>207</v>
      </c>
      <c r="P108" s="77">
        <v>546.6</v>
      </c>
      <c r="Q108" s="77">
        <v>221.5</v>
      </c>
      <c r="R108" s="77">
        <v>1071.4000000000001</v>
      </c>
      <c r="S108" s="74" t="s">
        <v>207</v>
      </c>
      <c r="T108" s="77">
        <v>1121</v>
      </c>
      <c r="U108" s="74" t="s">
        <v>207</v>
      </c>
      <c r="V108" s="76">
        <v>1463.43</v>
      </c>
      <c r="W108" s="76">
        <v>233.75</v>
      </c>
      <c r="X108" s="77">
        <v>1528.8</v>
      </c>
      <c r="Y108" s="74" t="s">
        <v>207</v>
      </c>
      <c r="Z108" s="77">
        <v>1472.4</v>
      </c>
      <c r="AA108" s="74" t="s">
        <v>207</v>
      </c>
      <c r="AB108" s="77">
        <v>994.2</v>
      </c>
      <c r="AC108" s="76">
        <v>0.22</v>
      </c>
      <c r="AD108" s="77">
        <v>993</v>
      </c>
      <c r="AE108" s="74" t="s">
        <v>207</v>
      </c>
      <c r="AF108" s="77">
        <v>973.2</v>
      </c>
      <c r="AG108" s="74" t="s">
        <v>207</v>
      </c>
      <c r="AH108" s="77">
        <v>988.8</v>
      </c>
      <c r="AI108" s="74" t="s">
        <v>207</v>
      </c>
      <c r="AJ108" s="77">
        <v>501.4</v>
      </c>
      <c r="AK108" s="76">
        <v>484.45</v>
      </c>
      <c r="AL108" s="77">
        <v>756.8</v>
      </c>
      <c r="AM108" s="76">
        <v>7011.99</v>
      </c>
      <c r="AN108" s="77">
        <v>1004.6</v>
      </c>
      <c r="AO108" s="76">
        <v>729.15</v>
      </c>
      <c r="AP108" s="77">
        <v>1484.4</v>
      </c>
      <c r="AQ108" s="77">
        <v>503.2</v>
      </c>
      <c r="AR108" s="77">
        <v>751</v>
      </c>
      <c r="AS108" s="74" t="s">
        <v>207</v>
      </c>
      <c r="AT108" s="74" t="s">
        <v>207</v>
      </c>
      <c r="AU108" s="77">
        <v>759.6</v>
      </c>
      <c r="AV108" s="77">
        <v>1001</v>
      </c>
      <c r="AW108" s="76">
        <v>7005.53</v>
      </c>
      <c r="AX108" s="77">
        <v>244.6</v>
      </c>
      <c r="AY108" s="77">
        <v>1180</v>
      </c>
      <c r="AZ108" s="76">
        <v>501.18</v>
      </c>
      <c r="BA108" s="74" t="s">
        <v>207</v>
      </c>
      <c r="BB108" s="77">
        <v>491.2</v>
      </c>
      <c r="BC108" s="76">
        <v>3.14</v>
      </c>
      <c r="BD108" s="76">
        <v>697.54</v>
      </c>
      <c r="BE108" s="76">
        <v>6706.49</v>
      </c>
      <c r="BF108" s="77">
        <v>483.2</v>
      </c>
      <c r="BG108" s="77">
        <v>47149</v>
      </c>
      <c r="BH108" s="77">
        <v>238</v>
      </c>
      <c r="BI108" s="77">
        <v>100.8</v>
      </c>
      <c r="BJ108" s="76">
        <v>497.62</v>
      </c>
      <c r="BK108" s="77">
        <v>209.8</v>
      </c>
      <c r="BL108" s="77">
        <v>235</v>
      </c>
      <c r="BM108" s="76">
        <v>17.22</v>
      </c>
      <c r="BN108" s="76">
        <v>733.69</v>
      </c>
      <c r="BO108" s="76">
        <v>7530.28</v>
      </c>
      <c r="BP108" s="76">
        <v>739.24</v>
      </c>
      <c r="BQ108" s="76">
        <v>39999.32</v>
      </c>
      <c r="BR108" s="76">
        <v>482.96</v>
      </c>
      <c r="BS108" s="76">
        <v>18.940000000000001</v>
      </c>
      <c r="BT108" s="77">
        <v>243</v>
      </c>
      <c r="BU108" s="76">
        <v>36114.61</v>
      </c>
    </row>
    <row r="109" spans="1:73">
      <c r="A109" s="72" t="s">
        <v>523</v>
      </c>
      <c r="B109" s="75">
        <v>81.53</v>
      </c>
      <c r="C109" s="73" t="s">
        <v>207</v>
      </c>
      <c r="D109" s="75">
        <v>258.51</v>
      </c>
      <c r="E109" s="78">
        <v>125000</v>
      </c>
      <c r="F109" s="75">
        <v>147.32</v>
      </c>
      <c r="G109" s="78">
        <v>3.7</v>
      </c>
      <c r="H109" s="75">
        <v>179.12</v>
      </c>
      <c r="I109" s="73" t="s">
        <v>207</v>
      </c>
      <c r="J109" s="75">
        <v>168.43</v>
      </c>
      <c r="K109" s="75">
        <v>7.02</v>
      </c>
      <c r="L109" s="75">
        <v>147.38</v>
      </c>
      <c r="M109" s="75">
        <v>1.22</v>
      </c>
      <c r="N109" s="75">
        <v>921.45</v>
      </c>
      <c r="O109" s="75">
        <v>150005.07</v>
      </c>
      <c r="P109" s="75">
        <v>180.47</v>
      </c>
      <c r="Q109" s="75">
        <v>3.21</v>
      </c>
      <c r="R109" s="75">
        <v>232.05</v>
      </c>
      <c r="S109" s="75">
        <v>3.97</v>
      </c>
      <c r="T109" s="75">
        <v>132.91999999999999</v>
      </c>
      <c r="U109" s="75">
        <v>2.19</v>
      </c>
      <c r="V109" s="75">
        <v>188.06</v>
      </c>
      <c r="W109" s="78">
        <v>3.2</v>
      </c>
      <c r="X109" s="75">
        <v>231.76</v>
      </c>
      <c r="Y109" s="75">
        <v>3.01</v>
      </c>
      <c r="Z109" s="78">
        <v>1991.2</v>
      </c>
      <c r="AA109" s="75">
        <v>60286.239999999998</v>
      </c>
      <c r="AB109" s="78">
        <v>3159.9</v>
      </c>
      <c r="AC109" s="75">
        <v>35269.78</v>
      </c>
      <c r="AD109" s="78">
        <v>2266</v>
      </c>
      <c r="AE109" s="75">
        <v>61545.69</v>
      </c>
      <c r="AF109" s="78">
        <v>1697.4</v>
      </c>
      <c r="AG109" s="78">
        <v>60778.400000000001</v>
      </c>
      <c r="AH109" s="78">
        <v>1202.5999999999999</v>
      </c>
      <c r="AI109" s="78">
        <v>35042.800000000003</v>
      </c>
      <c r="AJ109" s="75">
        <v>1241.01</v>
      </c>
      <c r="AK109" s="75">
        <v>35172.370000000003</v>
      </c>
      <c r="AL109" s="75">
        <v>50178.05</v>
      </c>
      <c r="AM109" s="75">
        <v>81545.56</v>
      </c>
      <c r="AN109" s="75">
        <v>1599.96</v>
      </c>
      <c r="AO109" s="75">
        <v>35029.339999999997</v>
      </c>
      <c r="AP109" s="75">
        <v>2195.06</v>
      </c>
      <c r="AQ109" s="75">
        <v>12.96</v>
      </c>
      <c r="AR109" s="75">
        <v>948.98</v>
      </c>
      <c r="AS109" s="75">
        <v>199419.49</v>
      </c>
      <c r="AT109" s="75">
        <v>1300.92</v>
      </c>
      <c r="AU109" s="73" t="s">
        <v>207</v>
      </c>
      <c r="AV109" s="75">
        <v>1262.56</v>
      </c>
      <c r="AW109" s="78">
        <v>512.20000000000005</v>
      </c>
      <c r="AX109" s="78">
        <v>190.2</v>
      </c>
      <c r="AY109" s="78">
        <v>41.6</v>
      </c>
      <c r="AZ109" s="75">
        <v>3.21</v>
      </c>
      <c r="BA109" s="75">
        <v>67382.570000000007</v>
      </c>
      <c r="BB109" s="75">
        <v>206.63</v>
      </c>
      <c r="BC109" s="75">
        <v>129.62</v>
      </c>
      <c r="BD109" s="78">
        <v>88.6</v>
      </c>
      <c r="BE109" s="75">
        <v>190.89</v>
      </c>
      <c r="BF109" s="75">
        <v>32.25</v>
      </c>
      <c r="BG109" s="75">
        <v>15.33</v>
      </c>
      <c r="BH109" s="75">
        <v>460.21</v>
      </c>
      <c r="BI109" s="75">
        <v>10.210000000000001</v>
      </c>
      <c r="BJ109" s="75">
        <v>94.18</v>
      </c>
      <c r="BK109" s="75">
        <v>7.15</v>
      </c>
      <c r="BL109" s="75">
        <v>98.71</v>
      </c>
      <c r="BM109" s="75">
        <v>4430.9799999999996</v>
      </c>
      <c r="BN109" s="75">
        <v>7.92</v>
      </c>
      <c r="BO109" s="78">
        <v>4.9000000000000004</v>
      </c>
      <c r="BP109" s="75">
        <v>174.01</v>
      </c>
      <c r="BQ109" s="75">
        <v>45.11</v>
      </c>
      <c r="BR109" s="75">
        <v>167.61</v>
      </c>
      <c r="BS109" s="75">
        <v>65.14</v>
      </c>
      <c r="BT109" s="75">
        <v>102.89</v>
      </c>
      <c r="BU109" s="78">
        <v>60114.7</v>
      </c>
    </row>
    <row r="110" spans="1:73">
      <c r="A110" s="72" t="s">
        <v>525</v>
      </c>
      <c r="B110" s="77">
        <v>7803.3</v>
      </c>
      <c r="C110" s="76">
        <v>14.52</v>
      </c>
      <c r="D110" s="77">
        <v>8216</v>
      </c>
      <c r="E110" s="76">
        <v>4.96</v>
      </c>
      <c r="F110" s="77">
        <v>16471.400000000001</v>
      </c>
      <c r="G110" s="77">
        <v>5.3</v>
      </c>
      <c r="H110" s="77">
        <v>15855.7</v>
      </c>
      <c r="I110" s="77">
        <v>234.2</v>
      </c>
      <c r="J110" s="77">
        <v>16415.7</v>
      </c>
      <c r="K110" s="74" t="s">
        <v>207</v>
      </c>
      <c r="L110" s="76">
        <v>14815.25</v>
      </c>
      <c r="M110" s="77">
        <v>0.9</v>
      </c>
      <c r="N110" s="77">
        <v>16893.2</v>
      </c>
      <c r="O110" s="76">
        <v>0.48</v>
      </c>
      <c r="P110" s="77">
        <v>8152.9</v>
      </c>
      <c r="Q110" s="76">
        <v>9.0500000000000007</v>
      </c>
      <c r="R110" s="76">
        <v>16354.77</v>
      </c>
      <c r="S110" s="76">
        <v>2.14</v>
      </c>
      <c r="T110" s="77">
        <v>24341.8</v>
      </c>
      <c r="U110" s="76">
        <v>247.72</v>
      </c>
      <c r="V110" s="77">
        <v>7696.2</v>
      </c>
      <c r="W110" s="76">
        <v>11.64</v>
      </c>
      <c r="X110" s="77">
        <v>8209</v>
      </c>
      <c r="Y110" s="76">
        <v>1.46</v>
      </c>
      <c r="Z110" s="77">
        <v>18109.099999999999</v>
      </c>
      <c r="AA110" s="76">
        <v>3.01</v>
      </c>
      <c r="AB110" s="77">
        <v>15806.8</v>
      </c>
      <c r="AC110" s="76">
        <v>13.49</v>
      </c>
      <c r="AD110" s="76">
        <v>11484.84</v>
      </c>
      <c r="AE110" s="76">
        <v>263.85000000000002</v>
      </c>
      <c r="AF110" s="77">
        <v>19304</v>
      </c>
      <c r="AG110" s="77">
        <v>24.2</v>
      </c>
      <c r="AH110" s="77">
        <v>14329</v>
      </c>
      <c r="AI110" s="76">
        <v>13.65</v>
      </c>
      <c r="AJ110" s="76">
        <v>9032.61</v>
      </c>
      <c r="AK110" s="76">
        <v>4.5199999999999996</v>
      </c>
      <c r="AL110" s="77">
        <v>13855.8</v>
      </c>
      <c r="AM110" s="76">
        <v>9.61</v>
      </c>
      <c r="AN110" s="77">
        <v>22713.5</v>
      </c>
      <c r="AO110" s="76">
        <v>263.14999999999998</v>
      </c>
      <c r="AP110" s="77">
        <v>19934</v>
      </c>
      <c r="AQ110" s="77">
        <v>25.6</v>
      </c>
      <c r="AR110" s="77">
        <v>8266.7999999999993</v>
      </c>
      <c r="AS110" s="76">
        <v>0.78</v>
      </c>
      <c r="AT110" s="76">
        <v>19355.25</v>
      </c>
      <c r="AU110" s="76">
        <v>9.19</v>
      </c>
      <c r="AV110" s="76">
        <v>5495.72</v>
      </c>
      <c r="AW110" s="76">
        <v>25.75</v>
      </c>
      <c r="AX110" s="77">
        <v>5500</v>
      </c>
      <c r="AY110" s="76">
        <v>47.24</v>
      </c>
      <c r="AZ110" s="77">
        <v>9900</v>
      </c>
      <c r="BA110" s="76">
        <v>17.22</v>
      </c>
      <c r="BB110" s="77">
        <v>12100</v>
      </c>
      <c r="BC110" s="76">
        <v>11.54</v>
      </c>
      <c r="BD110" s="77">
        <v>11000</v>
      </c>
      <c r="BE110" s="77">
        <v>1247.3</v>
      </c>
      <c r="BF110" s="77">
        <v>5500</v>
      </c>
      <c r="BG110" s="76">
        <v>0.87</v>
      </c>
      <c r="BH110" s="76">
        <v>16506.23</v>
      </c>
      <c r="BI110" s="76">
        <v>37.630000000000003</v>
      </c>
      <c r="BJ110" s="77">
        <v>16500</v>
      </c>
      <c r="BK110" s="76">
        <v>254.86</v>
      </c>
      <c r="BL110" s="77">
        <v>11000</v>
      </c>
      <c r="BM110" s="76">
        <v>662.88</v>
      </c>
      <c r="BN110" s="77">
        <v>16500</v>
      </c>
      <c r="BO110" s="76">
        <v>2.0099999999999998</v>
      </c>
      <c r="BP110" s="77">
        <v>16500</v>
      </c>
      <c r="BQ110" s="76">
        <v>798.02</v>
      </c>
      <c r="BR110" s="77">
        <v>22000</v>
      </c>
      <c r="BS110" s="76">
        <v>19.07</v>
      </c>
      <c r="BT110" s="77">
        <v>16500</v>
      </c>
      <c r="BU110" s="76">
        <v>20001.330000000002</v>
      </c>
    </row>
    <row r="111" spans="1:73">
      <c r="A111" s="72" t="s">
        <v>527</v>
      </c>
      <c r="B111" s="75">
        <v>1480.21</v>
      </c>
      <c r="C111" s="75">
        <v>286146.83</v>
      </c>
      <c r="D111" s="75">
        <v>1440.43</v>
      </c>
      <c r="E111" s="75">
        <v>7112.58</v>
      </c>
      <c r="F111" s="75">
        <v>2036.12</v>
      </c>
      <c r="G111" s="75">
        <v>4868.3599999999997</v>
      </c>
      <c r="H111" s="75">
        <v>1216.9100000000001</v>
      </c>
      <c r="I111" s="78">
        <v>5311.6</v>
      </c>
      <c r="J111" s="75">
        <v>1579.84</v>
      </c>
      <c r="K111" s="75">
        <v>4779.1499999999996</v>
      </c>
      <c r="L111" s="75">
        <v>1473.13</v>
      </c>
      <c r="M111" s="75">
        <v>36570.730000000003</v>
      </c>
      <c r="N111" s="75">
        <v>1429.91</v>
      </c>
      <c r="O111" s="75">
        <v>5773.74</v>
      </c>
      <c r="P111" s="75">
        <v>488.71</v>
      </c>
      <c r="Q111" s="75">
        <v>6760.62</v>
      </c>
      <c r="R111" s="75">
        <v>775.81</v>
      </c>
      <c r="S111" s="75">
        <v>7637.51</v>
      </c>
      <c r="T111" s="75">
        <v>732.17</v>
      </c>
      <c r="U111" s="78">
        <v>6528.8</v>
      </c>
      <c r="V111" s="75">
        <v>2161.44</v>
      </c>
      <c r="W111" s="75">
        <v>6280.55</v>
      </c>
      <c r="X111" s="75">
        <v>3760.47</v>
      </c>
      <c r="Y111" s="75">
        <v>7437.84</v>
      </c>
      <c r="Z111" s="78">
        <v>804.8</v>
      </c>
      <c r="AA111" s="75">
        <v>6724.19</v>
      </c>
      <c r="AB111" s="75">
        <v>846.05</v>
      </c>
      <c r="AC111" s="75">
        <v>7760.59</v>
      </c>
      <c r="AD111" s="75">
        <v>726.86</v>
      </c>
      <c r="AE111" s="75">
        <v>5996.61</v>
      </c>
      <c r="AF111" s="75">
        <v>1269.25</v>
      </c>
      <c r="AG111" s="75">
        <v>8940.2800000000007</v>
      </c>
      <c r="AH111" s="75">
        <v>394.78</v>
      </c>
      <c r="AI111" s="75">
        <v>3170.47</v>
      </c>
      <c r="AJ111" s="75">
        <v>1064.6400000000001</v>
      </c>
      <c r="AK111" s="75">
        <v>7697.98</v>
      </c>
      <c r="AL111" s="75">
        <v>870.36</v>
      </c>
      <c r="AM111" s="75">
        <v>6533.01</v>
      </c>
      <c r="AN111" s="75">
        <v>1048.04</v>
      </c>
      <c r="AO111" s="75">
        <v>8396.51</v>
      </c>
      <c r="AP111" s="75">
        <v>1447.85</v>
      </c>
      <c r="AQ111" s="75">
        <v>5802.17</v>
      </c>
      <c r="AR111" s="75">
        <v>1094.23</v>
      </c>
      <c r="AS111" s="75">
        <v>7498.65</v>
      </c>
      <c r="AT111" s="75">
        <v>1686.55</v>
      </c>
      <c r="AU111" s="75">
        <v>4266.83</v>
      </c>
      <c r="AV111" s="75">
        <v>782.66</v>
      </c>
      <c r="AW111" s="75">
        <v>26294.13</v>
      </c>
      <c r="AX111" s="75">
        <v>3443.06</v>
      </c>
      <c r="AY111" s="75">
        <v>11851.93</v>
      </c>
      <c r="AZ111" s="75">
        <v>2937.01</v>
      </c>
      <c r="BA111" s="75">
        <v>9127.49</v>
      </c>
      <c r="BB111" s="75">
        <v>3208.05</v>
      </c>
      <c r="BC111" s="75">
        <v>10873.15</v>
      </c>
      <c r="BD111" s="75">
        <v>3778.97</v>
      </c>
      <c r="BE111" s="75">
        <v>12330.95</v>
      </c>
      <c r="BF111" s="75">
        <v>3162.01</v>
      </c>
      <c r="BG111" s="75">
        <v>11136.36</v>
      </c>
      <c r="BH111" s="75">
        <v>2999.31</v>
      </c>
      <c r="BI111" s="75">
        <v>9404.34</v>
      </c>
      <c r="BJ111" s="75">
        <v>3324.24</v>
      </c>
      <c r="BK111" s="75">
        <v>6634.55</v>
      </c>
      <c r="BL111" s="75">
        <v>4752.5600000000004</v>
      </c>
      <c r="BM111" s="75">
        <v>7492.76</v>
      </c>
      <c r="BN111" s="78">
        <v>3764.4</v>
      </c>
      <c r="BO111" s="75">
        <v>8113.15</v>
      </c>
      <c r="BP111" s="75">
        <v>3180.95</v>
      </c>
      <c r="BQ111" s="75">
        <v>11749.17</v>
      </c>
      <c r="BR111" s="75">
        <v>4348.01</v>
      </c>
      <c r="BS111" s="75">
        <v>6808.59</v>
      </c>
      <c r="BT111" s="75">
        <v>3890.99</v>
      </c>
      <c r="BU111" s="78">
        <v>15959.1</v>
      </c>
    </row>
    <row r="112" spans="1:73">
      <c r="A112" s="72" t="s">
        <v>529</v>
      </c>
      <c r="B112" s="76">
        <v>4008.86</v>
      </c>
      <c r="C112" s="76">
        <v>13.42</v>
      </c>
      <c r="D112" s="76">
        <v>1849.08</v>
      </c>
      <c r="E112" s="76">
        <v>8.69</v>
      </c>
      <c r="F112" s="76">
        <v>1599.45</v>
      </c>
      <c r="G112" s="76">
        <v>23.02</v>
      </c>
      <c r="H112" s="76">
        <v>1478.45</v>
      </c>
      <c r="I112" s="76">
        <v>2.59</v>
      </c>
      <c r="J112" s="76">
        <v>1307.8499999999999</v>
      </c>
      <c r="K112" s="76">
        <v>5.12</v>
      </c>
      <c r="L112" s="77">
        <v>3217.6</v>
      </c>
      <c r="M112" s="76">
        <v>9.9499999999999993</v>
      </c>
      <c r="N112" s="76">
        <v>847.32</v>
      </c>
      <c r="O112" s="76">
        <v>28.52</v>
      </c>
      <c r="P112" s="76">
        <v>5678.81</v>
      </c>
      <c r="Q112" s="77">
        <v>230.3</v>
      </c>
      <c r="R112" s="76">
        <v>2136.84</v>
      </c>
      <c r="S112" s="76">
        <v>67.819999999999993</v>
      </c>
      <c r="T112" s="76">
        <v>4792.74</v>
      </c>
      <c r="U112" s="76">
        <v>250.94</v>
      </c>
      <c r="V112" s="76">
        <v>2821.33</v>
      </c>
      <c r="W112" s="76">
        <v>32.78</v>
      </c>
      <c r="X112" s="76">
        <v>1982.09</v>
      </c>
      <c r="Y112" s="76">
        <v>258.12</v>
      </c>
      <c r="Z112" s="76">
        <v>7123.41</v>
      </c>
      <c r="AA112" s="76">
        <v>493.32</v>
      </c>
      <c r="AB112" s="76">
        <v>4591.16</v>
      </c>
      <c r="AC112" s="76">
        <v>23.35</v>
      </c>
      <c r="AD112" s="76">
        <v>7158.14</v>
      </c>
      <c r="AE112" s="76">
        <v>251.77</v>
      </c>
      <c r="AF112" s="76">
        <v>5252.92</v>
      </c>
      <c r="AG112" s="76">
        <v>38.21</v>
      </c>
      <c r="AH112" s="76">
        <v>7421.69</v>
      </c>
      <c r="AI112" s="76">
        <v>186.67</v>
      </c>
      <c r="AJ112" s="76">
        <v>3702.77</v>
      </c>
      <c r="AK112" s="76">
        <v>21.63</v>
      </c>
      <c r="AL112" s="76">
        <v>7632.92</v>
      </c>
      <c r="AM112" s="76">
        <v>243.04</v>
      </c>
      <c r="AN112" s="76">
        <v>7029.58</v>
      </c>
      <c r="AO112" s="76">
        <v>213.27</v>
      </c>
      <c r="AP112" s="76">
        <v>5046.03</v>
      </c>
      <c r="AQ112" s="76">
        <v>257.99</v>
      </c>
      <c r="AR112" s="77">
        <v>9249.7000000000007</v>
      </c>
      <c r="AS112" s="76">
        <v>645.59</v>
      </c>
      <c r="AT112" s="76">
        <v>6268.07</v>
      </c>
      <c r="AU112" s="76">
        <v>29.31</v>
      </c>
      <c r="AV112" s="76">
        <v>7170.52</v>
      </c>
      <c r="AW112" s="76">
        <v>320.35000000000002</v>
      </c>
      <c r="AX112" s="76">
        <v>4823.8599999999997</v>
      </c>
      <c r="AY112" s="77">
        <v>59.4</v>
      </c>
      <c r="AZ112" s="76">
        <v>7410.54</v>
      </c>
      <c r="BA112" s="76">
        <v>34.96</v>
      </c>
      <c r="BB112" s="76">
        <v>5123.8900000000003</v>
      </c>
      <c r="BC112" s="76">
        <v>114.46</v>
      </c>
      <c r="BD112" s="76">
        <v>5168.3599999999997</v>
      </c>
      <c r="BE112" s="76">
        <v>41.83</v>
      </c>
      <c r="BF112" s="76">
        <v>2703.07</v>
      </c>
      <c r="BG112" s="76">
        <v>33.22</v>
      </c>
      <c r="BH112" s="76">
        <v>2183.02</v>
      </c>
      <c r="BI112" s="76">
        <v>260.82</v>
      </c>
      <c r="BJ112" s="76">
        <v>4246.18</v>
      </c>
      <c r="BK112" s="76">
        <v>26.15</v>
      </c>
      <c r="BL112" s="76">
        <v>4078.83</v>
      </c>
      <c r="BM112" s="77">
        <v>271</v>
      </c>
      <c r="BN112" s="76">
        <v>4030.42</v>
      </c>
      <c r="BO112" s="76">
        <v>13.35</v>
      </c>
      <c r="BP112" s="76">
        <v>4088.61</v>
      </c>
      <c r="BQ112" s="77">
        <v>97.5</v>
      </c>
      <c r="BR112" s="76">
        <v>5570.18</v>
      </c>
      <c r="BS112" s="76">
        <v>39.65</v>
      </c>
      <c r="BT112" s="77">
        <v>3563.4</v>
      </c>
      <c r="BU112" s="76">
        <v>60.73</v>
      </c>
    </row>
    <row r="113" spans="1:73">
      <c r="A113" s="72" t="s">
        <v>531</v>
      </c>
      <c r="B113" s="75">
        <v>322.83</v>
      </c>
      <c r="C113" s="75">
        <v>301.97000000000003</v>
      </c>
      <c r="D113" s="75">
        <v>407.39</v>
      </c>
      <c r="E113" s="75">
        <v>93.07</v>
      </c>
      <c r="F113" s="75">
        <v>159.87</v>
      </c>
      <c r="G113" s="75">
        <v>19.239999999999998</v>
      </c>
      <c r="H113" s="75">
        <v>132.81</v>
      </c>
      <c r="I113" s="75">
        <v>1.74</v>
      </c>
      <c r="J113" s="75">
        <v>73.040000000000006</v>
      </c>
      <c r="K113" s="75">
        <v>6.76</v>
      </c>
      <c r="L113" s="75">
        <v>235.85</v>
      </c>
      <c r="M113" s="75">
        <v>113.99</v>
      </c>
      <c r="N113" s="75">
        <v>346.16</v>
      </c>
      <c r="O113" s="75">
        <v>4.75</v>
      </c>
      <c r="P113" s="78">
        <v>337.7</v>
      </c>
      <c r="Q113" s="75">
        <v>103.13</v>
      </c>
      <c r="R113" s="75">
        <v>523.41</v>
      </c>
      <c r="S113" s="75">
        <v>138.63</v>
      </c>
      <c r="T113" s="75">
        <v>668.89</v>
      </c>
      <c r="U113" s="75">
        <v>292.98</v>
      </c>
      <c r="V113" s="75">
        <v>484.38</v>
      </c>
      <c r="W113" s="75">
        <v>12.79</v>
      </c>
      <c r="X113" s="75">
        <v>313.83999999999997</v>
      </c>
      <c r="Y113" s="78">
        <v>1.6</v>
      </c>
      <c r="Z113" s="75">
        <v>422.87</v>
      </c>
      <c r="AA113" s="75">
        <v>21.96</v>
      </c>
      <c r="AB113" s="75">
        <v>68.349999999999994</v>
      </c>
      <c r="AC113" s="75">
        <v>22.18</v>
      </c>
      <c r="AD113" s="75">
        <v>546.71</v>
      </c>
      <c r="AE113" s="75">
        <v>22.62</v>
      </c>
      <c r="AF113" s="75">
        <v>90.45</v>
      </c>
      <c r="AG113" s="75">
        <v>15.65</v>
      </c>
      <c r="AH113" s="75">
        <v>673.88</v>
      </c>
      <c r="AI113" s="75">
        <v>23.12</v>
      </c>
      <c r="AJ113" s="75">
        <v>259.25</v>
      </c>
      <c r="AK113" s="75">
        <v>10.07</v>
      </c>
      <c r="AL113" s="75">
        <v>338.76</v>
      </c>
      <c r="AM113" s="75">
        <v>16.82</v>
      </c>
      <c r="AN113" s="75">
        <v>554.26</v>
      </c>
      <c r="AO113" s="75">
        <v>10.28</v>
      </c>
      <c r="AP113" s="75">
        <v>423.04</v>
      </c>
      <c r="AQ113" s="75">
        <v>35.72</v>
      </c>
      <c r="AR113" s="75">
        <v>99.91</v>
      </c>
      <c r="AS113" s="75">
        <v>4.95</v>
      </c>
      <c r="AT113" s="75">
        <v>72.63</v>
      </c>
      <c r="AU113" s="75">
        <v>202.35</v>
      </c>
      <c r="AV113" s="75">
        <v>196.29</v>
      </c>
      <c r="AW113" s="75">
        <v>14.58</v>
      </c>
      <c r="AX113" s="75">
        <v>190.71</v>
      </c>
      <c r="AY113" s="75">
        <v>44.74</v>
      </c>
      <c r="AZ113" s="75">
        <v>584.27</v>
      </c>
      <c r="BA113" s="75">
        <v>29.67</v>
      </c>
      <c r="BB113" s="75">
        <v>407.77</v>
      </c>
      <c r="BC113" s="75">
        <v>4.51</v>
      </c>
      <c r="BD113" s="75">
        <v>415.73</v>
      </c>
      <c r="BE113" s="75">
        <v>40.119999999999997</v>
      </c>
      <c r="BF113" s="75">
        <v>626.05999999999995</v>
      </c>
      <c r="BG113" s="75">
        <v>6.46</v>
      </c>
      <c r="BH113" s="75">
        <v>347.01</v>
      </c>
      <c r="BI113" s="75">
        <v>4.76</v>
      </c>
      <c r="BJ113" s="75">
        <v>466.43</v>
      </c>
      <c r="BK113" s="78">
        <v>24.5</v>
      </c>
      <c r="BL113" s="78">
        <v>505.7</v>
      </c>
      <c r="BM113" s="75">
        <v>17.86</v>
      </c>
      <c r="BN113" s="75">
        <v>510.74</v>
      </c>
      <c r="BO113" s="75">
        <v>7.33</v>
      </c>
      <c r="BP113" s="75">
        <v>324.27999999999997</v>
      </c>
      <c r="BQ113" s="75">
        <v>26.29</v>
      </c>
      <c r="BR113" s="75">
        <v>1058.99</v>
      </c>
      <c r="BS113" s="75">
        <v>16.82</v>
      </c>
      <c r="BT113" s="75">
        <v>706.22</v>
      </c>
      <c r="BU113" s="78">
        <v>15.3</v>
      </c>
    </row>
    <row r="114" spans="1:73">
      <c r="A114" s="72" t="s">
        <v>533</v>
      </c>
      <c r="B114" s="76">
        <v>704.23</v>
      </c>
      <c r="C114" s="77">
        <v>167.1</v>
      </c>
      <c r="D114" s="76">
        <v>26.18</v>
      </c>
      <c r="E114" s="76">
        <v>159.75</v>
      </c>
      <c r="F114" s="76">
        <v>617.53</v>
      </c>
      <c r="G114" s="76">
        <v>275.98</v>
      </c>
      <c r="H114" s="76">
        <v>272.06</v>
      </c>
      <c r="I114" s="76">
        <v>112.06</v>
      </c>
      <c r="J114" s="76">
        <v>349.98</v>
      </c>
      <c r="K114" s="76">
        <v>168.71</v>
      </c>
      <c r="L114" s="77">
        <v>310.60000000000002</v>
      </c>
      <c r="M114" s="76">
        <v>219.69</v>
      </c>
      <c r="N114" s="76">
        <v>954.15</v>
      </c>
      <c r="O114" s="76">
        <v>179.32</v>
      </c>
      <c r="P114" s="76">
        <v>531.54999999999995</v>
      </c>
      <c r="Q114" s="77">
        <v>234</v>
      </c>
      <c r="R114" s="76">
        <v>57.52</v>
      </c>
      <c r="S114" s="76">
        <v>346.64</v>
      </c>
      <c r="T114" s="76">
        <v>883.67</v>
      </c>
      <c r="U114" s="76">
        <v>263.33999999999997</v>
      </c>
      <c r="V114" s="76">
        <v>295.48</v>
      </c>
      <c r="W114" s="76">
        <v>68.239999999999995</v>
      </c>
      <c r="X114" s="76">
        <v>342.43</v>
      </c>
      <c r="Y114" s="76">
        <v>332.43</v>
      </c>
      <c r="Z114" s="76">
        <v>403.82</v>
      </c>
      <c r="AA114" s="76">
        <v>137.87</v>
      </c>
      <c r="AB114" s="76">
        <v>720.12</v>
      </c>
      <c r="AC114" s="76">
        <v>314.52</v>
      </c>
      <c r="AD114" s="76">
        <v>519.28</v>
      </c>
      <c r="AE114" s="76">
        <v>719.23</v>
      </c>
      <c r="AF114" s="76">
        <v>273.39</v>
      </c>
      <c r="AG114" s="76">
        <v>405.83</v>
      </c>
      <c r="AH114" s="76">
        <v>418.55</v>
      </c>
      <c r="AI114" s="76">
        <v>1104.56</v>
      </c>
      <c r="AJ114" s="76">
        <v>1411.37</v>
      </c>
      <c r="AK114" s="76">
        <v>166.79</v>
      </c>
      <c r="AL114" s="76">
        <v>168.29</v>
      </c>
      <c r="AM114" s="76">
        <v>725.31</v>
      </c>
      <c r="AN114" s="76">
        <v>539.83000000000004</v>
      </c>
      <c r="AO114" s="76">
        <v>33.68</v>
      </c>
      <c r="AP114" s="77">
        <v>280.10000000000002</v>
      </c>
      <c r="AQ114" s="76">
        <v>649.41</v>
      </c>
      <c r="AR114" s="76">
        <v>362.76</v>
      </c>
      <c r="AS114" s="76">
        <v>1166.02</v>
      </c>
      <c r="AT114" s="76">
        <v>822.92</v>
      </c>
      <c r="AU114" s="76">
        <v>626.82000000000005</v>
      </c>
      <c r="AV114" s="77">
        <v>522.20000000000005</v>
      </c>
      <c r="AW114" s="76">
        <v>983.55</v>
      </c>
      <c r="AX114" s="76">
        <v>333.92</v>
      </c>
      <c r="AY114" s="76">
        <v>269.62</v>
      </c>
      <c r="AZ114" s="76">
        <v>311.37</v>
      </c>
      <c r="BA114" s="76">
        <v>318.97000000000003</v>
      </c>
      <c r="BB114" s="76">
        <v>16.11</v>
      </c>
      <c r="BC114" s="76">
        <v>304.18</v>
      </c>
      <c r="BD114" s="76">
        <v>242.22</v>
      </c>
      <c r="BE114" s="76">
        <v>294.07</v>
      </c>
      <c r="BF114" s="76">
        <v>140.61000000000001</v>
      </c>
      <c r="BG114" s="76">
        <v>432.52</v>
      </c>
      <c r="BH114" s="76">
        <v>408.37</v>
      </c>
      <c r="BI114" s="76">
        <v>534.08000000000004</v>
      </c>
      <c r="BJ114" s="76">
        <v>490.96</v>
      </c>
      <c r="BK114" s="76">
        <v>443.67</v>
      </c>
      <c r="BL114" s="76">
        <v>479.31</v>
      </c>
      <c r="BM114" s="76">
        <v>440.66</v>
      </c>
      <c r="BN114" s="76">
        <v>222.84</v>
      </c>
      <c r="BO114" s="76">
        <v>669.83</v>
      </c>
      <c r="BP114" s="76">
        <v>107.08</v>
      </c>
      <c r="BQ114" s="76">
        <v>441.11</v>
      </c>
      <c r="BR114" s="76">
        <v>347.83</v>
      </c>
      <c r="BS114" s="76">
        <v>359.96</v>
      </c>
      <c r="BT114" s="76">
        <v>356.52</v>
      </c>
      <c r="BU114" s="76">
        <v>446.26</v>
      </c>
    </row>
    <row r="115" spans="1:73">
      <c r="A115" s="72" t="s">
        <v>535</v>
      </c>
      <c r="B115" s="75">
        <v>1.08</v>
      </c>
      <c r="C115" s="75">
        <v>0.15</v>
      </c>
      <c r="D115" s="78">
        <v>16</v>
      </c>
      <c r="E115" s="73" t="s">
        <v>207</v>
      </c>
      <c r="F115" s="75">
        <v>4.8099999999999996</v>
      </c>
      <c r="G115" s="78">
        <v>0.1</v>
      </c>
      <c r="H115" s="75">
        <v>49.26</v>
      </c>
      <c r="I115" s="75">
        <v>0.53</v>
      </c>
      <c r="J115" s="75">
        <v>80.819999999999993</v>
      </c>
      <c r="K115" s="75">
        <v>1.25</v>
      </c>
      <c r="L115" s="78">
        <v>55</v>
      </c>
      <c r="M115" s="73" t="s">
        <v>207</v>
      </c>
      <c r="N115" s="75">
        <v>96.15</v>
      </c>
      <c r="O115" s="73" t="s">
        <v>207</v>
      </c>
      <c r="P115" s="78">
        <v>328</v>
      </c>
      <c r="Q115" s="75">
        <v>0.36</v>
      </c>
      <c r="R115" s="75">
        <v>31.77</v>
      </c>
      <c r="S115" s="78">
        <v>0.3</v>
      </c>
      <c r="T115" s="75">
        <v>452.22</v>
      </c>
      <c r="U115" s="75">
        <v>0.28000000000000003</v>
      </c>
      <c r="V115" s="78">
        <v>415.3</v>
      </c>
      <c r="W115" s="75">
        <v>0.82</v>
      </c>
      <c r="X115" s="78">
        <v>20</v>
      </c>
      <c r="Y115" s="73" t="s">
        <v>207</v>
      </c>
      <c r="Z115" s="78">
        <v>27</v>
      </c>
      <c r="AA115" s="73" t="s">
        <v>207</v>
      </c>
      <c r="AB115" s="78">
        <v>2</v>
      </c>
      <c r="AC115" s="73" t="s">
        <v>207</v>
      </c>
      <c r="AD115" s="78">
        <v>6</v>
      </c>
      <c r="AE115" s="75">
        <v>145.79</v>
      </c>
      <c r="AF115" s="78">
        <v>37</v>
      </c>
      <c r="AG115" s="75">
        <v>0.31</v>
      </c>
      <c r="AH115" s="75">
        <v>18.88</v>
      </c>
      <c r="AI115" s="73" t="s">
        <v>207</v>
      </c>
      <c r="AJ115" s="75">
        <v>22.66</v>
      </c>
      <c r="AK115" s="75">
        <v>0.04</v>
      </c>
      <c r="AL115" s="75">
        <v>60.84</v>
      </c>
      <c r="AM115" s="73" t="s">
        <v>207</v>
      </c>
      <c r="AN115" s="75">
        <v>22.54</v>
      </c>
      <c r="AO115" s="78">
        <v>0.7</v>
      </c>
      <c r="AP115" s="75">
        <v>23.13</v>
      </c>
      <c r="AQ115" s="75">
        <v>0.01</v>
      </c>
      <c r="AR115" s="75">
        <v>3.64</v>
      </c>
      <c r="AS115" s="73" t="s">
        <v>207</v>
      </c>
      <c r="AT115" s="75">
        <v>3.51</v>
      </c>
      <c r="AU115" s="75">
        <v>80.84</v>
      </c>
      <c r="AV115" s="75">
        <v>5.42</v>
      </c>
      <c r="AW115" s="75">
        <v>9.33</v>
      </c>
      <c r="AX115" s="73" t="s">
        <v>207</v>
      </c>
      <c r="AY115" s="75">
        <v>0.06</v>
      </c>
      <c r="AZ115" s="75">
        <v>52143.89</v>
      </c>
      <c r="BA115" s="78">
        <v>0.6</v>
      </c>
      <c r="BB115" s="75">
        <v>54884.25</v>
      </c>
      <c r="BC115" s="75">
        <v>0.63</v>
      </c>
      <c r="BD115" s="78">
        <v>6871.2</v>
      </c>
      <c r="BE115" s="75">
        <v>0.53</v>
      </c>
      <c r="BF115" s="75">
        <v>67091.55</v>
      </c>
      <c r="BG115" s="75">
        <v>0.32</v>
      </c>
      <c r="BH115" s="78">
        <v>2469.8000000000002</v>
      </c>
      <c r="BI115" s="75">
        <v>0.06</v>
      </c>
      <c r="BJ115" s="75">
        <v>3021.67</v>
      </c>
      <c r="BK115" s="78">
        <v>0.1</v>
      </c>
      <c r="BL115" s="75">
        <v>70823.179999999993</v>
      </c>
      <c r="BM115" s="75">
        <v>0.36</v>
      </c>
      <c r="BN115" s="75">
        <v>87.19</v>
      </c>
      <c r="BO115" s="78">
        <v>0.2</v>
      </c>
      <c r="BP115" s="75">
        <v>77.540000000000006</v>
      </c>
      <c r="BQ115" s="75">
        <v>1.28</v>
      </c>
      <c r="BR115" s="75">
        <v>59607.83</v>
      </c>
      <c r="BS115" s="75">
        <v>0.14000000000000001</v>
      </c>
      <c r="BT115" s="75">
        <v>36786.61</v>
      </c>
      <c r="BU115" s="75">
        <v>8.4600000000000009</v>
      </c>
    </row>
    <row r="116" spans="1:73">
      <c r="A116" s="72" t="s">
        <v>537</v>
      </c>
      <c r="B116" s="76">
        <v>70287.61</v>
      </c>
      <c r="C116" s="76">
        <v>17342.73</v>
      </c>
      <c r="D116" s="76">
        <v>53210.84</v>
      </c>
      <c r="E116" s="76">
        <v>8516.0400000000009</v>
      </c>
      <c r="F116" s="76">
        <v>49298.61</v>
      </c>
      <c r="G116" s="76">
        <v>14116.63</v>
      </c>
      <c r="H116" s="76">
        <v>46453.22</v>
      </c>
      <c r="I116" s="76">
        <v>16812.560000000001</v>
      </c>
      <c r="J116" s="76">
        <v>56910.14</v>
      </c>
      <c r="K116" s="76">
        <v>12097.13</v>
      </c>
      <c r="L116" s="76">
        <v>7061.75</v>
      </c>
      <c r="M116" s="76">
        <v>11276.27</v>
      </c>
      <c r="N116" s="76">
        <v>98221.23</v>
      </c>
      <c r="O116" s="76">
        <v>14277.34</v>
      </c>
      <c r="P116" s="77">
        <v>75920.600000000006</v>
      </c>
      <c r="Q116" s="76">
        <v>15453.74</v>
      </c>
      <c r="R116" s="76">
        <v>38419.03</v>
      </c>
      <c r="S116" s="76">
        <v>14050.35</v>
      </c>
      <c r="T116" s="76">
        <v>57403.85</v>
      </c>
      <c r="U116" s="76">
        <v>15705.53</v>
      </c>
      <c r="V116" s="77">
        <v>60164.1</v>
      </c>
      <c r="W116" s="76">
        <v>14953.84</v>
      </c>
      <c r="X116" s="76">
        <v>52857.97</v>
      </c>
      <c r="Y116" s="76">
        <v>13390.89</v>
      </c>
      <c r="Z116" s="76">
        <v>66777.34</v>
      </c>
      <c r="AA116" s="76">
        <v>11770.36</v>
      </c>
      <c r="AB116" s="76">
        <v>94187.71</v>
      </c>
      <c r="AC116" s="76">
        <v>6711.76</v>
      </c>
      <c r="AD116" s="76">
        <v>89733.06</v>
      </c>
      <c r="AE116" s="76">
        <v>12705.06</v>
      </c>
      <c r="AF116" s="76">
        <v>59606.37</v>
      </c>
      <c r="AG116" s="76">
        <v>15149.31</v>
      </c>
      <c r="AH116" s="76">
        <v>7652.67</v>
      </c>
      <c r="AI116" s="76">
        <v>11570.01</v>
      </c>
      <c r="AJ116" s="76">
        <v>3427.45</v>
      </c>
      <c r="AK116" s="76">
        <v>7322.51</v>
      </c>
      <c r="AL116" s="76">
        <v>14211.98</v>
      </c>
      <c r="AM116" s="76">
        <v>12012.73</v>
      </c>
      <c r="AN116" s="77">
        <v>79039.8</v>
      </c>
      <c r="AO116" s="76">
        <v>12730.81</v>
      </c>
      <c r="AP116" s="76">
        <v>65155.02</v>
      </c>
      <c r="AQ116" s="76">
        <v>15005.68</v>
      </c>
      <c r="AR116" s="76">
        <v>47454.65</v>
      </c>
      <c r="AS116" s="76">
        <v>14746.31</v>
      </c>
      <c r="AT116" s="76">
        <v>72607.73</v>
      </c>
      <c r="AU116" s="76">
        <v>14455.74</v>
      </c>
      <c r="AV116" s="77">
        <v>20998.400000000001</v>
      </c>
      <c r="AW116" s="77">
        <v>62611.4</v>
      </c>
      <c r="AX116" s="77">
        <v>17648.8</v>
      </c>
      <c r="AY116" s="76">
        <v>11858.66</v>
      </c>
      <c r="AZ116" s="76">
        <v>13336.15</v>
      </c>
      <c r="BA116" s="76">
        <v>7154.01</v>
      </c>
      <c r="BB116" s="76">
        <v>9601.06</v>
      </c>
      <c r="BC116" s="76">
        <v>15056.26</v>
      </c>
      <c r="BD116" s="76">
        <v>19216.689999999999</v>
      </c>
      <c r="BE116" s="76">
        <v>14370.85</v>
      </c>
      <c r="BF116" s="76">
        <v>20391.09</v>
      </c>
      <c r="BG116" s="76">
        <v>13674.41</v>
      </c>
      <c r="BH116" s="76">
        <v>7234.47</v>
      </c>
      <c r="BI116" s="76">
        <v>6246.56</v>
      </c>
      <c r="BJ116" s="76">
        <v>12235.37</v>
      </c>
      <c r="BK116" s="76">
        <v>10412.25</v>
      </c>
      <c r="BL116" s="76">
        <v>14445.05</v>
      </c>
      <c r="BM116" s="76">
        <v>9355.2900000000009</v>
      </c>
      <c r="BN116" s="76">
        <v>5224.87</v>
      </c>
      <c r="BO116" s="76">
        <v>14726.62</v>
      </c>
      <c r="BP116" s="76">
        <v>13312.02</v>
      </c>
      <c r="BQ116" s="76">
        <v>10968.46</v>
      </c>
      <c r="BR116" s="76">
        <v>10726.48</v>
      </c>
      <c r="BS116" s="77">
        <v>9126.7000000000007</v>
      </c>
      <c r="BT116" s="76">
        <v>17741.32</v>
      </c>
      <c r="BU116" s="76">
        <v>6371.87</v>
      </c>
    </row>
    <row r="117" spans="1:73">
      <c r="A117" s="72" t="s">
        <v>539</v>
      </c>
      <c r="B117" s="73" t="s">
        <v>207</v>
      </c>
      <c r="C117" s="73" t="s">
        <v>207</v>
      </c>
      <c r="D117" s="73" t="s">
        <v>207</v>
      </c>
      <c r="E117" s="73" t="s">
        <v>207</v>
      </c>
      <c r="F117" s="73" t="s">
        <v>207</v>
      </c>
      <c r="G117" s="73" t="s">
        <v>207</v>
      </c>
      <c r="H117" s="73" t="s">
        <v>207</v>
      </c>
      <c r="I117" s="73" t="s">
        <v>207</v>
      </c>
      <c r="J117" s="73" t="s">
        <v>207</v>
      </c>
      <c r="K117" s="73" t="s">
        <v>207</v>
      </c>
      <c r="L117" s="73" t="s">
        <v>207</v>
      </c>
      <c r="M117" s="73" t="s">
        <v>207</v>
      </c>
      <c r="N117" s="73" t="s">
        <v>207</v>
      </c>
      <c r="O117" s="73" t="s">
        <v>207</v>
      </c>
      <c r="P117" s="73" t="s">
        <v>207</v>
      </c>
      <c r="Q117" s="73" t="s">
        <v>207</v>
      </c>
      <c r="R117" s="73" t="s">
        <v>207</v>
      </c>
      <c r="S117" s="73" t="s">
        <v>207</v>
      </c>
      <c r="T117" s="73" t="s">
        <v>207</v>
      </c>
      <c r="U117" s="73" t="s">
        <v>207</v>
      </c>
      <c r="V117" s="73" t="s">
        <v>207</v>
      </c>
      <c r="W117" s="73" t="s">
        <v>207</v>
      </c>
      <c r="X117" s="73" t="s">
        <v>207</v>
      </c>
      <c r="Y117" s="73" t="s">
        <v>207</v>
      </c>
      <c r="Z117" s="73" t="s">
        <v>207</v>
      </c>
      <c r="AA117" s="73" t="s">
        <v>207</v>
      </c>
      <c r="AB117" s="73" t="s">
        <v>207</v>
      </c>
      <c r="AC117" s="73" t="s">
        <v>207</v>
      </c>
      <c r="AD117" s="73" t="s">
        <v>207</v>
      </c>
      <c r="AE117" s="73" t="s">
        <v>207</v>
      </c>
      <c r="AF117" s="73" t="s">
        <v>207</v>
      </c>
      <c r="AG117" s="73" t="s">
        <v>207</v>
      </c>
      <c r="AH117" s="73" t="s">
        <v>207</v>
      </c>
      <c r="AI117" s="73" t="s">
        <v>207</v>
      </c>
      <c r="AJ117" s="73" t="s">
        <v>207</v>
      </c>
      <c r="AK117" s="73" t="s">
        <v>207</v>
      </c>
      <c r="AL117" s="73" t="s">
        <v>207</v>
      </c>
      <c r="AM117" s="73" t="s">
        <v>207</v>
      </c>
      <c r="AN117" s="73" t="s">
        <v>207</v>
      </c>
      <c r="AO117" s="73" t="s">
        <v>207</v>
      </c>
      <c r="AP117" s="73" t="s">
        <v>207</v>
      </c>
      <c r="AQ117" s="73" t="s">
        <v>207</v>
      </c>
      <c r="AR117" s="73" t="s">
        <v>207</v>
      </c>
      <c r="AS117" s="73" t="s">
        <v>207</v>
      </c>
      <c r="AT117" s="73" t="s">
        <v>207</v>
      </c>
      <c r="AU117" s="73" t="s">
        <v>207</v>
      </c>
      <c r="AV117" s="73" t="s">
        <v>207</v>
      </c>
      <c r="AW117" s="73" t="s">
        <v>207</v>
      </c>
      <c r="AX117" s="73" t="s">
        <v>207</v>
      </c>
      <c r="AY117" s="73" t="s">
        <v>207</v>
      </c>
      <c r="AZ117" s="73" t="s">
        <v>207</v>
      </c>
      <c r="BA117" s="73" t="s">
        <v>207</v>
      </c>
      <c r="BB117" s="73" t="s">
        <v>207</v>
      </c>
      <c r="BC117" s="73" t="s">
        <v>207</v>
      </c>
      <c r="BD117" s="73" t="s">
        <v>207</v>
      </c>
      <c r="BE117" s="73" t="s">
        <v>207</v>
      </c>
      <c r="BF117" s="73" t="s">
        <v>207</v>
      </c>
      <c r="BG117" s="73" t="s">
        <v>207</v>
      </c>
      <c r="BH117" s="73" t="s">
        <v>207</v>
      </c>
      <c r="BI117" s="73" t="s">
        <v>207</v>
      </c>
      <c r="BJ117" s="73" t="s">
        <v>207</v>
      </c>
      <c r="BK117" s="73" t="s">
        <v>207</v>
      </c>
      <c r="BL117" s="73" t="s">
        <v>207</v>
      </c>
      <c r="BM117" s="73" t="s">
        <v>207</v>
      </c>
      <c r="BN117" s="73" t="s">
        <v>207</v>
      </c>
      <c r="BO117" s="73" t="s">
        <v>207</v>
      </c>
      <c r="BP117" s="73" t="s">
        <v>207</v>
      </c>
      <c r="BQ117" s="73" t="s">
        <v>207</v>
      </c>
      <c r="BR117" s="73" t="s">
        <v>207</v>
      </c>
      <c r="BS117" s="73" t="s">
        <v>207</v>
      </c>
      <c r="BT117" s="73" t="s">
        <v>207</v>
      </c>
      <c r="BU117" s="73" t="s">
        <v>207</v>
      </c>
    </row>
    <row r="118" spans="1:73">
      <c r="A118" s="72" t="s">
        <v>541</v>
      </c>
      <c r="B118" s="76">
        <v>163.35</v>
      </c>
      <c r="C118" s="76">
        <v>174.88</v>
      </c>
      <c r="D118" s="76">
        <v>26.79</v>
      </c>
      <c r="E118" s="77">
        <v>0.2</v>
      </c>
      <c r="F118" s="76">
        <v>60.55</v>
      </c>
      <c r="G118" s="76">
        <v>23.48</v>
      </c>
      <c r="H118" s="76">
        <v>66.569999999999993</v>
      </c>
      <c r="I118" s="76">
        <v>268.32</v>
      </c>
      <c r="J118" s="77">
        <v>34.6</v>
      </c>
      <c r="K118" s="76">
        <v>247.43</v>
      </c>
      <c r="L118" s="76">
        <v>0.46</v>
      </c>
      <c r="M118" s="77">
        <v>23.8</v>
      </c>
      <c r="N118" s="76">
        <v>69.92</v>
      </c>
      <c r="O118" s="76">
        <v>33.31</v>
      </c>
      <c r="P118" s="76">
        <v>25.35</v>
      </c>
      <c r="Q118" s="76">
        <v>266.61</v>
      </c>
      <c r="R118" s="76">
        <v>67.95</v>
      </c>
      <c r="S118" s="76">
        <v>15.95</v>
      </c>
      <c r="T118" s="76">
        <v>3.57</v>
      </c>
      <c r="U118" s="76">
        <v>26.08</v>
      </c>
      <c r="V118" s="77">
        <v>3.8</v>
      </c>
      <c r="W118" s="77">
        <v>216.6</v>
      </c>
      <c r="X118" s="76">
        <v>79.28</v>
      </c>
      <c r="Y118" s="76">
        <v>244.48</v>
      </c>
      <c r="Z118" s="76">
        <v>92.58</v>
      </c>
      <c r="AA118" s="76">
        <v>2.0699999999999998</v>
      </c>
      <c r="AB118" s="76">
        <v>5.29</v>
      </c>
      <c r="AC118" s="76">
        <v>0.25</v>
      </c>
      <c r="AD118" s="76">
        <v>1.02</v>
      </c>
      <c r="AE118" s="77">
        <v>0.9</v>
      </c>
      <c r="AF118" s="76">
        <v>2.93</v>
      </c>
      <c r="AG118" s="76">
        <v>5.54</v>
      </c>
      <c r="AH118" s="76">
        <v>92.51</v>
      </c>
      <c r="AI118" s="76">
        <v>4.99</v>
      </c>
      <c r="AJ118" s="76">
        <v>0.27</v>
      </c>
      <c r="AK118" s="77">
        <v>27.6</v>
      </c>
      <c r="AL118" s="76">
        <v>6.39</v>
      </c>
      <c r="AM118" s="76">
        <v>55.26</v>
      </c>
      <c r="AN118" s="76">
        <v>94.63</v>
      </c>
      <c r="AO118" s="76">
        <v>27.96</v>
      </c>
      <c r="AP118" s="76">
        <v>2.23</v>
      </c>
      <c r="AQ118" s="76">
        <v>50.26</v>
      </c>
      <c r="AR118" s="76">
        <v>185.25</v>
      </c>
      <c r="AS118" s="76">
        <v>7.64</v>
      </c>
      <c r="AT118" s="76">
        <v>92.54</v>
      </c>
      <c r="AU118" s="76">
        <v>51.34</v>
      </c>
      <c r="AV118" s="76">
        <v>93.99</v>
      </c>
      <c r="AW118" s="76">
        <v>0.28000000000000003</v>
      </c>
      <c r="AX118" s="76">
        <v>12.61</v>
      </c>
      <c r="AY118" s="76">
        <v>2.69</v>
      </c>
      <c r="AZ118" s="74" t="s">
        <v>207</v>
      </c>
      <c r="BA118" s="76">
        <v>0.13</v>
      </c>
      <c r="BB118" s="77">
        <v>1.9</v>
      </c>
      <c r="BC118" s="77">
        <v>10.5</v>
      </c>
      <c r="BD118" s="76">
        <v>0.01</v>
      </c>
      <c r="BE118" s="76">
        <v>54.38</v>
      </c>
      <c r="BF118" s="76">
        <v>6.19</v>
      </c>
      <c r="BG118" s="76">
        <v>51.91</v>
      </c>
      <c r="BH118" s="76">
        <v>93.15</v>
      </c>
      <c r="BI118" s="76">
        <v>0.57999999999999996</v>
      </c>
      <c r="BJ118" s="74" t="s">
        <v>207</v>
      </c>
      <c r="BK118" s="76">
        <v>58.83</v>
      </c>
      <c r="BL118" s="74" t="s">
        <v>207</v>
      </c>
      <c r="BM118" s="76">
        <v>130.06</v>
      </c>
      <c r="BN118" s="76">
        <v>185.89</v>
      </c>
      <c r="BO118" s="76">
        <v>0.91</v>
      </c>
      <c r="BP118" s="76">
        <v>1.08</v>
      </c>
      <c r="BQ118" s="77">
        <v>3</v>
      </c>
      <c r="BR118" s="77">
        <v>12.8</v>
      </c>
      <c r="BS118" s="76">
        <v>10.07</v>
      </c>
      <c r="BT118" s="77">
        <v>1.9</v>
      </c>
      <c r="BU118" s="76">
        <v>0.27</v>
      </c>
    </row>
    <row r="119" spans="1:73">
      <c r="A119" s="72" t="s">
        <v>543</v>
      </c>
      <c r="B119" s="75">
        <v>827.03</v>
      </c>
      <c r="C119" s="75">
        <v>195.93</v>
      </c>
      <c r="D119" s="75">
        <v>399.99</v>
      </c>
      <c r="E119" s="75">
        <v>101.98</v>
      </c>
      <c r="F119" s="78">
        <v>345.4</v>
      </c>
      <c r="G119" s="75">
        <v>118.74</v>
      </c>
      <c r="H119" s="75">
        <v>378.09</v>
      </c>
      <c r="I119" s="75">
        <v>202.17</v>
      </c>
      <c r="J119" s="75">
        <v>130.97</v>
      </c>
      <c r="K119" s="75">
        <v>125.55</v>
      </c>
      <c r="L119" s="78">
        <v>546.20000000000005</v>
      </c>
      <c r="M119" s="75">
        <v>122.72</v>
      </c>
      <c r="N119" s="75">
        <v>123.56</v>
      </c>
      <c r="O119" s="75">
        <v>139.75</v>
      </c>
      <c r="P119" s="78">
        <v>164.7</v>
      </c>
      <c r="Q119" s="75">
        <v>250.87</v>
      </c>
      <c r="R119" s="75">
        <v>378.39</v>
      </c>
      <c r="S119" s="78">
        <v>309.89999999999998</v>
      </c>
      <c r="T119" s="75">
        <v>149.94999999999999</v>
      </c>
      <c r="U119" s="75">
        <v>122.26</v>
      </c>
      <c r="V119" s="75">
        <v>572.33000000000004</v>
      </c>
      <c r="W119" s="75">
        <v>420.05</v>
      </c>
      <c r="X119" s="75">
        <v>381.18</v>
      </c>
      <c r="Y119" s="75">
        <v>204.68</v>
      </c>
      <c r="Z119" s="75">
        <v>661.11</v>
      </c>
      <c r="AA119" s="75">
        <v>229.03</v>
      </c>
      <c r="AB119" s="75">
        <v>1867.67</v>
      </c>
      <c r="AC119" s="75">
        <v>400.86</v>
      </c>
      <c r="AD119" s="75">
        <v>149.07</v>
      </c>
      <c r="AE119" s="75">
        <v>114.94</v>
      </c>
      <c r="AF119" s="75">
        <v>1869.61</v>
      </c>
      <c r="AG119" s="75">
        <v>376.62</v>
      </c>
      <c r="AH119" s="75">
        <v>344.89</v>
      </c>
      <c r="AI119" s="78">
        <v>303</v>
      </c>
      <c r="AJ119" s="75">
        <v>793.16</v>
      </c>
      <c r="AK119" s="75">
        <v>152.24</v>
      </c>
      <c r="AL119" s="75">
        <v>173.96</v>
      </c>
      <c r="AM119" s="75">
        <v>336.39</v>
      </c>
      <c r="AN119" s="78">
        <v>532.29999999999995</v>
      </c>
      <c r="AO119" s="78">
        <v>93.6</v>
      </c>
      <c r="AP119" s="75">
        <v>270.88</v>
      </c>
      <c r="AQ119" s="78">
        <v>124.7</v>
      </c>
      <c r="AR119" s="75">
        <v>662.59</v>
      </c>
      <c r="AS119" s="78">
        <v>244.9</v>
      </c>
      <c r="AT119" s="75">
        <v>126.74</v>
      </c>
      <c r="AU119" s="75">
        <v>174.14</v>
      </c>
      <c r="AV119" s="75">
        <v>612.82000000000005</v>
      </c>
      <c r="AW119" s="75">
        <v>128.86000000000001</v>
      </c>
      <c r="AX119" s="75">
        <v>656.76</v>
      </c>
      <c r="AY119" s="75">
        <v>156.63999999999999</v>
      </c>
      <c r="AZ119" s="75">
        <v>2822.44</v>
      </c>
      <c r="BA119" s="75">
        <v>253.41</v>
      </c>
      <c r="BB119" s="75">
        <v>355.91</v>
      </c>
      <c r="BC119" s="78">
        <v>159.19999999999999</v>
      </c>
      <c r="BD119" s="75">
        <v>848.86</v>
      </c>
      <c r="BE119" s="75">
        <v>149.84</v>
      </c>
      <c r="BF119" s="78">
        <v>107.9</v>
      </c>
      <c r="BG119" s="75">
        <v>74.959999999999994</v>
      </c>
      <c r="BH119" s="75">
        <v>333.45</v>
      </c>
      <c r="BI119" s="75">
        <v>201.66</v>
      </c>
      <c r="BJ119" s="75">
        <v>382.81</v>
      </c>
      <c r="BK119" s="75">
        <v>245.34</v>
      </c>
      <c r="BL119" s="75">
        <v>1088.58</v>
      </c>
      <c r="BM119" s="75">
        <v>187.49</v>
      </c>
      <c r="BN119" s="75">
        <v>433.28</v>
      </c>
      <c r="BO119" s="75">
        <v>226.55</v>
      </c>
      <c r="BP119" s="75">
        <v>402.45</v>
      </c>
      <c r="BQ119" s="78">
        <v>172.7</v>
      </c>
      <c r="BR119" s="75">
        <v>1692.92</v>
      </c>
      <c r="BS119" s="75">
        <v>383.24</v>
      </c>
      <c r="BT119" s="75">
        <v>1359.09</v>
      </c>
      <c r="BU119" s="75">
        <v>222.87</v>
      </c>
    </row>
    <row r="120" spans="1:73">
      <c r="A120" s="72" t="s">
        <v>545</v>
      </c>
      <c r="B120" s="76">
        <v>136.06</v>
      </c>
      <c r="C120" s="76">
        <v>109.03</v>
      </c>
      <c r="D120" s="76">
        <v>420.92</v>
      </c>
      <c r="E120" s="77">
        <v>1</v>
      </c>
      <c r="F120" s="76">
        <v>620.26</v>
      </c>
      <c r="G120" s="76">
        <v>81.83</v>
      </c>
      <c r="H120" s="76">
        <v>243.89</v>
      </c>
      <c r="I120" s="76">
        <v>101.82</v>
      </c>
      <c r="J120" s="76">
        <v>678.59</v>
      </c>
      <c r="K120" s="76">
        <v>100.29</v>
      </c>
      <c r="L120" s="76">
        <v>1035.95</v>
      </c>
      <c r="M120" s="77">
        <v>104</v>
      </c>
      <c r="N120" s="76">
        <v>226.87</v>
      </c>
      <c r="O120" s="76">
        <v>105.12</v>
      </c>
      <c r="P120" s="76">
        <v>493.01</v>
      </c>
      <c r="Q120" s="76">
        <v>214.72</v>
      </c>
      <c r="R120" s="76">
        <v>415.91</v>
      </c>
      <c r="S120" s="77">
        <v>72.8</v>
      </c>
      <c r="T120" s="76">
        <v>31.93</v>
      </c>
      <c r="U120" s="76">
        <v>68.75</v>
      </c>
      <c r="V120" s="76">
        <v>266.48</v>
      </c>
      <c r="W120" s="76">
        <v>110.15</v>
      </c>
      <c r="X120" s="77">
        <v>191.6</v>
      </c>
      <c r="Y120" s="76">
        <v>118.77</v>
      </c>
      <c r="Z120" s="76">
        <v>178.83</v>
      </c>
      <c r="AA120" s="76">
        <v>98.01</v>
      </c>
      <c r="AB120" s="76">
        <v>604.16</v>
      </c>
      <c r="AC120" s="76">
        <v>126.34</v>
      </c>
      <c r="AD120" s="76">
        <v>1619.56</v>
      </c>
      <c r="AE120" s="76">
        <v>66.87</v>
      </c>
      <c r="AF120" s="76">
        <v>64.150000000000006</v>
      </c>
      <c r="AG120" s="76">
        <v>64.209999999999994</v>
      </c>
      <c r="AH120" s="76">
        <v>39.619999999999997</v>
      </c>
      <c r="AI120" s="76">
        <v>52.58</v>
      </c>
      <c r="AJ120" s="76">
        <v>15.47</v>
      </c>
      <c r="AK120" s="76">
        <v>17.829999999999998</v>
      </c>
      <c r="AL120" s="76">
        <v>1028.53</v>
      </c>
      <c r="AM120" s="76">
        <v>527.61</v>
      </c>
      <c r="AN120" s="76">
        <v>623.04</v>
      </c>
      <c r="AO120" s="76">
        <v>204.91</v>
      </c>
      <c r="AP120" s="76">
        <v>262.55</v>
      </c>
      <c r="AQ120" s="76">
        <v>110.33</v>
      </c>
      <c r="AR120" s="76">
        <v>62.57</v>
      </c>
      <c r="AS120" s="76">
        <v>38.909999999999997</v>
      </c>
      <c r="AT120" s="76">
        <v>17.25</v>
      </c>
      <c r="AU120" s="76">
        <v>57.74</v>
      </c>
      <c r="AV120" s="76">
        <v>370.06</v>
      </c>
      <c r="AW120" s="76">
        <v>274.66000000000003</v>
      </c>
      <c r="AX120" s="77">
        <v>417.5</v>
      </c>
      <c r="AY120" s="76">
        <v>192.84</v>
      </c>
      <c r="AZ120" s="77">
        <v>2611</v>
      </c>
      <c r="BA120" s="76">
        <v>95.16</v>
      </c>
      <c r="BB120" s="76">
        <v>814.92</v>
      </c>
      <c r="BC120" s="76">
        <v>117.77</v>
      </c>
      <c r="BD120" s="77">
        <v>13.5</v>
      </c>
      <c r="BE120" s="77">
        <v>150.6</v>
      </c>
      <c r="BF120" s="76">
        <v>816.81</v>
      </c>
      <c r="BG120" s="76">
        <v>199.47</v>
      </c>
      <c r="BH120" s="77">
        <v>16.600000000000001</v>
      </c>
      <c r="BI120" s="76">
        <v>104.63</v>
      </c>
      <c r="BJ120" s="77">
        <v>56.6</v>
      </c>
      <c r="BK120" s="76">
        <v>174.35</v>
      </c>
      <c r="BL120" s="76">
        <v>209.77</v>
      </c>
      <c r="BM120" s="76">
        <v>137.09</v>
      </c>
      <c r="BN120" s="77">
        <v>1638.9</v>
      </c>
      <c r="BO120" s="76">
        <v>885.91</v>
      </c>
      <c r="BP120" s="76">
        <v>221.08</v>
      </c>
      <c r="BQ120" s="76">
        <v>152.19</v>
      </c>
      <c r="BR120" s="77">
        <v>279.89999999999998</v>
      </c>
      <c r="BS120" s="76">
        <v>29.75</v>
      </c>
      <c r="BT120" s="76">
        <v>940.41</v>
      </c>
      <c r="BU120" s="76">
        <v>1087.18</v>
      </c>
    </row>
    <row r="121" spans="1:73">
      <c r="A121" s="72" t="s">
        <v>547</v>
      </c>
      <c r="B121" s="75">
        <v>971.04</v>
      </c>
      <c r="C121" s="75">
        <v>390.88</v>
      </c>
      <c r="D121" s="75">
        <v>346.86</v>
      </c>
      <c r="E121" s="75">
        <v>81.94</v>
      </c>
      <c r="F121" s="75">
        <v>469.31</v>
      </c>
      <c r="G121" s="75">
        <v>1072.01</v>
      </c>
      <c r="H121" s="75">
        <v>1019.03</v>
      </c>
      <c r="I121" s="75">
        <v>267.74</v>
      </c>
      <c r="J121" s="75">
        <v>489.49</v>
      </c>
      <c r="K121" s="75">
        <v>596.19000000000005</v>
      </c>
      <c r="L121" s="75">
        <v>918.38</v>
      </c>
      <c r="M121" s="75">
        <v>161.09</v>
      </c>
      <c r="N121" s="78">
        <v>446.2</v>
      </c>
      <c r="O121" s="75">
        <v>513.07000000000005</v>
      </c>
      <c r="P121" s="75">
        <v>558.34</v>
      </c>
      <c r="Q121" s="75">
        <v>366.99</v>
      </c>
      <c r="R121" s="75">
        <v>495.27</v>
      </c>
      <c r="S121" s="75">
        <v>785.56</v>
      </c>
      <c r="T121" s="75">
        <v>668.64</v>
      </c>
      <c r="U121" s="75">
        <v>258.12</v>
      </c>
      <c r="V121" s="75">
        <v>703.39</v>
      </c>
      <c r="W121" s="75">
        <v>133.13</v>
      </c>
      <c r="X121" s="75">
        <v>328.34</v>
      </c>
      <c r="Y121" s="78">
        <v>420.8</v>
      </c>
      <c r="Z121" s="75">
        <v>1003.36</v>
      </c>
      <c r="AA121" s="75">
        <v>193.08</v>
      </c>
      <c r="AB121" s="75">
        <v>511.72</v>
      </c>
      <c r="AC121" s="75">
        <v>141.31</v>
      </c>
      <c r="AD121" s="75">
        <v>758.06</v>
      </c>
      <c r="AE121" s="75">
        <v>530.55999999999995</v>
      </c>
      <c r="AF121" s="75">
        <v>1326.26</v>
      </c>
      <c r="AG121" s="75">
        <v>386.33</v>
      </c>
      <c r="AH121" s="75">
        <v>720.73</v>
      </c>
      <c r="AI121" s="75">
        <v>265.89</v>
      </c>
      <c r="AJ121" s="78">
        <v>666.1</v>
      </c>
      <c r="AK121" s="75">
        <v>111.34</v>
      </c>
      <c r="AL121" s="75">
        <v>1053.22</v>
      </c>
      <c r="AM121" s="75">
        <v>189.58</v>
      </c>
      <c r="AN121" s="75">
        <v>1009.42</v>
      </c>
      <c r="AO121" s="75">
        <v>383.85</v>
      </c>
      <c r="AP121" s="75">
        <v>1219.67</v>
      </c>
      <c r="AQ121" s="78">
        <v>768</v>
      </c>
      <c r="AR121" s="75">
        <v>1080.6099999999999</v>
      </c>
      <c r="AS121" s="75">
        <v>478.63</v>
      </c>
      <c r="AT121" s="75">
        <v>854.25</v>
      </c>
      <c r="AU121" s="75">
        <v>507.45</v>
      </c>
      <c r="AV121" s="78">
        <v>667.3</v>
      </c>
      <c r="AW121" s="75">
        <v>617.32000000000005</v>
      </c>
      <c r="AX121" s="75">
        <v>1165.24</v>
      </c>
      <c r="AY121" s="75">
        <v>371.43</v>
      </c>
      <c r="AZ121" s="75">
        <v>1102.08</v>
      </c>
      <c r="BA121" s="75">
        <v>171.63</v>
      </c>
      <c r="BB121" s="75">
        <v>668.08</v>
      </c>
      <c r="BC121" s="75">
        <v>168.08</v>
      </c>
      <c r="BD121" s="75">
        <v>837.81</v>
      </c>
      <c r="BE121" s="75">
        <v>410.04</v>
      </c>
      <c r="BF121" s="75">
        <v>1040.07</v>
      </c>
      <c r="BG121" s="75">
        <v>130.38999999999999</v>
      </c>
      <c r="BH121" s="75">
        <v>898.58</v>
      </c>
      <c r="BI121" s="75">
        <v>133.22</v>
      </c>
      <c r="BJ121" s="78">
        <v>1031.8</v>
      </c>
      <c r="BK121" s="75">
        <v>205.91</v>
      </c>
      <c r="BL121" s="75">
        <v>608.30999999999995</v>
      </c>
      <c r="BM121" s="75">
        <v>218.51</v>
      </c>
      <c r="BN121" s="75">
        <v>710.25</v>
      </c>
      <c r="BO121" s="75">
        <v>262.20999999999998</v>
      </c>
      <c r="BP121" s="75">
        <v>1037.0899999999999</v>
      </c>
      <c r="BQ121" s="75">
        <v>474.93</v>
      </c>
      <c r="BR121" s="75">
        <v>1145.21</v>
      </c>
      <c r="BS121" s="75">
        <v>140.27000000000001</v>
      </c>
      <c r="BT121" s="75">
        <v>722.95</v>
      </c>
      <c r="BU121" s="75">
        <v>653.09</v>
      </c>
    </row>
    <row r="122" spans="1:73">
      <c r="A122" s="72" t="s">
        <v>549</v>
      </c>
      <c r="B122" s="74" t="s">
        <v>207</v>
      </c>
      <c r="C122" s="74" t="s">
        <v>207</v>
      </c>
      <c r="D122" s="74" t="s">
        <v>207</v>
      </c>
      <c r="E122" s="74" t="s">
        <v>207</v>
      </c>
      <c r="F122" s="74" t="s">
        <v>207</v>
      </c>
      <c r="G122" s="74" t="s">
        <v>207</v>
      </c>
      <c r="H122" s="74" t="s">
        <v>207</v>
      </c>
      <c r="I122" s="74" t="s">
        <v>207</v>
      </c>
      <c r="J122" s="74" t="s">
        <v>207</v>
      </c>
      <c r="K122" s="74" t="s">
        <v>207</v>
      </c>
      <c r="L122" s="74" t="s">
        <v>207</v>
      </c>
      <c r="M122" s="74" t="s">
        <v>207</v>
      </c>
      <c r="N122" s="74" t="s">
        <v>207</v>
      </c>
      <c r="O122" s="74" t="s">
        <v>207</v>
      </c>
      <c r="P122" s="74" t="s">
        <v>207</v>
      </c>
      <c r="Q122" s="74" t="s">
        <v>207</v>
      </c>
      <c r="R122" s="74" t="s">
        <v>207</v>
      </c>
      <c r="S122" s="74" t="s">
        <v>207</v>
      </c>
      <c r="T122" s="74" t="s">
        <v>207</v>
      </c>
      <c r="U122" s="74" t="s">
        <v>207</v>
      </c>
      <c r="V122" s="74" t="s">
        <v>207</v>
      </c>
      <c r="W122" s="74" t="s">
        <v>207</v>
      </c>
      <c r="X122" s="74" t="s">
        <v>207</v>
      </c>
      <c r="Y122" s="74" t="s">
        <v>207</v>
      </c>
      <c r="Z122" s="74" t="s">
        <v>207</v>
      </c>
      <c r="AA122" s="74" t="s">
        <v>207</v>
      </c>
      <c r="AB122" s="74" t="s">
        <v>207</v>
      </c>
      <c r="AC122" s="74" t="s">
        <v>207</v>
      </c>
      <c r="AD122" s="74" t="s">
        <v>207</v>
      </c>
      <c r="AE122" s="74" t="s">
        <v>207</v>
      </c>
      <c r="AF122" s="74" t="s">
        <v>207</v>
      </c>
      <c r="AG122" s="74" t="s">
        <v>207</v>
      </c>
      <c r="AH122" s="74" t="s">
        <v>207</v>
      </c>
      <c r="AI122" s="74" t="s">
        <v>207</v>
      </c>
      <c r="AJ122" s="74" t="s">
        <v>207</v>
      </c>
      <c r="AK122" s="74" t="s">
        <v>207</v>
      </c>
      <c r="AL122" s="74" t="s">
        <v>207</v>
      </c>
      <c r="AM122" s="74" t="s">
        <v>207</v>
      </c>
      <c r="AN122" s="74" t="s">
        <v>207</v>
      </c>
      <c r="AO122" s="74" t="s">
        <v>207</v>
      </c>
      <c r="AP122" s="74" t="s">
        <v>207</v>
      </c>
      <c r="AQ122" s="74" t="s">
        <v>207</v>
      </c>
      <c r="AR122" s="74" t="s">
        <v>207</v>
      </c>
      <c r="AS122" s="74" t="s">
        <v>207</v>
      </c>
      <c r="AT122" s="74" t="s">
        <v>207</v>
      </c>
      <c r="AU122" s="74" t="s">
        <v>207</v>
      </c>
      <c r="AV122" s="74" t="s">
        <v>207</v>
      </c>
      <c r="AW122" s="74" t="s">
        <v>207</v>
      </c>
      <c r="AX122" s="74" t="s">
        <v>207</v>
      </c>
      <c r="AY122" s="74" t="s">
        <v>207</v>
      </c>
      <c r="AZ122" s="74" t="s">
        <v>207</v>
      </c>
      <c r="BA122" s="74" t="s">
        <v>207</v>
      </c>
      <c r="BB122" s="74" t="s">
        <v>207</v>
      </c>
      <c r="BC122" s="74" t="s">
        <v>207</v>
      </c>
      <c r="BD122" s="74" t="s">
        <v>207</v>
      </c>
      <c r="BE122" s="74" t="s">
        <v>207</v>
      </c>
      <c r="BF122" s="74" t="s">
        <v>207</v>
      </c>
      <c r="BG122" s="74" t="s">
        <v>207</v>
      </c>
      <c r="BH122" s="74" t="s">
        <v>207</v>
      </c>
      <c r="BI122" s="74" t="s">
        <v>207</v>
      </c>
      <c r="BJ122" s="74" t="s">
        <v>207</v>
      </c>
      <c r="BK122" s="74" t="s">
        <v>207</v>
      </c>
      <c r="BL122" s="74" t="s">
        <v>207</v>
      </c>
      <c r="BM122" s="74" t="s">
        <v>207</v>
      </c>
      <c r="BN122" s="74" t="s">
        <v>207</v>
      </c>
      <c r="BO122" s="74" t="s">
        <v>207</v>
      </c>
      <c r="BP122" s="74" t="s">
        <v>207</v>
      </c>
      <c r="BQ122" s="74" t="s">
        <v>207</v>
      </c>
      <c r="BR122" s="74" t="s">
        <v>207</v>
      </c>
      <c r="BS122" s="74" t="s">
        <v>207</v>
      </c>
      <c r="BT122" s="74" t="s">
        <v>207</v>
      </c>
      <c r="BU122" s="74" t="s">
        <v>207</v>
      </c>
    </row>
    <row r="123" spans="1:73">
      <c r="A123" s="72" t="s">
        <v>551</v>
      </c>
      <c r="B123" s="73" t="s">
        <v>207</v>
      </c>
      <c r="C123" s="73" t="s">
        <v>207</v>
      </c>
      <c r="D123" s="73" t="s">
        <v>207</v>
      </c>
      <c r="E123" s="73" t="s">
        <v>207</v>
      </c>
      <c r="F123" s="73" t="s">
        <v>207</v>
      </c>
      <c r="G123" s="73" t="s">
        <v>207</v>
      </c>
      <c r="H123" s="73" t="s">
        <v>207</v>
      </c>
      <c r="I123" s="73" t="s">
        <v>207</v>
      </c>
      <c r="J123" s="73" t="s">
        <v>207</v>
      </c>
      <c r="K123" s="73" t="s">
        <v>207</v>
      </c>
      <c r="L123" s="73" t="s">
        <v>207</v>
      </c>
      <c r="M123" s="73" t="s">
        <v>207</v>
      </c>
      <c r="N123" s="73" t="s">
        <v>207</v>
      </c>
      <c r="O123" s="73" t="s">
        <v>207</v>
      </c>
      <c r="P123" s="73" t="s">
        <v>207</v>
      </c>
      <c r="Q123" s="73" t="s">
        <v>207</v>
      </c>
      <c r="R123" s="73" t="s">
        <v>207</v>
      </c>
      <c r="S123" s="73" t="s">
        <v>207</v>
      </c>
      <c r="T123" s="73" t="s">
        <v>207</v>
      </c>
      <c r="U123" s="73" t="s">
        <v>207</v>
      </c>
      <c r="V123" s="73" t="s">
        <v>207</v>
      </c>
      <c r="W123" s="73" t="s">
        <v>207</v>
      </c>
      <c r="X123" s="73" t="s">
        <v>207</v>
      </c>
      <c r="Y123" s="73" t="s">
        <v>207</v>
      </c>
      <c r="Z123" s="73" t="s">
        <v>207</v>
      </c>
      <c r="AA123" s="73" t="s">
        <v>207</v>
      </c>
      <c r="AB123" s="73" t="s">
        <v>207</v>
      </c>
      <c r="AC123" s="73" t="s">
        <v>207</v>
      </c>
      <c r="AD123" s="73" t="s">
        <v>207</v>
      </c>
      <c r="AE123" s="73" t="s">
        <v>207</v>
      </c>
      <c r="AF123" s="73" t="s">
        <v>207</v>
      </c>
      <c r="AG123" s="73" t="s">
        <v>207</v>
      </c>
      <c r="AH123" s="73" t="s">
        <v>207</v>
      </c>
      <c r="AI123" s="73" t="s">
        <v>207</v>
      </c>
      <c r="AJ123" s="73" t="s">
        <v>207</v>
      </c>
      <c r="AK123" s="73" t="s">
        <v>207</v>
      </c>
      <c r="AL123" s="73" t="s">
        <v>207</v>
      </c>
      <c r="AM123" s="73" t="s">
        <v>207</v>
      </c>
      <c r="AN123" s="73" t="s">
        <v>207</v>
      </c>
      <c r="AO123" s="73" t="s">
        <v>207</v>
      </c>
      <c r="AP123" s="73" t="s">
        <v>207</v>
      </c>
      <c r="AQ123" s="73" t="s">
        <v>207</v>
      </c>
      <c r="AR123" s="73" t="s">
        <v>207</v>
      </c>
      <c r="AS123" s="73" t="s">
        <v>207</v>
      </c>
      <c r="AT123" s="73" t="s">
        <v>207</v>
      </c>
      <c r="AU123" s="73" t="s">
        <v>207</v>
      </c>
      <c r="AV123" s="73" t="s">
        <v>207</v>
      </c>
      <c r="AW123" s="73" t="s">
        <v>207</v>
      </c>
      <c r="AX123" s="73" t="s">
        <v>207</v>
      </c>
      <c r="AY123" s="73" t="s">
        <v>207</v>
      </c>
      <c r="AZ123" s="73" t="s">
        <v>207</v>
      </c>
      <c r="BA123" s="73" t="s">
        <v>207</v>
      </c>
      <c r="BB123" s="73" t="s">
        <v>207</v>
      </c>
      <c r="BC123" s="73" t="s">
        <v>207</v>
      </c>
      <c r="BD123" s="73" t="s">
        <v>207</v>
      </c>
      <c r="BE123" s="73" t="s">
        <v>207</v>
      </c>
      <c r="BF123" s="73" t="s">
        <v>207</v>
      </c>
      <c r="BG123" s="73" t="s">
        <v>207</v>
      </c>
      <c r="BH123" s="73" t="s">
        <v>207</v>
      </c>
      <c r="BI123" s="73" t="s">
        <v>207</v>
      </c>
      <c r="BJ123" s="73" t="s">
        <v>207</v>
      </c>
      <c r="BK123" s="73" t="s">
        <v>207</v>
      </c>
      <c r="BL123" s="73" t="s">
        <v>207</v>
      </c>
      <c r="BM123" s="73" t="s">
        <v>207</v>
      </c>
      <c r="BN123" s="73" t="s">
        <v>207</v>
      </c>
      <c r="BO123" s="73" t="s">
        <v>207</v>
      </c>
      <c r="BP123" s="73" t="s">
        <v>207</v>
      </c>
      <c r="BQ123" s="73" t="s">
        <v>207</v>
      </c>
      <c r="BR123" s="73" t="s">
        <v>207</v>
      </c>
      <c r="BS123" s="73" t="s">
        <v>207</v>
      </c>
      <c r="BT123" s="73" t="s">
        <v>207</v>
      </c>
      <c r="BU123" s="73" t="s">
        <v>207</v>
      </c>
    </row>
    <row r="124" spans="1:73">
      <c r="A124" s="72" t="s">
        <v>553</v>
      </c>
      <c r="B124" s="74" t="s">
        <v>207</v>
      </c>
      <c r="C124" s="74" t="s">
        <v>207</v>
      </c>
      <c r="D124" s="74" t="s">
        <v>207</v>
      </c>
      <c r="E124" s="74" t="s">
        <v>207</v>
      </c>
      <c r="F124" s="74" t="s">
        <v>207</v>
      </c>
      <c r="G124" s="74" t="s">
        <v>207</v>
      </c>
      <c r="H124" s="74" t="s">
        <v>207</v>
      </c>
      <c r="I124" s="74" t="s">
        <v>207</v>
      </c>
      <c r="J124" s="74" t="s">
        <v>207</v>
      </c>
      <c r="K124" s="74" t="s">
        <v>207</v>
      </c>
      <c r="L124" s="74" t="s">
        <v>207</v>
      </c>
      <c r="M124" s="74" t="s">
        <v>207</v>
      </c>
      <c r="N124" s="74" t="s">
        <v>207</v>
      </c>
      <c r="O124" s="74" t="s">
        <v>207</v>
      </c>
      <c r="P124" s="74" t="s">
        <v>207</v>
      </c>
      <c r="Q124" s="74" t="s">
        <v>207</v>
      </c>
      <c r="R124" s="74" t="s">
        <v>207</v>
      </c>
      <c r="S124" s="74" t="s">
        <v>207</v>
      </c>
      <c r="T124" s="74" t="s">
        <v>207</v>
      </c>
      <c r="U124" s="74" t="s">
        <v>207</v>
      </c>
      <c r="V124" s="74" t="s">
        <v>207</v>
      </c>
      <c r="W124" s="74" t="s">
        <v>207</v>
      </c>
      <c r="X124" s="74" t="s">
        <v>207</v>
      </c>
      <c r="Y124" s="74" t="s">
        <v>207</v>
      </c>
      <c r="Z124" s="74" t="s">
        <v>207</v>
      </c>
      <c r="AA124" s="74" t="s">
        <v>207</v>
      </c>
      <c r="AB124" s="74" t="s">
        <v>207</v>
      </c>
      <c r="AC124" s="74" t="s">
        <v>207</v>
      </c>
      <c r="AD124" s="74" t="s">
        <v>207</v>
      </c>
      <c r="AE124" s="74" t="s">
        <v>207</v>
      </c>
      <c r="AF124" s="74" t="s">
        <v>207</v>
      </c>
      <c r="AG124" s="74" t="s">
        <v>207</v>
      </c>
      <c r="AH124" s="74" t="s">
        <v>207</v>
      </c>
      <c r="AI124" s="74" t="s">
        <v>207</v>
      </c>
      <c r="AJ124" s="74" t="s">
        <v>207</v>
      </c>
      <c r="AK124" s="74" t="s">
        <v>207</v>
      </c>
      <c r="AL124" s="74" t="s">
        <v>207</v>
      </c>
      <c r="AM124" s="74" t="s">
        <v>207</v>
      </c>
      <c r="AN124" s="74" t="s">
        <v>207</v>
      </c>
      <c r="AO124" s="74" t="s">
        <v>207</v>
      </c>
      <c r="AP124" s="74" t="s">
        <v>207</v>
      </c>
      <c r="AQ124" s="74" t="s">
        <v>207</v>
      </c>
      <c r="AR124" s="74" t="s">
        <v>207</v>
      </c>
      <c r="AS124" s="74" t="s">
        <v>207</v>
      </c>
      <c r="AT124" s="74" t="s">
        <v>207</v>
      </c>
      <c r="AU124" s="74" t="s">
        <v>207</v>
      </c>
      <c r="AV124" s="74" t="s">
        <v>207</v>
      </c>
      <c r="AW124" s="74" t="s">
        <v>207</v>
      </c>
      <c r="AX124" s="76">
        <v>0.06</v>
      </c>
      <c r="AY124" s="76">
        <v>0.02</v>
      </c>
      <c r="AZ124" s="76">
        <v>0.03</v>
      </c>
      <c r="BA124" s="76">
        <v>0.02</v>
      </c>
      <c r="BB124" s="74" t="s">
        <v>207</v>
      </c>
      <c r="BC124" s="76">
        <v>0.01</v>
      </c>
      <c r="BD124" s="76">
        <v>0.05</v>
      </c>
      <c r="BE124" s="76">
        <v>0.05</v>
      </c>
      <c r="BF124" s="74" t="s">
        <v>207</v>
      </c>
      <c r="BG124" s="74" t="s">
        <v>207</v>
      </c>
      <c r="BH124" s="74" t="s">
        <v>207</v>
      </c>
      <c r="BI124" s="74" t="s">
        <v>207</v>
      </c>
      <c r="BJ124" s="74" t="s">
        <v>207</v>
      </c>
      <c r="BK124" s="74" t="s">
        <v>207</v>
      </c>
      <c r="BL124" s="74" t="s">
        <v>207</v>
      </c>
      <c r="BM124" s="74" t="s">
        <v>207</v>
      </c>
      <c r="BN124" s="74" t="s">
        <v>207</v>
      </c>
      <c r="BO124" s="74" t="s">
        <v>207</v>
      </c>
      <c r="BP124" s="77">
        <v>0</v>
      </c>
      <c r="BQ124" s="74" t="s">
        <v>207</v>
      </c>
      <c r="BR124" s="74" t="s">
        <v>207</v>
      </c>
      <c r="BS124" s="76">
        <v>0.59</v>
      </c>
      <c r="BT124" s="74" t="s">
        <v>207</v>
      </c>
      <c r="BU124" s="74" t="s">
        <v>207</v>
      </c>
    </row>
    <row r="125" spans="1:73">
      <c r="A125" s="72" t="s">
        <v>555</v>
      </c>
      <c r="B125" s="73" t="s">
        <v>207</v>
      </c>
      <c r="C125" s="73" t="s">
        <v>207</v>
      </c>
      <c r="D125" s="73" t="s">
        <v>207</v>
      </c>
      <c r="E125" s="73" t="s">
        <v>207</v>
      </c>
      <c r="F125" s="73" t="s">
        <v>207</v>
      </c>
      <c r="G125" s="73" t="s">
        <v>207</v>
      </c>
      <c r="H125" s="73" t="s">
        <v>207</v>
      </c>
      <c r="I125" s="73" t="s">
        <v>207</v>
      </c>
      <c r="J125" s="73" t="s">
        <v>207</v>
      </c>
      <c r="K125" s="73" t="s">
        <v>207</v>
      </c>
      <c r="L125" s="73" t="s">
        <v>207</v>
      </c>
      <c r="M125" s="73" t="s">
        <v>207</v>
      </c>
      <c r="N125" s="73" t="s">
        <v>207</v>
      </c>
      <c r="O125" s="73" t="s">
        <v>207</v>
      </c>
      <c r="P125" s="73" t="s">
        <v>207</v>
      </c>
      <c r="Q125" s="73" t="s">
        <v>207</v>
      </c>
      <c r="R125" s="73" t="s">
        <v>207</v>
      </c>
      <c r="S125" s="73" t="s">
        <v>207</v>
      </c>
      <c r="T125" s="73" t="s">
        <v>207</v>
      </c>
      <c r="U125" s="73" t="s">
        <v>207</v>
      </c>
      <c r="V125" s="73" t="s">
        <v>207</v>
      </c>
      <c r="W125" s="73" t="s">
        <v>207</v>
      </c>
      <c r="X125" s="73" t="s">
        <v>207</v>
      </c>
      <c r="Y125" s="73" t="s">
        <v>207</v>
      </c>
      <c r="Z125" s="73" t="s">
        <v>207</v>
      </c>
      <c r="AA125" s="73" t="s">
        <v>207</v>
      </c>
      <c r="AB125" s="73" t="s">
        <v>207</v>
      </c>
      <c r="AC125" s="73" t="s">
        <v>207</v>
      </c>
      <c r="AD125" s="73" t="s">
        <v>207</v>
      </c>
      <c r="AE125" s="73" t="s">
        <v>207</v>
      </c>
      <c r="AF125" s="73" t="s">
        <v>207</v>
      </c>
      <c r="AG125" s="73" t="s">
        <v>207</v>
      </c>
      <c r="AH125" s="73" t="s">
        <v>207</v>
      </c>
      <c r="AI125" s="73" t="s">
        <v>207</v>
      </c>
      <c r="AJ125" s="73" t="s">
        <v>207</v>
      </c>
      <c r="AK125" s="73" t="s">
        <v>207</v>
      </c>
      <c r="AL125" s="73" t="s">
        <v>207</v>
      </c>
      <c r="AM125" s="73" t="s">
        <v>207</v>
      </c>
      <c r="AN125" s="73" t="s">
        <v>207</v>
      </c>
      <c r="AO125" s="73" t="s">
        <v>207</v>
      </c>
      <c r="AP125" s="73" t="s">
        <v>207</v>
      </c>
      <c r="AQ125" s="73" t="s">
        <v>207</v>
      </c>
      <c r="AR125" s="73" t="s">
        <v>207</v>
      </c>
      <c r="AS125" s="73" t="s">
        <v>207</v>
      </c>
      <c r="AT125" s="73" t="s">
        <v>207</v>
      </c>
      <c r="AU125" s="73" t="s">
        <v>207</v>
      </c>
      <c r="AV125" s="73" t="s">
        <v>207</v>
      </c>
      <c r="AW125" s="73" t="s">
        <v>207</v>
      </c>
      <c r="AX125" s="73" t="s">
        <v>207</v>
      </c>
      <c r="AY125" s="73" t="s">
        <v>207</v>
      </c>
      <c r="AZ125" s="73" t="s">
        <v>207</v>
      </c>
      <c r="BA125" s="73" t="s">
        <v>207</v>
      </c>
      <c r="BB125" s="73" t="s">
        <v>207</v>
      </c>
      <c r="BC125" s="73" t="s">
        <v>207</v>
      </c>
      <c r="BD125" s="73" t="s">
        <v>207</v>
      </c>
      <c r="BE125" s="73" t="s">
        <v>207</v>
      </c>
      <c r="BF125" s="73" t="s">
        <v>207</v>
      </c>
      <c r="BG125" s="73" t="s">
        <v>207</v>
      </c>
      <c r="BH125" s="75">
        <v>1.35</v>
      </c>
      <c r="BI125" s="73" t="s">
        <v>207</v>
      </c>
      <c r="BJ125" s="73" t="s">
        <v>207</v>
      </c>
      <c r="BK125" s="73" t="s">
        <v>207</v>
      </c>
      <c r="BL125" s="73" t="s">
        <v>207</v>
      </c>
      <c r="BM125" s="73" t="s">
        <v>207</v>
      </c>
      <c r="BN125" s="73" t="s">
        <v>207</v>
      </c>
      <c r="BO125" s="73" t="s">
        <v>207</v>
      </c>
      <c r="BP125" s="73" t="s">
        <v>207</v>
      </c>
      <c r="BQ125" s="73" t="s">
        <v>207</v>
      </c>
      <c r="BR125" s="73" t="s">
        <v>207</v>
      </c>
      <c r="BS125" s="73" t="s">
        <v>207</v>
      </c>
      <c r="BT125" s="73" t="s">
        <v>207</v>
      </c>
      <c r="BU125" s="73" t="s">
        <v>207</v>
      </c>
    </row>
    <row r="126" spans="1:73">
      <c r="A126" s="72" t="s">
        <v>557</v>
      </c>
      <c r="B126" s="74" t="s">
        <v>207</v>
      </c>
      <c r="C126" s="74" t="s">
        <v>207</v>
      </c>
      <c r="D126" s="74" t="s">
        <v>207</v>
      </c>
      <c r="E126" s="74" t="s">
        <v>207</v>
      </c>
      <c r="F126" s="74" t="s">
        <v>207</v>
      </c>
      <c r="G126" s="74" t="s">
        <v>207</v>
      </c>
      <c r="H126" s="74" t="s">
        <v>207</v>
      </c>
      <c r="I126" s="74" t="s">
        <v>207</v>
      </c>
      <c r="J126" s="74" t="s">
        <v>207</v>
      </c>
      <c r="K126" s="74" t="s">
        <v>207</v>
      </c>
      <c r="L126" s="74" t="s">
        <v>207</v>
      </c>
      <c r="M126" s="74" t="s">
        <v>207</v>
      </c>
      <c r="N126" s="74" t="s">
        <v>207</v>
      </c>
      <c r="O126" s="74" t="s">
        <v>207</v>
      </c>
      <c r="P126" s="74" t="s">
        <v>207</v>
      </c>
      <c r="Q126" s="74" t="s">
        <v>207</v>
      </c>
      <c r="R126" s="74" t="s">
        <v>207</v>
      </c>
      <c r="S126" s="74" t="s">
        <v>207</v>
      </c>
      <c r="T126" s="74" t="s">
        <v>207</v>
      </c>
      <c r="U126" s="74" t="s">
        <v>207</v>
      </c>
      <c r="V126" s="74" t="s">
        <v>207</v>
      </c>
      <c r="W126" s="74" t="s">
        <v>207</v>
      </c>
      <c r="X126" s="74" t="s">
        <v>207</v>
      </c>
      <c r="Y126" s="74" t="s">
        <v>207</v>
      </c>
      <c r="Z126" s="74" t="s">
        <v>207</v>
      </c>
      <c r="AA126" s="74" t="s">
        <v>207</v>
      </c>
      <c r="AB126" s="74" t="s">
        <v>207</v>
      </c>
      <c r="AC126" s="74" t="s">
        <v>207</v>
      </c>
      <c r="AD126" s="74" t="s">
        <v>207</v>
      </c>
      <c r="AE126" s="74" t="s">
        <v>207</v>
      </c>
      <c r="AF126" s="74" t="s">
        <v>207</v>
      </c>
      <c r="AG126" s="74" t="s">
        <v>207</v>
      </c>
      <c r="AH126" s="74" t="s">
        <v>207</v>
      </c>
      <c r="AI126" s="74" t="s">
        <v>207</v>
      </c>
      <c r="AJ126" s="74" t="s">
        <v>207</v>
      </c>
      <c r="AK126" s="74" t="s">
        <v>207</v>
      </c>
      <c r="AL126" s="74" t="s">
        <v>207</v>
      </c>
      <c r="AM126" s="74" t="s">
        <v>207</v>
      </c>
      <c r="AN126" s="74" t="s">
        <v>207</v>
      </c>
      <c r="AO126" s="74" t="s">
        <v>207</v>
      </c>
      <c r="AP126" s="74" t="s">
        <v>207</v>
      </c>
      <c r="AQ126" s="74" t="s">
        <v>207</v>
      </c>
      <c r="AR126" s="74" t="s">
        <v>207</v>
      </c>
      <c r="AS126" s="74" t="s">
        <v>207</v>
      </c>
      <c r="AT126" s="74" t="s">
        <v>207</v>
      </c>
      <c r="AU126" s="74" t="s">
        <v>207</v>
      </c>
      <c r="AV126" s="74" t="s">
        <v>207</v>
      </c>
      <c r="AW126" s="74" t="s">
        <v>207</v>
      </c>
      <c r="AX126" s="76">
        <v>282.42</v>
      </c>
      <c r="AY126" s="76">
        <v>4.12</v>
      </c>
      <c r="AZ126" s="76">
        <v>181.23</v>
      </c>
      <c r="BA126" s="76">
        <v>82.99</v>
      </c>
      <c r="BB126" s="76">
        <v>1.03</v>
      </c>
      <c r="BC126" s="76">
        <v>2.73</v>
      </c>
      <c r="BD126" s="76">
        <v>0.21</v>
      </c>
      <c r="BE126" s="76">
        <v>83.96</v>
      </c>
      <c r="BF126" s="74" t="s">
        <v>207</v>
      </c>
      <c r="BG126" s="76">
        <v>15.18</v>
      </c>
      <c r="BH126" s="74" t="s">
        <v>207</v>
      </c>
      <c r="BI126" s="77">
        <v>204.8</v>
      </c>
      <c r="BJ126" s="74" t="s">
        <v>207</v>
      </c>
      <c r="BK126" s="77">
        <v>108.3</v>
      </c>
      <c r="BL126" s="76">
        <v>1.95</v>
      </c>
      <c r="BM126" s="74" t="s">
        <v>207</v>
      </c>
      <c r="BN126" s="74" t="s">
        <v>207</v>
      </c>
      <c r="BO126" s="77">
        <v>520.6</v>
      </c>
      <c r="BP126" s="74" t="s">
        <v>207</v>
      </c>
      <c r="BQ126" s="77">
        <v>778</v>
      </c>
      <c r="BR126" s="77">
        <v>180</v>
      </c>
      <c r="BS126" s="77">
        <v>298.3</v>
      </c>
      <c r="BT126" s="74" t="s">
        <v>207</v>
      </c>
      <c r="BU126" s="77">
        <v>255.4</v>
      </c>
    </row>
    <row r="127" spans="1:73">
      <c r="A127" s="72" t="s">
        <v>559</v>
      </c>
      <c r="B127" s="73" t="s">
        <v>207</v>
      </c>
      <c r="C127" s="73" t="s">
        <v>207</v>
      </c>
      <c r="D127" s="73" t="s">
        <v>207</v>
      </c>
      <c r="E127" s="73" t="s">
        <v>207</v>
      </c>
      <c r="F127" s="73" t="s">
        <v>207</v>
      </c>
      <c r="G127" s="73" t="s">
        <v>207</v>
      </c>
      <c r="H127" s="73" t="s">
        <v>207</v>
      </c>
      <c r="I127" s="73" t="s">
        <v>207</v>
      </c>
      <c r="J127" s="73" t="s">
        <v>207</v>
      </c>
      <c r="K127" s="73" t="s">
        <v>207</v>
      </c>
      <c r="L127" s="73" t="s">
        <v>207</v>
      </c>
      <c r="M127" s="73" t="s">
        <v>207</v>
      </c>
      <c r="N127" s="73" t="s">
        <v>207</v>
      </c>
      <c r="O127" s="73" t="s">
        <v>207</v>
      </c>
      <c r="P127" s="73" t="s">
        <v>207</v>
      </c>
      <c r="Q127" s="73" t="s">
        <v>207</v>
      </c>
      <c r="R127" s="73" t="s">
        <v>207</v>
      </c>
      <c r="S127" s="73" t="s">
        <v>207</v>
      </c>
      <c r="T127" s="73" t="s">
        <v>207</v>
      </c>
      <c r="U127" s="73" t="s">
        <v>207</v>
      </c>
      <c r="V127" s="73" t="s">
        <v>207</v>
      </c>
      <c r="W127" s="73" t="s">
        <v>207</v>
      </c>
      <c r="X127" s="73" t="s">
        <v>207</v>
      </c>
      <c r="Y127" s="73" t="s">
        <v>207</v>
      </c>
      <c r="Z127" s="73" t="s">
        <v>207</v>
      </c>
      <c r="AA127" s="73" t="s">
        <v>207</v>
      </c>
      <c r="AB127" s="73" t="s">
        <v>207</v>
      </c>
      <c r="AC127" s="73" t="s">
        <v>207</v>
      </c>
      <c r="AD127" s="73" t="s">
        <v>207</v>
      </c>
      <c r="AE127" s="73" t="s">
        <v>207</v>
      </c>
      <c r="AF127" s="73" t="s">
        <v>207</v>
      </c>
      <c r="AG127" s="73" t="s">
        <v>207</v>
      </c>
      <c r="AH127" s="73" t="s">
        <v>207</v>
      </c>
      <c r="AI127" s="73" t="s">
        <v>207</v>
      </c>
      <c r="AJ127" s="73" t="s">
        <v>207</v>
      </c>
      <c r="AK127" s="73" t="s">
        <v>207</v>
      </c>
      <c r="AL127" s="73" t="s">
        <v>207</v>
      </c>
      <c r="AM127" s="73" t="s">
        <v>207</v>
      </c>
      <c r="AN127" s="73" t="s">
        <v>207</v>
      </c>
      <c r="AO127" s="73" t="s">
        <v>207</v>
      </c>
      <c r="AP127" s="73" t="s">
        <v>207</v>
      </c>
      <c r="AQ127" s="73" t="s">
        <v>207</v>
      </c>
      <c r="AR127" s="73" t="s">
        <v>207</v>
      </c>
      <c r="AS127" s="73" t="s">
        <v>207</v>
      </c>
      <c r="AT127" s="73" t="s">
        <v>207</v>
      </c>
      <c r="AU127" s="73" t="s">
        <v>207</v>
      </c>
      <c r="AV127" s="73" t="s">
        <v>207</v>
      </c>
      <c r="AW127" s="73" t="s">
        <v>207</v>
      </c>
      <c r="AX127" s="73" t="s">
        <v>207</v>
      </c>
      <c r="AY127" s="73" t="s">
        <v>207</v>
      </c>
      <c r="AZ127" s="73" t="s">
        <v>207</v>
      </c>
      <c r="BA127" s="73" t="s">
        <v>207</v>
      </c>
      <c r="BB127" s="73" t="s">
        <v>207</v>
      </c>
      <c r="BC127" s="73" t="s">
        <v>207</v>
      </c>
      <c r="BD127" s="73" t="s">
        <v>207</v>
      </c>
      <c r="BE127" s="73" t="s">
        <v>207</v>
      </c>
      <c r="BF127" s="73" t="s">
        <v>207</v>
      </c>
      <c r="BG127" s="73" t="s">
        <v>207</v>
      </c>
      <c r="BH127" s="73" t="s">
        <v>207</v>
      </c>
      <c r="BI127" s="73" t="s">
        <v>207</v>
      </c>
      <c r="BJ127" s="73" t="s">
        <v>207</v>
      </c>
      <c r="BK127" s="73" t="s">
        <v>207</v>
      </c>
      <c r="BL127" s="73" t="s">
        <v>207</v>
      </c>
      <c r="BM127" s="73" t="s">
        <v>207</v>
      </c>
      <c r="BN127" s="75">
        <v>0.12</v>
      </c>
      <c r="BO127" s="73" t="s">
        <v>207</v>
      </c>
      <c r="BP127" s="73" t="s">
        <v>207</v>
      </c>
      <c r="BQ127" s="73" t="s">
        <v>207</v>
      </c>
      <c r="BR127" s="73" t="s">
        <v>207</v>
      </c>
      <c r="BS127" s="73" t="s">
        <v>207</v>
      </c>
      <c r="BT127" s="73" t="s">
        <v>207</v>
      </c>
      <c r="BU127" s="73" t="s">
        <v>207</v>
      </c>
    </row>
    <row r="128" spans="1:73">
      <c r="A128" s="72" t="s">
        <v>561</v>
      </c>
      <c r="B128" s="74" t="s">
        <v>207</v>
      </c>
      <c r="C128" s="74" t="s">
        <v>207</v>
      </c>
      <c r="D128" s="74" t="s">
        <v>207</v>
      </c>
      <c r="E128" s="74" t="s">
        <v>207</v>
      </c>
      <c r="F128" s="74" t="s">
        <v>207</v>
      </c>
      <c r="G128" s="74" t="s">
        <v>207</v>
      </c>
      <c r="H128" s="74" t="s">
        <v>207</v>
      </c>
      <c r="I128" s="74" t="s">
        <v>207</v>
      </c>
      <c r="J128" s="74" t="s">
        <v>207</v>
      </c>
      <c r="K128" s="74" t="s">
        <v>207</v>
      </c>
      <c r="L128" s="74" t="s">
        <v>207</v>
      </c>
      <c r="M128" s="74" t="s">
        <v>207</v>
      </c>
      <c r="N128" s="74" t="s">
        <v>207</v>
      </c>
      <c r="O128" s="74" t="s">
        <v>207</v>
      </c>
      <c r="P128" s="74" t="s">
        <v>207</v>
      </c>
      <c r="Q128" s="74" t="s">
        <v>207</v>
      </c>
      <c r="R128" s="74" t="s">
        <v>207</v>
      </c>
      <c r="S128" s="74" t="s">
        <v>207</v>
      </c>
      <c r="T128" s="74" t="s">
        <v>207</v>
      </c>
      <c r="U128" s="74" t="s">
        <v>207</v>
      </c>
      <c r="V128" s="74" t="s">
        <v>207</v>
      </c>
      <c r="W128" s="74" t="s">
        <v>207</v>
      </c>
      <c r="X128" s="74" t="s">
        <v>207</v>
      </c>
      <c r="Y128" s="74" t="s">
        <v>207</v>
      </c>
      <c r="Z128" s="74" t="s">
        <v>207</v>
      </c>
      <c r="AA128" s="74" t="s">
        <v>207</v>
      </c>
      <c r="AB128" s="74" t="s">
        <v>207</v>
      </c>
      <c r="AC128" s="74" t="s">
        <v>207</v>
      </c>
      <c r="AD128" s="74" t="s">
        <v>207</v>
      </c>
      <c r="AE128" s="74" t="s">
        <v>207</v>
      </c>
      <c r="AF128" s="74" t="s">
        <v>207</v>
      </c>
      <c r="AG128" s="74" t="s">
        <v>207</v>
      </c>
      <c r="AH128" s="74" t="s">
        <v>207</v>
      </c>
      <c r="AI128" s="74" t="s">
        <v>207</v>
      </c>
      <c r="AJ128" s="74" t="s">
        <v>207</v>
      </c>
      <c r="AK128" s="74" t="s">
        <v>207</v>
      </c>
      <c r="AL128" s="74" t="s">
        <v>207</v>
      </c>
      <c r="AM128" s="74" t="s">
        <v>207</v>
      </c>
      <c r="AN128" s="74" t="s">
        <v>207</v>
      </c>
      <c r="AO128" s="74" t="s">
        <v>207</v>
      </c>
      <c r="AP128" s="74" t="s">
        <v>207</v>
      </c>
      <c r="AQ128" s="74" t="s">
        <v>207</v>
      </c>
      <c r="AR128" s="74" t="s">
        <v>207</v>
      </c>
      <c r="AS128" s="74" t="s">
        <v>207</v>
      </c>
      <c r="AT128" s="74" t="s">
        <v>207</v>
      </c>
      <c r="AU128" s="74" t="s">
        <v>207</v>
      </c>
      <c r="AV128" s="74" t="s">
        <v>207</v>
      </c>
      <c r="AW128" s="74" t="s">
        <v>207</v>
      </c>
      <c r="AX128" s="74" t="s">
        <v>207</v>
      </c>
      <c r="AY128" s="74" t="s">
        <v>207</v>
      </c>
      <c r="AZ128" s="74" t="s">
        <v>207</v>
      </c>
      <c r="BA128" s="74" t="s">
        <v>207</v>
      </c>
      <c r="BB128" s="74" t="s">
        <v>207</v>
      </c>
      <c r="BC128" s="74" t="s">
        <v>207</v>
      </c>
      <c r="BD128" s="74" t="s">
        <v>207</v>
      </c>
      <c r="BE128" s="74" t="s">
        <v>207</v>
      </c>
      <c r="BF128" s="74" t="s">
        <v>207</v>
      </c>
      <c r="BG128" s="74" t="s">
        <v>207</v>
      </c>
      <c r="BH128" s="74" t="s">
        <v>207</v>
      </c>
      <c r="BI128" s="74" t="s">
        <v>207</v>
      </c>
      <c r="BJ128" s="74" t="s">
        <v>207</v>
      </c>
      <c r="BK128" s="74" t="s">
        <v>207</v>
      </c>
      <c r="BL128" s="74" t="s">
        <v>207</v>
      </c>
      <c r="BM128" s="74" t="s">
        <v>207</v>
      </c>
      <c r="BN128" s="74" t="s">
        <v>207</v>
      </c>
      <c r="BO128" s="74" t="s">
        <v>207</v>
      </c>
      <c r="BP128" s="74" t="s">
        <v>207</v>
      </c>
      <c r="BQ128" s="74" t="s">
        <v>207</v>
      </c>
      <c r="BR128" s="74" t="s">
        <v>207</v>
      </c>
      <c r="BS128" s="74" t="s">
        <v>207</v>
      </c>
      <c r="BT128" s="74" t="s">
        <v>207</v>
      </c>
      <c r="BU128" s="74" t="s">
        <v>207</v>
      </c>
    </row>
    <row r="129" spans="1:73">
      <c r="A129" s="72" t="s">
        <v>563</v>
      </c>
      <c r="B129" s="73" t="s">
        <v>207</v>
      </c>
      <c r="C129" s="73" t="s">
        <v>207</v>
      </c>
      <c r="D129" s="73" t="s">
        <v>207</v>
      </c>
      <c r="E129" s="73" t="s">
        <v>207</v>
      </c>
      <c r="F129" s="73" t="s">
        <v>207</v>
      </c>
      <c r="G129" s="73" t="s">
        <v>207</v>
      </c>
      <c r="H129" s="73" t="s">
        <v>207</v>
      </c>
      <c r="I129" s="73" t="s">
        <v>207</v>
      </c>
      <c r="J129" s="73" t="s">
        <v>207</v>
      </c>
      <c r="K129" s="73" t="s">
        <v>207</v>
      </c>
      <c r="L129" s="73" t="s">
        <v>207</v>
      </c>
      <c r="M129" s="73" t="s">
        <v>207</v>
      </c>
      <c r="N129" s="73" t="s">
        <v>207</v>
      </c>
      <c r="O129" s="73" t="s">
        <v>207</v>
      </c>
      <c r="P129" s="73" t="s">
        <v>207</v>
      </c>
      <c r="Q129" s="73" t="s">
        <v>207</v>
      </c>
      <c r="R129" s="73" t="s">
        <v>207</v>
      </c>
      <c r="S129" s="73" t="s">
        <v>207</v>
      </c>
      <c r="T129" s="73" t="s">
        <v>207</v>
      </c>
      <c r="U129" s="73" t="s">
        <v>207</v>
      </c>
      <c r="V129" s="73" t="s">
        <v>207</v>
      </c>
      <c r="W129" s="73" t="s">
        <v>207</v>
      </c>
      <c r="X129" s="73" t="s">
        <v>207</v>
      </c>
      <c r="Y129" s="73" t="s">
        <v>207</v>
      </c>
      <c r="Z129" s="73" t="s">
        <v>207</v>
      </c>
      <c r="AA129" s="73" t="s">
        <v>207</v>
      </c>
      <c r="AB129" s="73" t="s">
        <v>207</v>
      </c>
      <c r="AC129" s="73" t="s">
        <v>207</v>
      </c>
      <c r="AD129" s="73" t="s">
        <v>207</v>
      </c>
      <c r="AE129" s="73" t="s">
        <v>207</v>
      </c>
      <c r="AF129" s="73" t="s">
        <v>207</v>
      </c>
      <c r="AG129" s="73" t="s">
        <v>207</v>
      </c>
      <c r="AH129" s="73" t="s">
        <v>207</v>
      </c>
      <c r="AI129" s="73" t="s">
        <v>207</v>
      </c>
      <c r="AJ129" s="73" t="s">
        <v>207</v>
      </c>
      <c r="AK129" s="73" t="s">
        <v>207</v>
      </c>
      <c r="AL129" s="73" t="s">
        <v>207</v>
      </c>
      <c r="AM129" s="73" t="s">
        <v>207</v>
      </c>
      <c r="AN129" s="73" t="s">
        <v>207</v>
      </c>
      <c r="AO129" s="73" t="s">
        <v>207</v>
      </c>
      <c r="AP129" s="73" t="s">
        <v>207</v>
      </c>
      <c r="AQ129" s="73" t="s">
        <v>207</v>
      </c>
      <c r="AR129" s="73" t="s">
        <v>207</v>
      </c>
      <c r="AS129" s="73" t="s">
        <v>207</v>
      </c>
      <c r="AT129" s="73" t="s">
        <v>207</v>
      </c>
      <c r="AU129" s="73" t="s">
        <v>207</v>
      </c>
      <c r="AV129" s="73" t="s">
        <v>207</v>
      </c>
      <c r="AW129" s="73" t="s">
        <v>207</v>
      </c>
      <c r="AX129" s="75">
        <v>0.09</v>
      </c>
      <c r="AY129" s="75">
        <v>0.67</v>
      </c>
      <c r="AZ129" s="75">
        <v>0.02</v>
      </c>
      <c r="BA129" s="75">
        <v>1.81</v>
      </c>
      <c r="BB129" s="75">
        <v>0.03</v>
      </c>
      <c r="BC129" s="75">
        <v>0.11</v>
      </c>
      <c r="BD129" s="73" t="s">
        <v>207</v>
      </c>
      <c r="BE129" s="75">
        <v>0.03</v>
      </c>
      <c r="BF129" s="73" t="s">
        <v>207</v>
      </c>
      <c r="BG129" s="75">
        <v>0.08</v>
      </c>
      <c r="BH129" s="73" t="s">
        <v>207</v>
      </c>
      <c r="BI129" s="78">
        <v>0.3</v>
      </c>
      <c r="BJ129" s="73" t="s">
        <v>207</v>
      </c>
      <c r="BK129" s="75">
        <v>1.08</v>
      </c>
      <c r="BL129" s="73" t="s">
        <v>207</v>
      </c>
      <c r="BM129" s="73" t="s">
        <v>207</v>
      </c>
      <c r="BN129" s="73" t="s">
        <v>207</v>
      </c>
      <c r="BO129" s="75">
        <v>0.09</v>
      </c>
      <c r="BP129" s="73" t="s">
        <v>207</v>
      </c>
      <c r="BQ129" s="78">
        <v>0.3</v>
      </c>
      <c r="BR129" s="75">
        <v>47.54</v>
      </c>
      <c r="BS129" s="75">
        <v>0.26</v>
      </c>
      <c r="BT129" s="73" t="s">
        <v>207</v>
      </c>
      <c r="BU129" s="73" t="s">
        <v>207</v>
      </c>
    </row>
    <row r="130" spans="1:73">
      <c r="A130" s="72" t="s">
        <v>565</v>
      </c>
      <c r="B130" s="74" t="s">
        <v>207</v>
      </c>
      <c r="C130" s="74" t="s">
        <v>207</v>
      </c>
      <c r="D130" s="74" t="s">
        <v>207</v>
      </c>
      <c r="E130" s="74" t="s">
        <v>207</v>
      </c>
      <c r="F130" s="74" t="s">
        <v>207</v>
      </c>
      <c r="G130" s="74" t="s">
        <v>207</v>
      </c>
      <c r="H130" s="74" t="s">
        <v>207</v>
      </c>
      <c r="I130" s="74" t="s">
        <v>207</v>
      </c>
      <c r="J130" s="74" t="s">
        <v>207</v>
      </c>
      <c r="K130" s="74" t="s">
        <v>207</v>
      </c>
      <c r="L130" s="74" t="s">
        <v>207</v>
      </c>
      <c r="M130" s="74" t="s">
        <v>207</v>
      </c>
      <c r="N130" s="74" t="s">
        <v>207</v>
      </c>
      <c r="O130" s="74" t="s">
        <v>207</v>
      </c>
      <c r="P130" s="74" t="s">
        <v>207</v>
      </c>
      <c r="Q130" s="74" t="s">
        <v>207</v>
      </c>
      <c r="R130" s="74" t="s">
        <v>207</v>
      </c>
      <c r="S130" s="74" t="s">
        <v>207</v>
      </c>
      <c r="T130" s="74" t="s">
        <v>207</v>
      </c>
      <c r="U130" s="74" t="s">
        <v>207</v>
      </c>
      <c r="V130" s="74" t="s">
        <v>207</v>
      </c>
      <c r="W130" s="74" t="s">
        <v>207</v>
      </c>
      <c r="X130" s="74" t="s">
        <v>207</v>
      </c>
      <c r="Y130" s="74" t="s">
        <v>207</v>
      </c>
      <c r="Z130" s="74" t="s">
        <v>207</v>
      </c>
      <c r="AA130" s="74" t="s">
        <v>207</v>
      </c>
      <c r="AB130" s="74" t="s">
        <v>207</v>
      </c>
      <c r="AC130" s="74" t="s">
        <v>207</v>
      </c>
      <c r="AD130" s="74" t="s">
        <v>207</v>
      </c>
      <c r="AE130" s="74" t="s">
        <v>207</v>
      </c>
      <c r="AF130" s="74" t="s">
        <v>207</v>
      </c>
      <c r="AG130" s="74" t="s">
        <v>207</v>
      </c>
      <c r="AH130" s="74" t="s">
        <v>207</v>
      </c>
      <c r="AI130" s="74" t="s">
        <v>207</v>
      </c>
      <c r="AJ130" s="74" t="s">
        <v>207</v>
      </c>
      <c r="AK130" s="74" t="s">
        <v>207</v>
      </c>
      <c r="AL130" s="74" t="s">
        <v>207</v>
      </c>
      <c r="AM130" s="74" t="s">
        <v>207</v>
      </c>
      <c r="AN130" s="74" t="s">
        <v>207</v>
      </c>
      <c r="AO130" s="74" t="s">
        <v>207</v>
      </c>
      <c r="AP130" s="74" t="s">
        <v>207</v>
      </c>
      <c r="AQ130" s="74" t="s">
        <v>207</v>
      </c>
      <c r="AR130" s="74" t="s">
        <v>207</v>
      </c>
      <c r="AS130" s="74" t="s">
        <v>207</v>
      </c>
      <c r="AT130" s="74" t="s">
        <v>207</v>
      </c>
      <c r="AU130" s="74" t="s">
        <v>207</v>
      </c>
      <c r="AV130" s="74" t="s">
        <v>207</v>
      </c>
      <c r="AW130" s="74" t="s">
        <v>207</v>
      </c>
      <c r="AX130" s="76">
        <v>43.99</v>
      </c>
      <c r="AY130" s="76">
        <v>20.69</v>
      </c>
      <c r="AZ130" s="76">
        <v>8.9499999999999993</v>
      </c>
      <c r="BA130" s="77">
        <v>11.5</v>
      </c>
      <c r="BB130" s="76">
        <v>9.48</v>
      </c>
      <c r="BC130" s="76">
        <v>4.9400000000000004</v>
      </c>
      <c r="BD130" s="76">
        <v>6.69</v>
      </c>
      <c r="BE130" s="76">
        <v>6.73</v>
      </c>
      <c r="BF130" s="76">
        <v>0.06</v>
      </c>
      <c r="BG130" s="77">
        <v>0</v>
      </c>
      <c r="BH130" s="76">
        <v>20.92</v>
      </c>
      <c r="BI130" s="76">
        <v>3.53</v>
      </c>
      <c r="BJ130" s="74" t="s">
        <v>207</v>
      </c>
      <c r="BK130" s="77">
        <v>8.8000000000000007</v>
      </c>
      <c r="BL130" s="76">
        <v>0.27</v>
      </c>
      <c r="BM130" s="76">
        <v>376.21</v>
      </c>
      <c r="BN130" s="76">
        <v>237.51</v>
      </c>
      <c r="BO130" s="76">
        <v>12.18</v>
      </c>
      <c r="BP130" s="76">
        <v>4.0599999999999996</v>
      </c>
      <c r="BQ130" s="74" t="s">
        <v>207</v>
      </c>
      <c r="BR130" s="77">
        <v>412.3</v>
      </c>
      <c r="BS130" s="76">
        <v>10.77</v>
      </c>
      <c r="BT130" s="76">
        <v>180.51</v>
      </c>
      <c r="BU130" s="76">
        <v>17.25</v>
      </c>
    </row>
    <row r="131" spans="1:73">
      <c r="A131" s="72" t="s">
        <v>567</v>
      </c>
      <c r="B131" s="73" t="s">
        <v>207</v>
      </c>
      <c r="C131" s="73" t="s">
        <v>207</v>
      </c>
      <c r="D131" s="73" t="s">
        <v>207</v>
      </c>
      <c r="E131" s="73" t="s">
        <v>207</v>
      </c>
      <c r="F131" s="73" t="s">
        <v>207</v>
      </c>
      <c r="G131" s="73" t="s">
        <v>207</v>
      </c>
      <c r="H131" s="73" t="s">
        <v>207</v>
      </c>
      <c r="I131" s="73" t="s">
        <v>207</v>
      </c>
      <c r="J131" s="73" t="s">
        <v>207</v>
      </c>
      <c r="K131" s="73" t="s">
        <v>207</v>
      </c>
      <c r="L131" s="73" t="s">
        <v>207</v>
      </c>
      <c r="M131" s="73" t="s">
        <v>207</v>
      </c>
      <c r="N131" s="73" t="s">
        <v>207</v>
      </c>
      <c r="O131" s="73" t="s">
        <v>207</v>
      </c>
      <c r="P131" s="73" t="s">
        <v>207</v>
      </c>
      <c r="Q131" s="73" t="s">
        <v>207</v>
      </c>
      <c r="R131" s="73" t="s">
        <v>207</v>
      </c>
      <c r="S131" s="73" t="s">
        <v>207</v>
      </c>
      <c r="T131" s="73" t="s">
        <v>207</v>
      </c>
      <c r="U131" s="73" t="s">
        <v>207</v>
      </c>
      <c r="V131" s="73" t="s">
        <v>207</v>
      </c>
      <c r="W131" s="73" t="s">
        <v>207</v>
      </c>
      <c r="X131" s="73" t="s">
        <v>207</v>
      </c>
      <c r="Y131" s="73" t="s">
        <v>207</v>
      </c>
      <c r="Z131" s="73" t="s">
        <v>207</v>
      </c>
      <c r="AA131" s="73" t="s">
        <v>207</v>
      </c>
      <c r="AB131" s="73" t="s">
        <v>207</v>
      </c>
      <c r="AC131" s="73" t="s">
        <v>207</v>
      </c>
      <c r="AD131" s="73" t="s">
        <v>207</v>
      </c>
      <c r="AE131" s="73" t="s">
        <v>207</v>
      </c>
      <c r="AF131" s="73" t="s">
        <v>207</v>
      </c>
      <c r="AG131" s="73" t="s">
        <v>207</v>
      </c>
      <c r="AH131" s="73" t="s">
        <v>207</v>
      </c>
      <c r="AI131" s="73" t="s">
        <v>207</v>
      </c>
      <c r="AJ131" s="73" t="s">
        <v>207</v>
      </c>
      <c r="AK131" s="73" t="s">
        <v>207</v>
      </c>
      <c r="AL131" s="73" t="s">
        <v>207</v>
      </c>
      <c r="AM131" s="73" t="s">
        <v>207</v>
      </c>
      <c r="AN131" s="73" t="s">
        <v>207</v>
      </c>
      <c r="AO131" s="73" t="s">
        <v>207</v>
      </c>
      <c r="AP131" s="73" t="s">
        <v>207</v>
      </c>
      <c r="AQ131" s="73" t="s">
        <v>207</v>
      </c>
      <c r="AR131" s="73" t="s">
        <v>207</v>
      </c>
      <c r="AS131" s="73" t="s">
        <v>207</v>
      </c>
      <c r="AT131" s="73" t="s">
        <v>207</v>
      </c>
      <c r="AU131" s="73" t="s">
        <v>207</v>
      </c>
      <c r="AV131" s="73" t="s">
        <v>207</v>
      </c>
      <c r="AW131" s="73" t="s">
        <v>207</v>
      </c>
      <c r="AX131" s="73" t="s">
        <v>207</v>
      </c>
      <c r="AY131" s="73" t="s">
        <v>207</v>
      </c>
      <c r="AZ131" s="73" t="s">
        <v>207</v>
      </c>
      <c r="BA131" s="73" t="s">
        <v>207</v>
      </c>
      <c r="BB131" s="73" t="s">
        <v>207</v>
      </c>
      <c r="BC131" s="73" t="s">
        <v>207</v>
      </c>
      <c r="BD131" s="73" t="s">
        <v>207</v>
      </c>
      <c r="BE131" s="73" t="s">
        <v>207</v>
      </c>
      <c r="BF131" s="73" t="s">
        <v>207</v>
      </c>
      <c r="BG131" s="73" t="s">
        <v>207</v>
      </c>
      <c r="BH131" s="73" t="s">
        <v>207</v>
      </c>
      <c r="BI131" s="73" t="s">
        <v>207</v>
      </c>
      <c r="BJ131" s="73" t="s">
        <v>207</v>
      </c>
      <c r="BK131" s="73" t="s">
        <v>207</v>
      </c>
      <c r="BL131" s="73" t="s">
        <v>207</v>
      </c>
      <c r="BM131" s="73" t="s">
        <v>207</v>
      </c>
      <c r="BN131" s="73" t="s">
        <v>207</v>
      </c>
      <c r="BO131" s="73" t="s">
        <v>207</v>
      </c>
      <c r="BP131" s="73" t="s">
        <v>207</v>
      </c>
      <c r="BQ131" s="73" t="s">
        <v>207</v>
      </c>
      <c r="BR131" s="73" t="s">
        <v>207</v>
      </c>
      <c r="BS131" s="73" t="s">
        <v>207</v>
      </c>
      <c r="BT131" s="73" t="s">
        <v>207</v>
      </c>
      <c r="BU131" s="73" t="s">
        <v>207</v>
      </c>
    </row>
    <row r="132" spans="1:73">
      <c r="A132" s="72" t="s">
        <v>569</v>
      </c>
      <c r="B132" s="76">
        <v>317.83999999999997</v>
      </c>
      <c r="C132" s="76">
        <v>192.64</v>
      </c>
      <c r="D132" s="76">
        <v>432.76</v>
      </c>
      <c r="E132" s="76">
        <v>66.58</v>
      </c>
      <c r="F132" s="76">
        <v>609.73</v>
      </c>
      <c r="G132" s="76">
        <v>97.43</v>
      </c>
      <c r="H132" s="76">
        <v>629.42999999999995</v>
      </c>
      <c r="I132" s="76">
        <v>292.13</v>
      </c>
      <c r="J132" s="76">
        <v>363.29</v>
      </c>
      <c r="K132" s="76">
        <v>56.79</v>
      </c>
      <c r="L132" s="76">
        <v>886.49</v>
      </c>
      <c r="M132" s="76">
        <v>46.81</v>
      </c>
      <c r="N132" s="76">
        <v>1099.1300000000001</v>
      </c>
      <c r="O132" s="76">
        <v>116.83</v>
      </c>
      <c r="P132" s="76">
        <v>518.69000000000005</v>
      </c>
      <c r="Q132" s="76">
        <v>120.66</v>
      </c>
      <c r="R132" s="76">
        <v>919.03</v>
      </c>
      <c r="S132" s="77">
        <v>215.9</v>
      </c>
      <c r="T132" s="76">
        <v>993.82</v>
      </c>
      <c r="U132" s="77">
        <v>201.3</v>
      </c>
      <c r="V132" s="77">
        <v>570.1</v>
      </c>
      <c r="W132" s="76">
        <v>116.55</v>
      </c>
      <c r="X132" s="76">
        <v>738.75</v>
      </c>
      <c r="Y132" s="76">
        <v>97.94</v>
      </c>
      <c r="Z132" s="76">
        <v>948.56</v>
      </c>
      <c r="AA132" s="76">
        <v>132.52000000000001</v>
      </c>
      <c r="AB132" s="76">
        <v>591.09</v>
      </c>
      <c r="AC132" s="76">
        <v>260.41000000000003</v>
      </c>
      <c r="AD132" s="76">
        <v>774.22</v>
      </c>
      <c r="AE132" s="76">
        <v>224.15</v>
      </c>
      <c r="AF132" s="76">
        <v>629.02</v>
      </c>
      <c r="AG132" s="76">
        <v>64.209999999999994</v>
      </c>
      <c r="AH132" s="76">
        <v>739.26</v>
      </c>
      <c r="AI132" s="77">
        <v>217.7</v>
      </c>
      <c r="AJ132" s="76">
        <v>343.01</v>
      </c>
      <c r="AK132" s="76">
        <v>153.52000000000001</v>
      </c>
      <c r="AL132" s="76">
        <v>271.36</v>
      </c>
      <c r="AM132" s="76">
        <v>179.18</v>
      </c>
      <c r="AN132" s="76">
        <v>372.26</v>
      </c>
      <c r="AO132" s="76">
        <v>76.67</v>
      </c>
      <c r="AP132" s="77">
        <v>717.8</v>
      </c>
      <c r="AQ132" s="76">
        <v>294.27</v>
      </c>
      <c r="AR132" s="76">
        <v>1479.45</v>
      </c>
      <c r="AS132" s="76">
        <v>101.84</v>
      </c>
      <c r="AT132" s="76">
        <v>680.68</v>
      </c>
      <c r="AU132" s="76">
        <v>94.27</v>
      </c>
      <c r="AV132" s="76">
        <v>729.67</v>
      </c>
      <c r="AW132" s="76">
        <v>211.85</v>
      </c>
      <c r="AX132" s="76">
        <v>966.51</v>
      </c>
      <c r="AY132" s="76">
        <v>193.06</v>
      </c>
      <c r="AZ132" s="76">
        <v>327.61</v>
      </c>
      <c r="BA132" s="76">
        <v>191.63</v>
      </c>
      <c r="BB132" s="76">
        <v>594.29</v>
      </c>
      <c r="BC132" s="76">
        <v>100.55</v>
      </c>
      <c r="BD132" s="76">
        <v>928.13</v>
      </c>
      <c r="BE132" s="76">
        <v>224.55</v>
      </c>
      <c r="BF132" s="76">
        <v>326.49</v>
      </c>
      <c r="BG132" s="76">
        <v>172.86</v>
      </c>
      <c r="BH132" s="76">
        <v>318.77</v>
      </c>
      <c r="BI132" s="76">
        <v>347.84</v>
      </c>
      <c r="BJ132" s="76">
        <v>659.88</v>
      </c>
      <c r="BK132" s="76">
        <v>106.08</v>
      </c>
      <c r="BL132" s="76">
        <v>581.98</v>
      </c>
      <c r="BM132" s="76">
        <v>273.31</v>
      </c>
      <c r="BN132" s="76">
        <v>408.83</v>
      </c>
      <c r="BO132" s="76">
        <v>44.55</v>
      </c>
      <c r="BP132" s="76">
        <v>1935.55</v>
      </c>
      <c r="BQ132" s="76">
        <v>67.66</v>
      </c>
      <c r="BR132" s="76">
        <v>479.15</v>
      </c>
      <c r="BS132" s="77">
        <v>148.80000000000001</v>
      </c>
      <c r="BT132" s="76">
        <v>947.03</v>
      </c>
      <c r="BU132" s="76">
        <v>677.58</v>
      </c>
    </row>
    <row r="133" spans="1:73">
      <c r="A133" s="72" t="s">
        <v>571</v>
      </c>
      <c r="B133" s="73" t="s">
        <v>207</v>
      </c>
      <c r="C133" s="73" t="s">
        <v>207</v>
      </c>
      <c r="D133" s="73" t="s">
        <v>207</v>
      </c>
      <c r="E133" s="73" t="s">
        <v>207</v>
      </c>
      <c r="F133" s="73" t="s">
        <v>207</v>
      </c>
      <c r="G133" s="73" t="s">
        <v>207</v>
      </c>
      <c r="H133" s="73" t="s">
        <v>207</v>
      </c>
      <c r="I133" s="73" t="s">
        <v>207</v>
      </c>
      <c r="J133" s="73" t="s">
        <v>207</v>
      </c>
      <c r="K133" s="73" t="s">
        <v>207</v>
      </c>
      <c r="L133" s="73" t="s">
        <v>207</v>
      </c>
      <c r="M133" s="73" t="s">
        <v>207</v>
      </c>
      <c r="N133" s="73" t="s">
        <v>207</v>
      </c>
      <c r="O133" s="73" t="s">
        <v>207</v>
      </c>
      <c r="P133" s="73" t="s">
        <v>207</v>
      </c>
      <c r="Q133" s="73" t="s">
        <v>207</v>
      </c>
      <c r="R133" s="73" t="s">
        <v>207</v>
      </c>
      <c r="S133" s="73" t="s">
        <v>207</v>
      </c>
      <c r="T133" s="73" t="s">
        <v>207</v>
      </c>
      <c r="U133" s="73" t="s">
        <v>207</v>
      </c>
      <c r="V133" s="73" t="s">
        <v>207</v>
      </c>
      <c r="W133" s="73" t="s">
        <v>207</v>
      </c>
      <c r="X133" s="73" t="s">
        <v>207</v>
      </c>
      <c r="Y133" s="73" t="s">
        <v>207</v>
      </c>
      <c r="Z133" s="73" t="s">
        <v>207</v>
      </c>
      <c r="AA133" s="73" t="s">
        <v>207</v>
      </c>
      <c r="AB133" s="73" t="s">
        <v>207</v>
      </c>
      <c r="AC133" s="73" t="s">
        <v>207</v>
      </c>
      <c r="AD133" s="73" t="s">
        <v>207</v>
      </c>
      <c r="AE133" s="73" t="s">
        <v>207</v>
      </c>
      <c r="AF133" s="73" t="s">
        <v>207</v>
      </c>
      <c r="AG133" s="73" t="s">
        <v>207</v>
      </c>
      <c r="AH133" s="73" t="s">
        <v>207</v>
      </c>
      <c r="AI133" s="73" t="s">
        <v>207</v>
      </c>
      <c r="AJ133" s="73" t="s">
        <v>207</v>
      </c>
      <c r="AK133" s="73" t="s">
        <v>207</v>
      </c>
      <c r="AL133" s="73" t="s">
        <v>207</v>
      </c>
      <c r="AM133" s="73" t="s">
        <v>207</v>
      </c>
      <c r="AN133" s="73" t="s">
        <v>207</v>
      </c>
      <c r="AO133" s="73" t="s">
        <v>207</v>
      </c>
      <c r="AP133" s="73" t="s">
        <v>207</v>
      </c>
      <c r="AQ133" s="73" t="s">
        <v>207</v>
      </c>
      <c r="AR133" s="73" t="s">
        <v>207</v>
      </c>
      <c r="AS133" s="73" t="s">
        <v>207</v>
      </c>
      <c r="AT133" s="73" t="s">
        <v>207</v>
      </c>
      <c r="AU133" s="73" t="s">
        <v>207</v>
      </c>
      <c r="AV133" s="73" t="s">
        <v>207</v>
      </c>
      <c r="AW133" s="73" t="s">
        <v>207</v>
      </c>
      <c r="AX133" s="73" t="s">
        <v>207</v>
      </c>
      <c r="AY133" s="73" t="s">
        <v>207</v>
      </c>
      <c r="AZ133" s="73" t="s">
        <v>207</v>
      </c>
      <c r="BA133" s="73" t="s">
        <v>207</v>
      </c>
      <c r="BB133" s="73" t="s">
        <v>207</v>
      </c>
      <c r="BC133" s="73" t="s">
        <v>207</v>
      </c>
      <c r="BD133" s="73" t="s">
        <v>207</v>
      </c>
      <c r="BE133" s="73" t="s">
        <v>207</v>
      </c>
      <c r="BF133" s="73" t="s">
        <v>207</v>
      </c>
      <c r="BG133" s="73" t="s">
        <v>207</v>
      </c>
      <c r="BH133" s="73" t="s">
        <v>207</v>
      </c>
      <c r="BI133" s="73" t="s">
        <v>207</v>
      </c>
      <c r="BJ133" s="73" t="s">
        <v>207</v>
      </c>
      <c r="BK133" s="73" t="s">
        <v>207</v>
      </c>
      <c r="BL133" s="73" t="s">
        <v>207</v>
      </c>
      <c r="BM133" s="73" t="s">
        <v>207</v>
      </c>
      <c r="BN133" s="73" t="s">
        <v>207</v>
      </c>
      <c r="BO133" s="73" t="s">
        <v>207</v>
      </c>
      <c r="BP133" s="73" t="s">
        <v>207</v>
      </c>
      <c r="BQ133" s="73" t="s">
        <v>207</v>
      </c>
      <c r="BR133" s="73" t="s">
        <v>207</v>
      </c>
      <c r="BS133" s="73" t="s">
        <v>207</v>
      </c>
      <c r="BT133" s="73" t="s">
        <v>207</v>
      </c>
      <c r="BU133" s="73" t="s">
        <v>207</v>
      </c>
    </row>
    <row r="134" spans="1:73">
      <c r="A134" s="72" t="s">
        <v>573</v>
      </c>
      <c r="B134" s="74" t="s">
        <v>207</v>
      </c>
      <c r="C134" s="74" t="s">
        <v>207</v>
      </c>
      <c r="D134" s="74" t="s">
        <v>207</v>
      </c>
      <c r="E134" s="74" t="s">
        <v>207</v>
      </c>
      <c r="F134" s="74" t="s">
        <v>207</v>
      </c>
      <c r="G134" s="74" t="s">
        <v>207</v>
      </c>
      <c r="H134" s="74" t="s">
        <v>207</v>
      </c>
      <c r="I134" s="74" t="s">
        <v>207</v>
      </c>
      <c r="J134" s="76">
        <v>1.1100000000000001</v>
      </c>
      <c r="K134" s="74" t="s">
        <v>207</v>
      </c>
      <c r="L134" s="74" t="s">
        <v>207</v>
      </c>
      <c r="M134" s="74" t="s">
        <v>207</v>
      </c>
      <c r="N134" s="76">
        <v>0.23</v>
      </c>
      <c r="O134" s="74" t="s">
        <v>207</v>
      </c>
      <c r="P134" s="74" t="s">
        <v>207</v>
      </c>
      <c r="Q134" s="74" t="s">
        <v>207</v>
      </c>
      <c r="R134" s="76">
        <v>0.05</v>
      </c>
      <c r="S134" s="74" t="s">
        <v>207</v>
      </c>
      <c r="T134" s="74" t="s">
        <v>207</v>
      </c>
      <c r="U134" s="74" t="s">
        <v>207</v>
      </c>
      <c r="V134" s="74" t="s">
        <v>207</v>
      </c>
      <c r="W134" s="74" t="s">
        <v>207</v>
      </c>
      <c r="X134" s="77">
        <v>2</v>
      </c>
      <c r="Y134" s="74" t="s">
        <v>207</v>
      </c>
      <c r="Z134" s="74" t="s">
        <v>207</v>
      </c>
      <c r="AA134" s="76">
        <v>0.01</v>
      </c>
      <c r="AB134" s="76">
        <v>0.02</v>
      </c>
      <c r="AC134" s="74" t="s">
        <v>207</v>
      </c>
      <c r="AD134" s="76">
        <v>0.05</v>
      </c>
      <c r="AE134" s="74" t="s">
        <v>207</v>
      </c>
      <c r="AF134" s="76">
        <v>0.01</v>
      </c>
      <c r="AG134" s="76">
        <v>175.01</v>
      </c>
      <c r="AH134" s="76">
        <v>0.01</v>
      </c>
      <c r="AI134" s="74" t="s">
        <v>207</v>
      </c>
      <c r="AJ134" s="76">
        <v>0.11</v>
      </c>
      <c r="AK134" s="76">
        <v>0.03</v>
      </c>
      <c r="AL134" s="76">
        <v>5.17</v>
      </c>
      <c r="AM134" s="74" t="s">
        <v>207</v>
      </c>
      <c r="AN134" s="76">
        <v>0.52</v>
      </c>
      <c r="AO134" s="76">
        <v>1.62</v>
      </c>
      <c r="AP134" s="76">
        <v>35.549999999999997</v>
      </c>
      <c r="AQ134" s="76">
        <v>175.74</v>
      </c>
      <c r="AR134" s="76">
        <v>18.079999999999998</v>
      </c>
      <c r="AS134" s="74" t="s">
        <v>207</v>
      </c>
      <c r="AT134" s="76">
        <v>12.13</v>
      </c>
      <c r="AU134" s="77">
        <v>4</v>
      </c>
      <c r="AV134" s="76">
        <v>12.21</v>
      </c>
      <c r="AW134" s="76">
        <v>0.01</v>
      </c>
      <c r="AX134" s="76">
        <v>1.64</v>
      </c>
      <c r="AY134" s="76">
        <v>0.54</v>
      </c>
      <c r="AZ134" s="76">
        <v>1.69</v>
      </c>
      <c r="BA134" s="76">
        <v>3.09</v>
      </c>
      <c r="BB134" s="76">
        <v>0.01</v>
      </c>
      <c r="BC134" s="76">
        <v>0.05</v>
      </c>
      <c r="BD134" s="76">
        <v>1.92</v>
      </c>
      <c r="BE134" s="76">
        <v>3.62</v>
      </c>
      <c r="BF134" s="76">
        <v>0.22</v>
      </c>
      <c r="BG134" s="76">
        <v>0.18</v>
      </c>
      <c r="BH134" s="76">
        <v>7.0000000000000007E-2</v>
      </c>
      <c r="BI134" s="76">
        <v>0.19</v>
      </c>
      <c r="BJ134" s="76">
        <v>0.09</v>
      </c>
      <c r="BK134" s="76">
        <v>0.36</v>
      </c>
      <c r="BL134" s="76">
        <v>0.02</v>
      </c>
      <c r="BM134" s="76">
        <v>0.38</v>
      </c>
      <c r="BN134" s="76">
        <v>7.0000000000000007E-2</v>
      </c>
      <c r="BO134" s="76">
        <v>1.97</v>
      </c>
      <c r="BP134" s="76">
        <v>0.01</v>
      </c>
      <c r="BQ134" s="76">
        <v>0.41</v>
      </c>
      <c r="BR134" s="76">
        <v>0.02</v>
      </c>
      <c r="BS134" s="76">
        <v>3.67</v>
      </c>
      <c r="BT134" s="76">
        <v>3.66</v>
      </c>
      <c r="BU134" s="76">
        <v>1.08</v>
      </c>
    </row>
    <row r="135" spans="1:73">
      <c r="A135" s="72" t="s">
        <v>575</v>
      </c>
      <c r="B135" s="75">
        <v>6.12</v>
      </c>
      <c r="C135" s="75">
        <v>0.05</v>
      </c>
      <c r="D135" s="73" t="s">
        <v>207</v>
      </c>
      <c r="E135" s="73" t="s">
        <v>207</v>
      </c>
      <c r="F135" s="73" t="s">
        <v>207</v>
      </c>
      <c r="G135" s="75">
        <v>2.08</v>
      </c>
      <c r="H135" s="75">
        <v>13.59</v>
      </c>
      <c r="I135" s="75">
        <v>2.0499999999999998</v>
      </c>
      <c r="J135" s="73" t="s">
        <v>207</v>
      </c>
      <c r="K135" s="75">
        <v>0.35</v>
      </c>
      <c r="L135" s="78">
        <v>1.2</v>
      </c>
      <c r="M135" s="75">
        <v>0.48</v>
      </c>
      <c r="N135" s="75">
        <v>0.21</v>
      </c>
      <c r="O135" s="75">
        <v>7.08</v>
      </c>
      <c r="P135" s="75">
        <v>0.28999999999999998</v>
      </c>
      <c r="Q135" s="75">
        <v>31.81</v>
      </c>
      <c r="R135" s="75">
        <v>2.11</v>
      </c>
      <c r="S135" s="75">
        <v>7.25</v>
      </c>
      <c r="T135" s="75">
        <v>0.04</v>
      </c>
      <c r="U135" s="75">
        <v>0.76</v>
      </c>
      <c r="V135" s="73" t="s">
        <v>207</v>
      </c>
      <c r="W135" s="75">
        <v>0.14000000000000001</v>
      </c>
      <c r="X135" s="75">
        <v>1.32</v>
      </c>
      <c r="Y135" s="75">
        <v>10.15</v>
      </c>
      <c r="Z135" s="78">
        <v>9.5</v>
      </c>
      <c r="AA135" s="75">
        <v>0.14000000000000001</v>
      </c>
      <c r="AB135" s="75">
        <v>37.869999999999997</v>
      </c>
      <c r="AC135" s="75">
        <v>0.02</v>
      </c>
      <c r="AD135" s="73" t="s">
        <v>207</v>
      </c>
      <c r="AE135" s="75">
        <v>0.04</v>
      </c>
      <c r="AF135" s="75">
        <v>9.14</v>
      </c>
      <c r="AG135" s="75">
        <v>0.02</v>
      </c>
      <c r="AH135" s="75">
        <v>37.880000000000003</v>
      </c>
      <c r="AI135" s="75">
        <v>0.18</v>
      </c>
      <c r="AJ135" s="75">
        <v>46.01</v>
      </c>
      <c r="AK135" s="75">
        <v>0.27</v>
      </c>
      <c r="AL135" s="75">
        <v>0.03</v>
      </c>
      <c r="AM135" s="75">
        <v>0.14000000000000001</v>
      </c>
      <c r="AN135" s="75">
        <v>3.18</v>
      </c>
      <c r="AO135" s="75">
        <v>0.08</v>
      </c>
      <c r="AP135" s="75">
        <v>50.04</v>
      </c>
      <c r="AQ135" s="75">
        <v>7.0000000000000007E-2</v>
      </c>
      <c r="AR135" s="73" t="s">
        <v>207</v>
      </c>
      <c r="AS135" s="75">
        <v>0.08</v>
      </c>
      <c r="AT135" s="73" t="s">
        <v>207</v>
      </c>
      <c r="AU135" s="75">
        <v>0.04</v>
      </c>
      <c r="AV135" s="78">
        <v>50</v>
      </c>
      <c r="AW135" s="78">
        <v>0.1</v>
      </c>
      <c r="AX135" s="75">
        <v>0.05</v>
      </c>
      <c r="AY135" s="75">
        <v>0.12</v>
      </c>
      <c r="AZ135" s="75">
        <v>58.11</v>
      </c>
      <c r="BA135" s="73" t="s">
        <v>207</v>
      </c>
      <c r="BB135" s="75">
        <v>0.25</v>
      </c>
      <c r="BC135" s="75">
        <v>0.13</v>
      </c>
      <c r="BD135" s="75">
        <v>14.25</v>
      </c>
      <c r="BE135" s="75">
        <v>0.22</v>
      </c>
      <c r="BF135" s="75">
        <v>0.96</v>
      </c>
      <c r="BG135" s="75">
        <v>0.85</v>
      </c>
      <c r="BH135" s="73" t="s">
        <v>207</v>
      </c>
      <c r="BI135" s="75">
        <v>0.03</v>
      </c>
      <c r="BJ135" s="75">
        <v>46.85</v>
      </c>
      <c r="BK135" s="75">
        <v>0.02</v>
      </c>
      <c r="BL135" s="75">
        <v>61.04</v>
      </c>
      <c r="BM135" s="75">
        <v>0.26</v>
      </c>
      <c r="BN135" s="75">
        <v>1.82</v>
      </c>
      <c r="BO135" s="75">
        <v>3.45</v>
      </c>
      <c r="BP135" s="75">
        <v>1.54</v>
      </c>
      <c r="BQ135" s="78">
        <v>0.1</v>
      </c>
      <c r="BR135" s="75">
        <v>17.670000000000002</v>
      </c>
      <c r="BS135" s="75">
        <v>0.21</v>
      </c>
      <c r="BT135" s="75">
        <v>78.55</v>
      </c>
      <c r="BU135" s="75">
        <v>7.0000000000000007E-2</v>
      </c>
    </row>
    <row r="136" spans="1:73">
      <c r="A136" s="72" t="s">
        <v>577</v>
      </c>
      <c r="B136" s="74" t="s">
        <v>207</v>
      </c>
      <c r="C136" s="74" t="s">
        <v>207</v>
      </c>
      <c r="D136" s="74" t="s">
        <v>207</v>
      </c>
      <c r="E136" s="74" t="s">
        <v>207</v>
      </c>
      <c r="F136" s="74" t="s">
        <v>207</v>
      </c>
      <c r="G136" s="74" t="s">
        <v>207</v>
      </c>
      <c r="H136" s="74" t="s">
        <v>207</v>
      </c>
      <c r="I136" s="74" t="s">
        <v>207</v>
      </c>
      <c r="J136" s="74" t="s">
        <v>207</v>
      </c>
      <c r="K136" s="74" t="s">
        <v>207</v>
      </c>
      <c r="L136" s="74" t="s">
        <v>207</v>
      </c>
      <c r="M136" s="74" t="s">
        <v>207</v>
      </c>
      <c r="N136" s="74" t="s">
        <v>207</v>
      </c>
      <c r="O136" s="74" t="s">
        <v>207</v>
      </c>
      <c r="P136" s="74" t="s">
        <v>207</v>
      </c>
      <c r="Q136" s="74" t="s">
        <v>207</v>
      </c>
      <c r="R136" s="74" t="s">
        <v>207</v>
      </c>
      <c r="S136" s="74" t="s">
        <v>207</v>
      </c>
      <c r="T136" s="74" t="s">
        <v>207</v>
      </c>
      <c r="U136" s="74" t="s">
        <v>207</v>
      </c>
      <c r="V136" s="74" t="s">
        <v>207</v>
      </c>
      <c r="W136" s="74" t="s">
        <v>207</v>
      </c>
      <c r="X136" s="74" t="s">
        <v>207</v>
      </c>
      <c r="Y136" s="74" t="s">
        <v>207</v>
      </c>
      <c r="Z136" s="77">
        <v>7.6</v>
      </c>
      <c r="AA136" s="74" t="s">
        <v>207</v>
      </c>
      <c r="AB136" s="74" t="s">
        <v>207</v>
      </c>
      <c r="AC136" s="74" t="s">
        <v>207</v>
      </c>
      <c r="AD136" s="74" t="s">
        <v>207</v>
      </c>
      <c r="AE136" s="77">
        <v>0</v>
      </c>
      <c r="AF136" s="77">
        <v>1</v>
      </c>
      <c r="AG136" s="74" t="s">
        <v>207</v>
      </c>
      <c r="AH136" s="74" t="s">
        <v>207</v>
      </c>
      <c r="AI136" s="74" t="s">
        <v>207</v>
      </c>
      <c r="AJ136" s="74" t="s">
        <v>207</v>
      </c>
      <c r="AK136" s="74" t="s">
        <v>207</v>
      </c>
      <c r="AL136" s="77">
        <v>1.9</v>
      </c>
      <c r="AM136" s="74" t="s">
        <v>207</v>
      </c>
      <c r="AN136" s="74" t="s">
        <v>207</v>
      </c>
      <c r="AO136" s="74" t="s">
        <v>207</v>
      </c>
      <c r="AP136" s="74" t="s">
        <v>207</v>
      </c>
      <c r="AQ136" s="74" t="s">
        <v>207</v>
      </c>
      <c r="AR136" s="77">
        <v>9.5</v>
      </c>
      <c r="AS136" s="74" t="s">
        <v>207</v>
      </c>
      <c r="AT136" s="77">
        <v>11.4</v>
      </c>
      <c r="AU136" s="74" t="s">
        <v>207</v>
      </c>
      <c r="AV136" s="76">
        <v>0.75</v>
      </c>
      <c r="AW136" s="74" t="s">
        <v>207</v>
      </c>
      <c r="AX136" s="74" t="s">
        <v>207</v>
      </c>
      <c r="AY136" s="74" t="s">
        <v>207</v>
      </c>
      <c r="AZ136" s="74" t="s">
        <v>207</v>
      </c>
      <c r="BA136" s="74" t="s">
        <v>207</v>
      </c>
      <c r="BB136" s="74" t="s">
        <v>207</v>
      </c>
      <c r="BC136" s="74" t="s">
        <v>207</v>
      </c>
      <c r="BD136" s="76">
        <v>9.39</v>
      </c>
      <c r="BE136" s="77">
        <v>0</v>
      </c>
      <c r="BF136" s="74" t="s">
        <v>207</v>
      </c>
      <c r="BG136" s="77">
        <v>0</v>
      </c>
      <c r="BH136" s="74" t="s">
        <v>207</v>
      </c>
      <c r="BI136" s="74" t="s">
        <v>207</v>
      </c>
      <c r="BJ136" s="74" t="s">
        <v>207</v>
      </c>
      <c r="BK136" s="74" t="s">
        <v>207</v>
      </c>
      <c r="BL136" s="77">
        <v>1.9</v>
      </c>
      <c r="BM136" s="74" t="s">
        <v>207</v>
      </c>
      <c r="BN136" s="74" t="s">
        <v>207</v>
      </c>
      <c r="BO136" s="74" t="s">
        <v>207</v>
      </c>
      <c r="BP136" s="74" t="s">
        <v>207</v>
      </c>
      <c r="BQ136" s="74" t="s">
        <v>207</v>
      </c>
      <c r="BR136" s="76">
        <v>0.75</v>
      </c>
      <c r="BS136" s="74" t="s">
        <v>207</v>
      </c>
      <c r="BT136" s="74" t="s">
        <v>207</v>
      </c>
      <c r="BU136" s="74" t="s">
        <v>207</v>
      </c>
    </row>
    <row r="137" spans="1:73">
      <c r="A137" s="72" t="s">
        <v>579</v>
      </c>
      <c r="B137" s="75">
        <v>0.56000000000000005</v>
      </c>
      <c r="C137" s="75">
        <v>0.06</v>
      </c>
      <c r="D137" s="75">
        <v>0.53</v>
      </c>
      <c r="E137" s="73" t="s">
        <v>207</v>
      </c>
      <c r="F137" s="75">
        <v>0.59</v>
      </c>
      <c r="G137" s="75">
        <v>2.1800000000000002</v>
      </c>
      <c r="H137" s="75">
        <v>0.21</v>
      </c>
      <c r="I137" s="75">
        <v>0.24</v>
      </c>
      <c r="J137" s="75">
        <v>0.23</v>
      </c>
      <c r="K137" s="73" t="s">
        <v>207</v>
      </c>
      <c r="L137" s="78">
        <v>0.2</v>
      </c>
      <c r="M137" s="75">
        <v>0.03</v>
      </c>
      <c r="N137" s="73" t="s">
        <v>207</v>
      </c>
      <c r="O137" s="75">
        <v>0.16</v>
      </c>
      <c r="P137" s="75">
        <v>0.04</v>
      </c>
      <c r="Q137" s="75">
        <v>0.24</v>
      </c>
      <c r="R137" s="73" t="s">
        <v>207</v>
      </c>
      <c r="S137" s="73" t="s">
        <v>207</v>
      </c>
      <c r="T137" s="78">
        <v>1.8</v>
      </c>
      <c r="U137" s="73" t="s">
        <v>207</v>
      </c>
      <c r="V137" s="73" t="s">
        <v>207</v>
      </c>
      <c r="W137" s="75">
        <v>1.37</v>
      </c>
      <c r="X137" s="75">
        <v>26.52</v>
      </c>
      <c r="Y137" s="78">
        <v>0.5</v>
      </c>
      <c r="Z137" s="75">
        <v>61.83</v>
      </c>
      <c r="AA137" s="75">
        <v>0.18</v>
      </c>
      <c r="AB137" s="78">
        <v>72.099999999999994</v>
      </c>
      <c r="AC137" s="75">
        <v>0.09</v>
      </c>
      <c r="AD137" s="75">
        <v>49.64</v>
      </c>
      <c r="AE137" s="75">
        <v>0.02</v>
      </c>
      <c r="AF137" s="75">
        <v>54.52</v>
      </c>
      <c r="AG137" s="75">
        <v>0.14000000000000001</v>
      </c>
      <c r="AH137" s="75">
        <v>55.65</v>
      </c>
      <c r="AI137" s="75">
        <v>1.07</v>
      </c>
      <c r="AJ137" s="75">
        <v>45.13</v>
      </c>
      <c r="AK137" s="73" t="s">
        <v>207</v>
      </c>
      <c r="AL137" s="75">
        <v>33.880000000000003</v>
      </c>
      <c r="AM137" s="75">
        <v>0.59</v>
      </c>
      <c r="AN137" s="75">
        <v>52.97</v>
      </c>
      <c r="AO137" s="75">
        <v>0.32</v>
      </c>
      <c r="AP137" s="78">
        <v>37.5</v>
      </c>
      <c r="AQ137" s="75">
        <v>0.08</v>
      </c>
      <c r="AR137" s="75">
        <v>30.32</v>
      </c>
      <c r="AS137" s="75">
        <v>1.56</v>
      </c>
      <c r="AT137" s="75">
        <v>22.41</v>
      </c>
      <c r="AU137" s="75">
        <v>0.11</v>
      </c>
      <c r="AV137" s="75">
        <v>36.08</v>
      </c>
      <c r="AW137" s="75">
        <v>3.82</v>
      </c>
      <c r="AX137" s="75">
        <v>63.78</v>
      </c>
      <c r="AY137" s="75">
        <v>0.65</v>
      </c>
      <c r="AZ137" s="73" t="s">
        <v>207</v>
      </c>
      <c r="BA137" s="75">
        <v>0.01</v>
      </c>
      <c r="BB137" s="78">
        <v>82.9</v>
      </c>
      <c r="BC137" s="75">
        <v>0.76</v>
      </c>
      <c r="BD137" s="75">
        <v>0.02</v>
      </c>
      <c r="BE137" s="75">
        <v>0.49</v>
      </c>
      <c r="BF137" s="75">
        <v>18.22</v>
      </c>
      <c r="BG137" s="75">
        <v>0.28999999999999998</v>
      </c>
      <c r="BH137" s="73" t="s">
        <v>207</v>
      </c>
      <c r="BI137" s="75">
        <v>0.26</v>
      </c>
      <c r="BJ137" s="75">
        <v>0.37</v>
      </c>
      <c r="BK137" s="75">
        <v>0.62</v>
      </c>
      <c r="BL137" s="75">
        <v>0.12</v>
      </c>
      <c r="BM137" s="75">
        <v>0.73</v>
      </c>
      <c r="BN137" s="75">
        <v>19.260000000000002</v>
      </c>
      <c r="BO137" s="75">
        <v>5.59</v>
      </c>
      <c r="BP137" s="75">
        <v>0.49</v>
      </c>
      <c r="BQ137" s="73" t="s">
        <v>207</v>
      </c>
      <c r="BR137" s="78">
        <v>0</v>
      </c>
      <c r="BS137" s="73" t="s">
        <v>207</v>
      </c>
      <c r="BT137" s="73" t="s">
        <v>207</v>
      </c>
      <c r="BU137" s="75">
        <v>1.53</v>
      </c>
    </row>
    <row r="138" spans="1:73">
      <c r="A138" s="72" t="s">
        <v>581</v>
      </c>
      <c r="B138" s="76">
        <v>1666.55</v>
      </c>
      <c r="C138" s="76">
        <v>1065.26</v>
      </c>
      <c r="D138" s="76">
        <v>2075.66</v>
      </c>
      <c r="E138" s="76">
        <v>767.76</v>
      </c>
      <c r="F138" s="76">
        <v>1873.89</v>
      </c>
      <c r="G138" s="76">
        <v>532.44000000000005</v>
      </c>
      <c r="H138" s="77">
        <v>2812.6</v>
      </c>
      <c r="I138" s="76">
        <v>1056.8900000000001</v>
      </c>
      <c r="J138" s="76">
        <v>1892.36</v>
      </c>
      <c r="K138" s="76">
        <v>1269.44</v>
      </c>
      <c r="L138" s="76">
        <v>2601.9699999999998</v>
      </c>
      <c r="M138" s="76">
        <v>643.32000000000005</v>
      </c>
      <c r="N138" s="76">
        <v>2203.67</v>
      </c>
      <c r="O138" s="76">
        <v>1779.35</v>
      </c>
      <c r="P138" s="76">
        <v>2999.94</v>
      </c>
      <c r="Q138" s="76">
        <v>2226.96</v>
      </c>
      <c r="R138" s="76">
        <v>2887.63</v>
      </c>
      <c r="S138" s="76">
        <v>2020.53</v>
      </c>
      <c r="T138" s="76">
        <v>2256.9699999999998</v>
      </c>
      <c r="U138" s="76">
        <v>962.58</v>
      </c>
      <c r="V138" s="76">
        <v>2675.94</v>
      </c>
      <c r="W138" s="76">
        <v>1157.75</v>
      </c>
      <c r="X138" s="76">
        <v>1032.3399999999999</v>
      </c>
      <c r="Y138" s="76">
        <v>1302.47</v>
      </c>
      <c r="Z138" s="76">
        <v>2137.58</v>
      </c>
      <c r="AA138" s="76">
        <v>1106.3900000000001</v>
      </c>
      <c r="AB138" s="76">
        <v>564.39</v>
      </c>
      <c r="AC138" s="76">
        <v>885.99</v>
      </c>
      <c r="AD138" s="76">
        <v>3482.43</v>
      </c>
      <c r="AE138" s="76">
        <v>2149.0700000000002</v>
      </c>
      <c r="AF138" s="77">
        <v>1972.5</v>
      </c>
      <c r="AG138" s="76">
        <v>3385.46</v>
      </c>
      <c r="AH138" s="76">
        <v>2023.98</v>
      </c>
      <c r="AI138" s="76">
        <v>1080.4100000000001</v>
      </c>
      <c r="AJ138" s="76">
        <v>1900.79</v>
      </c>
      <c r="AK138" s="77">
        <v>2221.1</v>
      </c>
      <c r="AL138" s="76">
        <v>296.85000000000002</v>
      </c>
      <c r="AM138" s="76">
        <v>1428.73</v>
      </c>
      <c r="AN138" s="76">
        <v>2086.89</v>
      </c>
      <c r="AO138" s="76">
        <v>528.04</v>
      </c>
      <c r="AP138" s="76">
        <v>589.80999999999995</v>
      </c>
      <c r="AQ138" s="76">
        <v>695.36</v>
      </c>
      <c r="AR138" s="76">
        <v>1464.06</v>
      </c>
      <c r="AS138" s="76">
        <v>719.55</v>
      </c>
      <c r="AT138" s="76">
        <v>1061.83</v>
      </c>
      <c r="AU138" s="76">
        <v>253.98</v>
      </c>
      <c r="AV138" s="76">
        <v>397.03</v>
      </c>
      <c r="AW138" s="76">
        <v>182.23</v>
      </c>
      <c r="AX138" s="76">
        <v>1011.64</v>
      </c>
      <c r="AY138" s="76">
        <v>90.42</v>
      </c>
      <c r="AZ138" s="76">
        <v>654.54</v>
      </c>
      <c r="BA138" s="76">
        <v>124.17</v>
      </c>
      <c r="BB138" s="76">
        <v>477.87</v>
      </c>
      <c r="BC138" s="76">
        <v>325.85000000000002</v>
      </c>
      <c r="BD138" s="76">
        <v>506.28</v>
      </c>
      <c r="BE138" s="76">
        <v>184.02</v>
      </c>
      <c r="BF138" s="76">
        <v>912.92</v>
      </c>
      <c r="BG138" s="76">
        <v>151.79</v>
      </c>
      <c r="BH138" s="76">
        <v>412.35</v>
      </c>
      <c r="BI138" s="76">
        <v>77.53</v>
      </c>
      <c r="BJ138" s="76">
        <v>591.72</v>
      </c>
      <c r="BK138" s="76">
        <v>141.59</v>
      </c>
      <c r="BL138" s="76">
        <v>741.89</v>
      </c>
      <c r="BM138" s="76">
        <v>124.88</v>
      </c>
      <c r="BN138" s="76">
        <v>219.99</v>
      </c>
      <c r="BO138" s="76">
        <v>210.63</v>
      </c>
      <c r="BP138" s="76">
        <v>1372.69</v>
      </c>
      <c r="BQ138" s="76">
        <v>297.83999999999997</v>
      </c>
      <c r="BR138" s="76">
        <v>521.29</v>
      </c>
      <c r="BS138" s="76">
        <v>115.95</v>
      </c>
      <c r="BT138" s="76">
        <v>909.03</v>
      </c>
      <c r="BU138" s="76">
        <v>174.46</v>
      </c>
    </row>
    <row r="139" spans="1:73">
      <c r="A139" s="72" t="s">
        <v>583</v>
      </c>
      <c r="B139" s="75">
        <v>49.13</v>
      </c>
      <c r="C139" s="75">
        <v>10.88</v>
      </c>
      <c r="D139" s="75">
        <v>83.36</v>
      </c>
      <c r="E139" s="75">
        <v>28.86</v>
      </c>
      <c r="F139" s="75">
        <v>1.87</v>
      </c>
      <c r="G139" s="75">
        <v>32.07</v>
      </c>
      <c r="H139" s="75">
        <v>17.36</v>
      </c>
      <c r="I139" s="75">
        <v>25.17</v>
      </c>
      <c r="J139" s="75">
        <v>25.43</v>
      </c>
      <c r="K139" s="75">
        <v>34.950000000000003</v>
      </c>
      <c r="L139" s="75">
        <v>38.06</v>
      </c>
      <c r="M139" s="75">
        <v>31.14</v>
      </c>
      <c r="N139" s="75">
        <v>4.1399999999999997</v>
      </c>
      <c r="O139" s="75">
        <v>24.46</v>
      </c>
      <c r="P139" s="75">
        <v>34.18</v>
      </c>
      <c r="Q139" s="75">
        <v>31.28</v>
      </c>
      <c r="R139" s="75">
        <v>18.52</v>
      </c>
      <c r="S139" s="75">
        <v>27.02</v>
      </c>
      <c r="T139" s="75">
        <v>44.89</v>
      </c>
      <c r="U139" s="75">
        <v>32.840000000000003</v>
      </c>
      <c r="V139" s="75">
        <v>18.95</v>
      </c>
      <c r="W139" s="78">
        <v>15.2</v>
      </c>
      <c r="X139" s="75">
        <v>26.27</v>
      </c>
      <c r="Y139" s="75">
        <v>14.26</v>
      </c>
      <c r="Z139" s="75">
        <v>41.34</v>
      </c>
      <c r="AA139" s="75">
        <v>23.58</v>
      </c>
      <c r="AB139" s="75">
        <v>80.41</v>
      </c>
      <c r="AC139" s="75">
        <v>5.18</v>
      </c>
      <c r="AD139" s="78">
        <v>14.8</v>
      </c>
      <c r="AE139" s="75">
        <v>8.35</v>
      </c>
      <c r="AF139" s="75">
        <v>24.33</v>
      </c>
      <c r="AG139" s="75">
        <v>17.670000000000002</v>
      </c>
      <c r="AH139" s="75">
        <v>8.57</v>
      </c>
      <c r="AI139" s="75">
        <v>12.35</v>
      </c>
      <c r="AJ139" s="75">
        <v>10.87</v>
      </c>
      <c r="AK139" s="75">
        <v>44.58</v>
      </c>
      <c r="AL139" s="75">
        <v>57.53</v>
      </c>
      <c r="AM139" s="75">
        <v>52.25</v>
      </c>
      <c r="AN139" s="78">
        <v>12</v>
      </c>
      <c r="AO139" s="75">
        <v>21.67</v>
      </c>
      <c r="AP139" s="75">
        <v>53.91</v>
      </c>
      <c r="AQ139" s="75">
        <v>9.61</v>
      </c>
      <c r="AR139" s="75">
        <v>11.86</v>
      </c>
      <c r="AS139" s="75">
        <v>11.99</v>
      </c>
      <c r="AT139" s="75">
        <v>14.81</v>
      </c>
      <c r="AU139" s="75">
        <v>23.51</v>
      </c>
      <c r="AV139" s="75">
        <v>40.25</v>
      </c>
      <c r="AW139" s="75">
        <v>25.19</v>
      </c>
      <c r="AX139" s="75">
        <v>517.94000000000005</v>
      </c>
      <c r="AY139" s="75">
        <v>23.23</v>
      </c>
      <c r="AZ139" s="75">
        <v>143.97</v>
      </c>
      <c r="BA139" s="75">
        <v>13.97</v>
      </c>
      <c r="BB139" s="75">
        <v>208.48</v>
      </c>
      <c r="BC139" s="75">
        <v>13.39</v>
      </c>
      <c r="BD139" s="75">
        <v>1371.02</v>
      </c>
      <c r="BE139" s="75">
        <v>30.65</v>
      </c>
      <c r="BF139" s="75">
        <v>356.86</v>
      </c>
      <c r="BG139" s="78">
        <v>16</v>
      </c>
      <c r="BH139" s="75">
        <v>536.75</v>
      </c>
      <c r="BI139" s="75">
        <v>18.239999999999998</v>
      </c>
      <c r="BJ139" s="75">
        <v>594.72</v>
      </c>
      <c r="BK139" s="75">
        <v>18.73</v>
      </c>
      <c r="BL139" s="78">
        <v>913.5</v>
      </c>
      <c r="BM139" s="75">
        <v>38.94</v>
      </c>
      <c r="BN139" s="75">
        <v>421.74</v>
      </c>
      <c r="BO139" s="75">
        <v>64.84</v>
      </c>
      <c r="BP139" s="75">
        <v>629.77</v>
      </c>
      <c r="BQ139" s="78">
        <v>21</v>
      </c>
      <c r="BR139" s="75">
        <v>741.79</v>
      </c>
      <c r="BS139" s="75">
        <v>9.2899999999999991</v>
      </c>
      <c r="BT139" s="78">
        <v>180.3</v>
      </c>
      <c r="BU139" s="75">
        <v>29.75</v>
      </c>
    </row>
    <row r="140" spans="1:73">
      <c r="A140" s="72" t="s">
        <v>585</v>
      </c>
      <c r="B140" s="76">
        <v>12256.48</v>
      </c>
      <c r="C140" s="76">
        <v>2042.26</v>
      </c>
      <c r="D140" s="76">
        <v>3954.91</v>
      </c>
      <c r="E140" s="76">
        <v>2653.51</v>
      </c>
      <c r="F140" s="76">
        <v>5035.7700000000004</v>
      </c>
      <c r="G140" s="76">
        <v>1137.1400000000001</v>
      </c>
      <c r="H140" s="77">
        <v>2478.5</v>
      </c>
      <c r="I140" s="76">
        <v>2416.04</v>
      </c>
      <c r="J140" s="76">
        <v>4209.34</v>
      </c>
      <c r="K140" s="76">
        <v>2070.64</v>
      </c>
      <c r="L140" s="76">
        <v>18621.740000000002</v>
      </c>
      <c r="M140" s="76">
        <v>6542.05</v>
      </c>
      <c r="N140" s="76">
        <v>5289.06</v>
      </c>
      <c r="O140" s="77">
        <v>1596.8</v>
      </c>
      <c r="P140" s="76">
        <v>4016.99</v>
      </c>
      <c r="Q140" s="76">
        <v>2171.54</v>
      </c>
      <c r="R140" s="77">
        <v>6746</v>
      </c>
      <c r="S140" s="76">
        <v>1836.64</v>
      </c>
      <c r="T140" s="76">
        <v>5072.83</v>
      </c>
      <c r="U140" s="76">
        <v>2239.23</v>
      </c>
      <c r="V140" s="76">
        <v>4675.17</v>
      </c>
      <c r="W140" s="76">
        <v>2063.9499999999998</v>
      </c>
      <c r="X140" s="76">
        <v>6283.02</v>
      </c>
      <c r="Y140" s="77">
        <v>5868</v>
      </c>
      <c r="Z140" s="76">
        <v>9784.49</v>
      </c>
      <c r="AA140" s="76">
        <v>941.38</v>
      </c>
      <c r="AB140" s="76">
        <v>10204.41</v>
      </c>
      <c r="AC140" s="76">
        <v>3769.71</v>
      </c>
      <c r="AD140" s="76">
        <v>8438.7900000000009</v>
      </c>
      <c r="AE140" s="76">
        <v>2409.84</v>
      </c>
      <c r="AF140" s="76">
        <v>15033.72</v>
      </c>
      <c r="AG140" s="76">
        <v>1757.09</v>
      </c>
      <c r="AH140" s="76">
        <v>16377.98</v>
      </c>
      <c r="AI140" s="76">
        <v>1081.8800000000001</v>
      </c>
      <c r="AJ140" s="76">
        <v>8034.84</v>
      </c>
      <c r="AK140" s="77">
        <v>2029.3</v>
      </c>
      <c r="AL140" s="76">
        <v>15364.65</v>
      </c>
      <c r="AM140" s="76">
        <v>1002.64</v>
      </c>
      <c r="AN140" s="76">
        <v>12998.46</v>
      </c>
      <c r="AO140" s="76">
        <v>5229.0600000000004</v>
      </c>
      <c r="AP140" s="76">
        <v>18811.02</v>
      </c>
      <c r="AQ140" s="76">
        <v>729.84</v>
      </c>
      <c r="AR140" s="76">
        <v>13175.54</v>
      </c>
      <c r="AS140" s="76">
        <v>583.62</v>
      </c>
      <c r="AT140" s="76">
        <v>10838.71</v>
      </c>
      <c r="AU140" s="76">
        <v>323.64</v>
      </c>
      <c r="AV140" s="76">
        <v>8461.25</v>
      </c>
      <c r="AW140" s="76">
        <v>795.08</v>
      </c>
      <c r="AX140" s="76">
        <v>12646.24</v>
      </c>
      <c r="AY140" s="77">
        <v>392</v>
      </c>
      <c r="AZ140" s="76">
        <v>12729.63</v>
      </c>
      <c r="BA140" s="76">
        <v>231.22</v>
      </c>
      <c r="BB140" s="76">
        <v>9872.07</v>
      </c>
      <c r="BC140" s="76">
        <v>199.26</v>
      </c>
      <c r="BD140" s="76">
        <v>4877.8900000000003</v>
      </c>
      <c r="BE140" s="76">
        <v>2015.66</v>
      </c>
      <c r="BF140" s="77">
        <v>13566.6</v>
      </c>
      <c r="BG140" s="76">
        <v>2954.78</v>
      </c>
      <c r="BH140" s="76">
        <v>13070.16</v>
      </c>
      <c r="BI140" s="76">
        <v>336.45</v>
      </c>
      <c r="BJ140" s="76">
        <v>13586.17</v>
      </c>
      <c r="BK140" s="76">
        <v>4363.8599999999997</v>
      </c>
      <c r="BL140" s="76">
        <v>13802.04</v>
      </c>
      <c r="BM140" s="76">
        <v>643.55999999999995</v>
      </c>
      <c r="BN140" s="76">
        <v>12278.69</v>
      </c>
      <c r="BO140" s="76">
        <v>500.77</v>
      </c>
      <c r="BP140" s="76">
        <v>13960.67</v>
      </c>
      <c r="BQ140" s="76">
        <v>150.96</v>
      </c>
      <c r="BR140" s="76">
        <v>13297.94</v>
      </c>
      <c r="BS140" s="76">
        <v>438.26</v>
      </c>
      <c r="BT140" s="76">
        <v>11217.95</v>
      </c>
      <c r="BU140" s="76">
        <v>5097.1499999999996</v>
      </c>
    </row>
    <row r="141" spans="1:73">
      <c r="A141" s="72" t="s">
        <v>587</v>
      </c>
      <c r="B141" s="78">
        <v>2250.6999999999998</v>
      </c>
      <c r="C141" s="75">
        <v>1750.77</v>
      </c>
      <c r="D141" s="75">
        <v>2262.0300000000002</v>
      </c>
      <c r="E141" s="75">
        <v>1158.26</v>
      </c>
      <c r="F141" s="78">
        <v>2737.8</v>
      </c>
      <c r="G141" s="75">
        <v>3727.17</v>
      </c>
      <c r="H141" s="75">
        <v>2215.16</v>
      </c>
      <c r="I141" s="75">
        <v>2333.7199999999998</v>
      </c>
      <c r="J141" s="75">
        <v>2455.2600000000002</v>
      </c>
      <c r="K141" s="75">
        <v>3157.06</v>
      </c>
      <c r="L141" s="75">
        <v>1980.23</v>
      </c>
      <c r="M141" s="78">
        <v>1657.4</v>
      </c>
      <c r="N141" s="75">
        <v>2691.79</v>
      </c>
      <c r="O141" s="75">
        <v>2697.03</v>
      </c>
      <c r="P141" s="75">
        <v>3235.43</v>
      </c>
      <c r="Q141" s="75">
        <v>4682.5200000000004</v>
      </c>
      <c r="R141" s="75">
        <v>3296.74</v>
      </c>
      <c r="S141" s="78">
        <v>2413.5</v>
      </c>
      <c r="T141" s="75">
        <v>1947.24</v>
      </c>
      <c r="U141" s="75">
        <v>2046.19</v>
      </c>
      <c r="V141" s="75">
        <v>2618.5300000000002</v>
      </c>
      <c r="W141" s="75">
        <v>1773.23</v>
      </c>
      <c r="X141" s="75">
        <v>2711.43</v>
      </c>
      <c r="Y141" s="75">
        <v>2614.15</v>
      </c>
      <c r="Z141" s="75">
        <v>1163.94</v>
      </c>
      <c r="AA141" s="75">
        <v>2753.09</v>
      </c>
      <c r="AB141" s="75">
        <v>928.31</v>
      </c>
      <c r="AC141" s="78">
        <v>1293.2</v>
      </c>
      <c r="AD141" s="75">
        <v>1208.3699999999999</v>
      </c>
      <c r="AE141" s="75">
        <v>1674.88</v>
      </c>
      <c r="AF141" s="75">
        <v>2147.0300000000002</v>
      </c>
      <c r="AG141" s="75">
        <v>1791.79</v>
      </c>
      <c r="AH141" s="78">
        <v>2077.8000000000002</v>
      </c>
      <c r="AI141" s="75">
        <v>2044.54</v>
      </c>
      <c r="AJ141" s="75">
        <v>1853.21</v>
      </c>
      <c r="AK141" s="75">
        <v>2977.88</v>
      </c>
      <c r="AL141" s="75">
        <v>1955.54</v>
      </c>
      <c r="AM141" s="75">
        <v>2216.2600000000002</v>
      </c>
      <c r="AN141" s="75">
        <v>1407.23</v>
      </c>
      <c r="AO141" s="75">
        <v>2883.94</v>
      </c>
      <c r="AP141" s="75">
        <v>1434.38</v>
      </c>
      <c r="AQ141" s="75">
        <v>3393.75</v>
      </c>
      <c r="AR141" s="75">
        <v>1449.68</v>
      </c>
      <c r="AS141" s="75">
        <v>3423.38</v>
      </c>
      <c r="AT141" s="78">
        <v>986.7</v>
      </c>
      <c r="AU141" s="75">
        <v>2013.48</v>
      </c>
      <c r="AV141" s="75">
        <v>1871.33</v>
      </c>
      <c r="AW141" s="75">
        <v>3722.62</v>
      </c>
      <c r="AX141" s="75">
        <v>3967.89</v>
      </c>
      <c r="AY141" s="75">
        <v>2092.89</v>
      </c>
      <c r="AZ141" s="75">
        <v>5377.75</v>
      </c>
      <c r="BA141" s="75">
        <v>1486.76</v>
      </c>
      <c r="BB141" s="78">
        <v>2793.7</v>
      </c>
      <c r="BC141" s="75">
        <v>2174.62</v>
      </c>
      <c r="BD141" s="75">
        <v>3363.85</v>
      </c>
      <c r="BE141" s="75">
        <v>2047.85</v>
      </c>
      <c r="BF141" s="75">
        <v>3694.09</v>
      </c>
      <c r="BG141" s="78">
        <v>1652.3</v>
      </c>
      <c r="BH141" s="75">
        <v>1931.84</v>
      </c>
      <c r="BI141" s="78">
        <v>1918.3</v>
      </c>
      <c r="BJ141" s="75">
        <v>4231.9399999999996</v>
      </c>
      <c r="BK141" s="75">
        <v>2921.69</v>
      </c>
      <c r="BL141" s="78">
        <v>13868.6</v>
      </c>
      <c r="BM141" s="75">
        <v>4442.78</v>
      </c>
      <c r="BN141" s="75">
        <v>3206.52</v>
      </c>
      <c r="BO141" s="75">
        <v>3486.57</v>
      </c>
      <c r="BP141" s="78">
        <v>3403.5</v>
      </c>
      <c r="BQ141" s="75">
        <v>2672.56</v>
      </c>
      <c r="BR141" s="75">
        <v>3042.34</v>
      </c>
      <c r="BS141" s="75">
        <v>2470.1799999999998</v>
      </c>
      <c r="BT141" s="75">
        <v>2297.06</v>
      </c>
      <c r="BU141" s="75">
        <v>4839.34</v>
      </c>
    </row>
    <row r="142" spans="1:73">
      <c r="A142" s="72" t="s">
        <v>589</v>
      </c>
      <c r="B142" s="76">
        <v>1115.26</v>
      </c>
      <c r="C142" s="76">
        <v>560.87</v>
      </c>
      <c r="D142" s="76">
        <v>1220.25</v>
      </c>
      <c r="E142" s="77">
        <v>276.7</v>
      </c>
      <c r="F142" s="76">
        <v>1116.6500000000001</v>
      </c>
      <c r="G142" s="77">
        <v>645.20000000000005</v>
      </c>
      <c r="H142" s="76">
        <v>1684.75</v>
      </c>
      <c r="I142" s="76">
        <v>987.34</v>
      </c>
      <c r="J142" s="76">
        <v>1198.6400000000001</v>
      </c>
      <c r="K142" s="76">
        <v>1004.24</v>
      </c>
      <c r="L142" s="76">
        <v>2014.82</v>
      </c>
      <c r="M142" s="76">
        <v>558.41</v>
      </c>
      <c r="N142" s="76">
        <v>1935.12</v>
      </c>
      <c r="O142" s="76">
        <v>397.17</v>
      </c>
      <c r="P142" s="76">
        <v>1219.93</v>
      </c>
      <c r="Q142" s="76">
        <v>589.72</v>
      </c>
      <c r="R142" s="76">
        <v>1676.26</v>
      </c>
      <c r="S142" s="77">
        <v>329.3</v>
      </c>
      <c r="T142" s="76">
        <v>1755.47</v>
      </c>
      <c r="U142" s="76">
        <v>231.58</v>
      </c>
      <c r="V142" s="76">
        <v>1928.52</v>
      </c>
      <c r="W142" s="77">
        <v>285.5</v>
      </c>
      <c r="X142" s="76">
        <v>1645.15</v>
      </c>
      <c r="Y142" s="76">
        <v>399.53</v>
      </c>
      <c r="Z142" s="76">
        <v>1526.52</v>
      </c>
      <c r="AA142" s="77">
        <v>1213.3</v>
      </c>
      <c r="AB142" s="76">
        <v>1697.72</v>
      </c>
      <c r="AC142" s="76">
        <v>540.94000000000005</v>
      </c>
      <c r="AD142" s="77">
        <v>1078.8</v>
      </c>
      <c r="AE142" s="76">
        <v>1128.8900000000001</v>
      </c>
      <c r="AF142" s="76">
        <v>1775.53</v>
      </c>
      <c r="AG142" s="77">
        <v>1125.8</v>
      </c>
      <c r="AH142" s="76">
        <v>1702.37</v>
      </c>
      <c r="AI142" s="76">
        <v>648.04999999999995</v>
      </c>
      <c r="AJ142" s="77">
        <v>1321.2</v>
      </c>
      <c r="AK142" s="76">
        <v>844.33</v>
      </c>
      <c r="AL142" s="76">
        <v>2158.25</v>
      </c>
      <c r="AM142" s="76">
        <v>779.66</v>
      </c>
      <c r="AN142" s="76">
        <v>1408.93</v>
      </c>
      <c r="AO142" s="76">
        <v>223.57</v>
      </c>
      <c r="AP142" s="76">
        <v>4970.74</v>
      </c>
      <c r="AQ142" s="76">
        <v>666.37</v>
      </c>
      <c r="AR142" s="76">
        <v>1527.64</v>
      </c>
      <c r="AS142" s="76">
        <v>922.94</v>
      </c>
      <c r="AT142" s="76">
        <v>1149.27</v>
      </c>
      <c r="AU142" s="76">
        <v>395.78</v>
      </c>
      <c r="AV142" s="76">
        <v>1556.58</v>
      </c>
      <c r="AW142" s="76">
        <v>1019.98</v>
      </c>
      <c r="AX142" s="77">
        <v>6159.7</v>
      </c>
      <c r="AY142" s="76">
        <v>854.14</v>
      </c>
      <c r="AZ142" s="76">
        <v>5573.02</v>
      </c>
      <c r="BA142" s="76">
        <v>432.63</v>
      </c>
      <c r="BB142" s="76">
        <v>5438.33</v>
      </c>
      <c r="BC142" s="77">
        <v>1187.8</v>
      </c>
      <c r="BD142" s="76">
        <v>4257.96</v>
      </c>
      <c r="BE142" s="76">
        <v>1555.07</v>
      </c>
      <c r="BF142" s="77">
        <v>3623.6</v>
      </c>
      <c r="BG142" s="76">
        <v>992.98</v>
      </c>
      <c r="BH142" s="76">
        <v>4088.56</v>
      </c>
      <c r="BI142" s="76">
        <v>828.35</v>
      </c>
      <c r="BJ142" s="76">
        <v>2208.5500000000002</v>
      </c>
      <c r="BK142" s="76">
        <v>925.92</v>
      </c>
      <c r="BL142" s="76">
        <v>2427.5300000000002</v>
      </c>
      <c r="BM142" s="76">
        <v>709.41</v>
      </c>
      <c r="BN142" s="76">
        <v>3270.53</v>
      </c>
      <c r="BO142" s="76">
        <v>1219.83</v>
      </c>
      <c r="BP142" s="76">
        <v>2946.02</v>
      </c>
      <c r="BQ142" s="76">
        <v>1256.6199999999999</v>
      </c>
      <c r="BR142" s="76">
        <v>2307.48</v>
      </c>
      <c r="BS142" s="77">
        <v>814.4</v>
      </c>
      <c r="BT142" s="76">
        <v>893.97</v>
      </c>
      <c r="BU142" s="76">
        <v>492.17</v>
      </c>
    </row>
    <row r="143" spans="1:73">
      <c r="A143" s="72" t="s">
        <v>591</v>
      </c>
      <c r="B143" s="75">
        <v>28930.44</v>
      </c>
      <c r="C143" s="78">
        <v>15245.9</v>
      </c>
      <c r="D143" s="75">
        <v>27152.27</v>
      </c>
      <c r="E143" s="75">
        <v>10017.91</v>
      </c>
      <c r="F143" s="75">
        <v>31815.61</v>
      </c>
      <c r="G143" s="75">
        <v>14496.21</v>
      </c>
      <c r="H143" s="75">
        <v>28326.43</v>
      </c>
      <c r="I143" s="75">
        <v>15684.26</v>
      </c>
      <c r="J143" s="75">
        <v>40030.21</v>
      </c>
      <c r="K143" s="75">
        <v>16272.67</v>
      </c>
      <c r="L143" s="75">
        <v>33484.19</v>
      </c>
      <c r="M143" s="78">
        <v>13666.1</v>
      </c>
      <c r="N143" s="75">
        <v>35126.85</v>
      </c>
      <c r="O143" s="75">
        <v>11233.32</v>
      </c>
      <c r="P143" s="75">
        <v>48540.69</v>
      </c>
      <c r="Q143" s="75">
        <v>19320.47</v>
      </c>
      <c r="R143" s="75">
        <v>43397.09</v>
      </c>
      <c r="S143" s="75">
        <v>9768.52</v>
      </c>
      <c r="T143" s="78">
        <v>33540.699999999997</v>
      </c>
      <c r="U143" s="78">
        <v>6827.2</v>
      </c>
      <c r="V143" s="75">
        <v>39970.58</v>
      </c>
      <c r="W143" s="75">
        <v>12767.21</v>
      </c>
      <c r="X143" s="78">
        <v>37456.199999999997</v>
      </c>
      <c r="Y143" s="75">
        <v>19665.52</v>
      </c>
      <c r="Z143" s="75">
        <v>44397.47</v>
      </c>
      <c r="AA143" s="75">
        <v>16460.66</v>
      </c>
      <c r="AB143" s="75">
        <v>46409.63</v>
      </c>
      <c r="AC143" s="75">
        <v>9648.64</v>
      </c>
      <c r="AD143" s="78">
        <v>44865.9</v>
      </c>
      <c r="AE143" s="78">
        <v>12126.2</v>
      </c>
      <c r="AF143" s="75">
        <v>45473.69</v>
      </c>
      <c r="AG143" s="75">
        <v>13833.72</v>
      </c>
      <c r="AH143" s="75">
        <v>39988.17</v>
      </c>
      <c r="AI143" s="75">
        <v>12174.37</v>
      </c>
      <c r="AJ143" s="75">
        <v>35908.07</v>
      </c>
      <c r="AK143" s="75">
        <v>11791.89</v>
      </c>
      <c r="AL143" s="75">
        <v>33846.97</v>
      </c>
      <c r="AM143" s="78">
        <v>8449.9</v>
      </c>
      <c r="AN143" s="78">
        <v>37711</v>
      </c>
      <c r="AO143" s="78">
        <v>11667.3</v>
      </c>
      <c r="AP143" s="75">
        <v>28799.71</v>
      </c>
      <c r="AQ143" s="75">
        <v>12410.91</v>
      </c>
      <c r="AR143" s="75">
        <v>18165.669999999998</v>
      </c>
      <c r="AS143" s="75">
        <v>15809.32</v>
      </c>
      <c r="AT143" s="75">
        <v>16657.97</v>
      </c>
      <c r="AU143" s="75">
        <v>10508.39</v>
      </c>
      <c r="AV143" s="75">
        <v>24706.15</v>
      </c>
      <c r="AW143" s="78">
        <v>7062.9</v>
      </c>
      <c r="AX143" s="75">
        <v>39277.620000000003</v>
      </c>
      <c r="AY143" s="75">
        <v>12683.51</v>
      </c>
      <c r="AZ143" s="75">
        <v>38778.92</v>
      </c>
      <c r="BA143" s="78">
        <v>9077.4</v>
      </c>
      <c r="BB143" s="78">
        <v>39365.199999999997</v>
      </c>
      <c r="BC143" s="75">
        <v>13124.34</v>
      </c>
      <c r="BD143" s="75">
        <v>31397.96</v>
      </c>
      <c r="BE143" s="75">
        <v>13401.08</v>
      </c>
      <c r="BF143" s="75">
        <v>30171.01</v>
      </c>
      <c r="BG143" s="75">
        <v>15317.27</v>
      </c>
      <c r="BH143" s="75">
        <v>24795.98</v>
      </c>
      <c r="BI143" s="75">
        <v>14234.56</v>
      </c>
      <c r="BJ143" s="75">
        <v>39444.82</v>
      </c>
      <c r="BK143" s="75">
        <v>15558.34</v>
      </c>
      <c r="BL143" s="75">
        <v>33840.230000000003</v>
      </c>
      <c r="BM143" s="75">
        <v>17917.77</v>
      </c>
      <c r="BN143" s="75">
        <v>38849.35</v>
      </c>
      <c r="BO143" s="75">
        <v>18821.21</v>
      </c>
      <c r="BP143" s="75">
        <v>38689.93</v>
      </c>
      <c r="BQ143" s="75">
        <v>16304.75</v>
      </c>
      <c r="BR143" s="75">
        <v>43944.11</v>
      </c>
      <c r="BS143" s="75">
        <v>15134.36</v>
      </c>
      <c r="BT143" s="75">
        <v>33869.75</v>
      </c>
      <c r="BU143" s="75">
        <v>10612.97</v>
      </c>
    </row>
    <row r="144" spans="1:73">
      <c r="A144" s="72" t="s">
        <v>593</v>
      </c>
      <c r="B144" s="77">
        <v>4613.8999999999996</v>
      </c>
      <c r="C144" s="76">
        <v>1648.24</v>
      </c>
      <c r="D144" s="76">
        <v>2022.71</v>
      </c>
      <c r="E144" s="76">
        <v>617.65</v>
      </c>
      <c r="F144" s="76">
        <v>2263.84</v>
      </c>
      <c r="G144" s="76">
        <v>1137.6500000000001</v>
      </c>
      <c r="H144" s="76">
        <v>2603.4499999999998</v>
      </c>
      <c r="I144" s="76">
        <v>1279.6099999999999</v>
      </c>
      <c r="J144" s="76">
        <v>1626.16</v>
      </c>
      <c r="K144" s="76">
        <v>880.54</v>
      </c>
      <c r="L144" s="76">
        <v>2062.92</v>
      </c>
      <c r="M144" s="76">
        <v>351.85</v>
      </c>
      <c r="N144" s="76">
        <v>1533.78</v>
      </c>
      <c r="O144" s="76">
        <v>968.37</v>
      </c>
      <c r="P144" s="76">
        <v>2043.84</v>
      </c>
      <c r="Q144" s="76">
        <v>1591.31</v>
      </c>
      <c r="R144" s="76">
        <v>2783.54</v>
      </c>
      <c r="S144" s="77">
        <v>666.5</v>
      </c>
      <c r="T144" s="76">
        <v>2924.24</v>
      </c>
      <c r="U144" s="76">
        <v>969.79</v>
      </c>
      <c r="V144" s="76">
        <v>2110.04</v>
      </c>
      <c r="W144" s="76">
        <v>828.27</v>
      </c>
      <c r="X144" s="76">
        <v>1593.66</v>
      </c>
      <c r="Y144" s="76">
        <v>1000.72</v>
      </c>
      <c r="Z144" s="76">
        <v>2605.2399999999998</v>
      </c>
      <c r="AA144" s="76">
        <v>1141.33</v>
      </c>
      <c r="AB144" s="77">
        <v>696.2</v>
      </c>
      <c r="AC144" s="77">
        <v>339.5</v>
      </c>
      <c r="AD144" s="76">
        <v>2342.0100000000002</v>
      </c>
      <c r="AE144" s="76">
        <v>1250.73</v>
      </c>
      <c r="AF144" s="76">
        <v>243.28</v>
      </c>
      <c r="AG144" s="76">
        <v>664.22</v>
      </c>
      <c r="AH144" s="76">
        <v>1951.17</v>
      </c>
      <c r="AI144" s="76">
        <v>714.26</v>
      </c>
      <c r="AJ144" s="76">
        <v>1527.69</v>
      </c>
      <c r="AK144" s="76">
        <v>446.98</v>
      </c>
      <c r="AL144" s="76">
        <v>2546.42</v>
      </c>
      <c r="AM144" s="76">
        <v>690.43</v>
      </c>
      <c r="AN144" s="76">
        <v>1436.64</v>
      </c>
      <c r="AO144" s="77">
        <v>795.7</v>
      </c>
      <c r="AP144" s="76">
        <v>824.25</v>
      </c>
      <c r="AQ144" s="76">
        <v>1237.51</v>
      </c>
      <c r="AR144" s="76">
        <v>2056.62</v>
      </c>
      <c r="AS144" s="76">
        <v>946.11</v>
      </c>
      <c r="AT144" s="76">
        <v>1434.01</v>
      </c>
      <c r="AU144" s="76">
        <v>519.23</v>
      </c>
      <c r="AV144" s="76">
        <v>3677.29</v>
      </c>
      <c r="AW144" s="76">
        <v>644.92999999999995</v>
      </c>
      <c r="AX144" s="76">
        <v>2174.33</v>
      </c>
      <c r="AY144" s="76">
        <v>687.35</v>
      </c>
      <c r="AZ144" s="76">
        <v>1561.41</v>
      </c>
      <c r="BA144" s="76">
        <v>414.22</v>
      </c>
      <c r="BB144" s="76">
        <v>1235.03</v>
      </c>
      <c r="BC144" s="76">
        <v>283.95999999999998</v>
      </c>
      <c r="BD144" s="76">
        <v>1195.8399999999999</v>
      </c>
      <c r="BE144" s="76">
        <v>927.66</v>
      </c>
      <c r="BF144" s="76">
        <v>735.64</v>
      </c>
      <c r="BG144" s="76">
        <v>263.29000000000002</v>
      </c>
      <c r="BH144" s="76">
        <v>1975.11</v>
      </c>
      <c r="BI144" s="76">
        <v>405.43</v>
      </c>
      <c r="BJ144" s="76">
        <v>1112.04</v>
      </c>
      <c r="BK144" s="76">
        <v>641.04</v>
      </c>
      <c r="BL144" s="76">
        <v>859.07</v>
      </c>
      <c r="BM144" s="76">
        <v>1059.78</v>
      </c>
      <c r="BN144" s="76">
        <v>2993.09</v>
      </c>
      <c r="BO144" s="77">
        <v>518.79999999999995</v>
      </c>
      <c r="BP144" s="76">
        <v>2382.7399999999998</v>
      </c>
      <c r="BQ144" s="76">
        <v>569.62</v>
      </c>
      <c r="BR144" s="76">
        <v>2233.5500000000002</v>
      </c>
      <c r="BS144" s="76">
        <v>1120.6300000000001</v>
      </c>
      <c r="BT144" s="76">
        <v>1530.86</v>
      </c>
      <c r="BU144" s="76">
        <v>1762.09</v>
      </c>
    </row>
    <row r="145" spans="1:73">
      <c r="A145" s="72" t="s">
        <v>595</v>
      </c>
      <c r="B145" s="75">
        <v>3708.67</v>
      </c>
      <c r="C145" s="75">
        <v>24.96</v>
      </c>
      <c r="D145" s="75">
        <v>4859.7299999999996</v>
      </c>
      <c r="E145" s="75">
        <v>59.15</v>
      </c>
      <c r="F145" s="75">
        <v>4109.5600000000004</v>
      </c>
      <c r="G145" s="75">
        <v>24.08</v>
      </c>
      <c r="H145" s="78">
        <v>4448.8</v>
      </c>
      <c r="I145" s="75">
        <v>34.06</v>
      </c>
      <c r="J145" s="75">
        <v>6088.15</v>
      </c>
      <c r="K145" s="78">
        <v>14.6</v>
      </c>
      <c r="L145" s="75">
        <v>4858.13</v>
      </c>
      <c r="M145" s="75">
        <v>16.72</v>
      </c>
      <c r="N145" s="75">
        <v>3892.85</v>
      </c>
      <c r="O145" s="75">
        <v>25.06</v>
      </c>
      <c r="P145" s="75">
        <v>3374.54</v>
      </c>
      <c r="Q145" s="75">
        <v>19.760000000000002</v>
      </c>
      <c r="R145" s="75">
        <v>6987.48</v>
      </c>
      <c r="S145" s="75">
        <v>11.41</v>
      </c>
      <c r="T145" s="75">
        <v>4050.49</v>
      </c>
      <c r="U145" s="75">
        <v>183.35</v>
      </c>
      <c r="V145" s="75">
        <v>4941.1499999999996</v>
      </c>
      <c r="W145" s="75">
        <v>11.75</v>
      </c>
      <c r="X145" s="75">
        <v>4114.1899999999996</v>
      </c>
      <c r="Y145" s="75">
        <v>11.72</v>
      </c>
      <c r="Z145" s="75">
        <v>1511.05</v>
      </c>
      <c r="AA145" s="75">
        <v>12.79</v>
      </c>
      <c r="AB145" s="75">
        <v>12378.28</v>
      </c>
      <c r="AC145" s="75">
        <v>6.84</v>
      </c>
      <c r="AD145" s="75">
        <v>4468.28</v>
      </c>
      <c r="AE145" s="75">
        <v>9.89</v>
      </c>
      <c r="AF145" s="75">
        <v>3929.06</v>
      </c>
      <c r="AG145" s="75">
        <v>12.48</v>
      </c>
      <c r="AH145" s="75">
        <v>1619.69</v>
      </c>
      <c r="AI145" s="75">
        <v>9.8800000000000008</v>
      </c>
      <c r="AJ145" s="75">
        <v>1703.56</v>
      </c>
      <c r="AK145" s="75">
        <v>16.91</v>
      </c>
      <c r="AL145" s="75">
        <v>2279.02</v>
      </c>
      <c r="AM145" s="75">
        <v>8.49</v>
      </c>
      <c r="AN145" s="75">
        <v>2339.33</v>
      </c>
      <c r="AO145" s="75">
        <v>5.81</v>
      </c>
      <c r="AP145" s="75">
        <v>2523.0300000000002</v>
      </c>
      <c r="AQ145" s="75">
        <v>15.29</v>
      </c>
      <c r="AR145" s="75">
        <v>2261.06</v>
      </c>
      <c r="AS145" s="75">
        <v>7.19</v>
      </c>
      <c r="AT145" s="75">
        <v>2862.97</v>
      </c>
      <c r="AU145" s="75">
        <v>6.37</v>
      </c>
      <c r="AV145" s="75">
        <v>1833.65</v>
      </c>
      <c r="AW145" s="75">
        <v>4.8899999999999997</v>
      </c>
      <c r="AX145" s="75">
        <v>2304.02</v>
      </c>
      <c r="AY145" s="75">
        <v>47.37</v>
      </c>
      <c r="AZ145" s="75">
        <v>3153.93</v>
      </c>
      <c r="BA145" s="75">
        <v>43.25</v>
      </c>
      <c r="BB145" s="75">
        <v>3163.36</v>
      </c>
      <c r="BC145" s="75">
        <v>11.34</v>
      </c>
      <c r="BD145" s="75">
        <v>2141.2800000000002</v>
      </c>
      <c r="BE145" s="78">
        <v>64.2</v>
      </c>
      <c r="BF145" s="78">
        <v>2102.1</v>
      </c>
      <c r="BG145" s="75">
        <v>29.21</v>
      </c>
      <c r="BH145" s="75">
        <v>3131.13</v>
      </c>
      <c r="BI145" s="75">
        <v>14.02</v>
      </c>
      <c r="BJ145" s="78">
        <v>3224.8</v>
      </c>
      <c r="BK145" s="75">
        <v>21.32</v>
      </c>
      <c r="BL145" s="75">
        <v>2962.32</v>
      </c>
      <c r="BM145" s="75">
        <v>29.15</v>
      </c>
      <c r="BN145" s="75">
        <v>862.54</v>
      </c>
      <c r="BO145" s="75">
        <v>42.49</v>
      </c>
      <c r="BP145" s="75">
        <v>3057.96</v>
      </c>
      <c r="BQ145" s="75">
        <v>27.44</v>
      </c>
      <c r="BR145" s="75">
        <v>835.96</v>
      </c>
      <c r="BS145" s="75">
        <v>19.690000000000001</v>
      </c>
      <c r="BT145" s="75">
        <v>2426.23</v>
      </c>
      <c r="BU145" s="75">
        <v>26.25</v>
      </c>
    </row>
    <row r="146" spans="1:73">
      <c r="A146" s="72" t="s">
        <v>599</v>
      </c>
      <c r="B146" s="76">
        <v>9942.43</v>
      </c>
      <c r="C146" s="76">
        <v>693.19</v>
      </c>
      <c r="D146" s="76">
        <v>10216.549999999999</v>
      </c>
      <c r="E146" s="76">
        <v>165.51</v>
      </c>
      <c r="F146" s="76">
        <v>10516.82</v>
      </c>
      <c r="G146" s="77">
        <v>1629</v>
      </c>
      <c r="H146" s="76">
        <v>6082.46</v>
      </c>
      <c r="I146" s="76">
        <v>529.04</v>
      </c>
      <c r="J146" s="76">
        <v>5086.82</v>
      </c>
      <c r="K146" s="76">
        <v>870.66</v>
      </c>
      <c r="L146" s="77">
        <v>6679.2</v>
      </c>
      <c r="M146" s="76">
        <v>226.28</v>
      </c>
      <c r="N146" s="76">
        <v>5297.19</v>
      </c>
      <c r="O146" s="77">
        <v>880.5</v>
      </c>
      <c r="P146" s="76">
        <v>4735.4799999999996</v>
      </c>
      <c r="Q146" s="76">
        <v>576.87</v>
      </c>
      <c r="R146" s="76">
        <v>6580.31</v>
      </c>
      <c r="S146" s="76">
        <v>698.97</v>
      </c>
      <c r="T146" s="76">
        <v>4296.53</v>
      </c>
      <c r="U146" s="76">
        <v>461.65</v>
      </c>
      <c r="V146" s="76">
        <v>6525.26</v>
      </c>
      <c r="W146" s="76">
        <v>405.49</v>
      </c>
      <c r="X146" s="76">
        <v>9642.73</v>
      </c>
      <c r="Y146" s="76">
        <v>586.89</v>
      </c>
      <c r="Z146" s="76">
        <v>9055.82</v>
      </c>
      <c r="AA146" s="76">
        <v>623.16</v>
      </c>
      <c r="AB146" s="76">
        <v>9307.82</v>
      </c>
      <c r="AC146" s="76">
        <v>552.59</v>
      </c>
      <c r="AD146" s="77">
        <v>10306.299999999999</v>
      </c>
      <c r="AE146" s="76">
        <v>235.43</v>
      </c>
      <c r="AF146" s="76">
        <v>6812.86</v>
      </c>
      <c r="AG146" s="76">
        <v>640.36</v>
      </c>
      <c r="AH146" s="76">
        <v>4609.0600000000004</v>
      </c>
      <c r="AI146" s="76">
        <v>364.74</v>
      </c>
      <c r="AJ146" s="77">
        <v>4331.1000000000004</v>
      </c>
      <c r="AK146" s="76">
        <v>522.73</v>
      </c>
      <c r="AL146" s="76">
        <v>5875.05</v>
      </c>
      <c r="AM146" s="76">
        <v>712.87</v>
      </c>
      <c r="AN146" s="76">
        <v>6022.37</v>
      </c>
      <c r="AO146" s="76">
        <v>431.23</v>
      </c>
      <c r="AP146" s="76">
        <v>5707.69</v>
      </c>
      <c r="AQ146" s="76">
        <v>912.82</v>
      </c>
      <c r="AR146" s="76">
        <v>3018.39</v>
      </c>
      <c r="AS146" s="76">
        <v>1193.67</v>
      </c>
      <c r="AT146" s="77">
        <v>7147.6</v>
      </c>
      <c r="AU146" s="76">
        <v>552.14</v>
      </c>
      <c r="AV146" s="76">
        <v>9088.9599999999991</v>
      </c>
      <c r="AW146" s="76">
        <v>379.27</v>
      </c>
      <c r="AX146" s="76">
        <v>9374.75</v>
      </c>
      <c r="AY146" s="76">
        <v>603.88</v>
      </c>
      <c r="AZ146" s="77">
        <v>6700.3</v>
      </c>
      <c r="BA146" s="76">
        <v>448.27</v>
      </c>
      <c r="BB146" s="76">
        <v>7559.39</v>
      </c>
      <c r="BC146" s="76">
        <v>1428.27</v>
      </c>
      <c r="BD146" s="77">
        <v>5860.1</v>
      </c>
      <c r="BE146" s="76">
        <v>1082.04</v>
      </c>
      <c r="BF146" s="76">
        <v>6309.16</v>
      </c>
      <c r="BG146" s="77">
        <v>957.4</v>
      </c>
      <c r="BH146" s="76">
        <v>4428.37</v>
      </c>
      <c r="BI146" s="76">
        <v>774.85</v>
      </c>
      <c r="BJ146" s="76">
        <v>7519.51</v>
      </c>
      <c r="BK146" s="76">
        <v>1084.44</v>
      </c>
      <c r="BL146" s="76">
        <v>8481.0400000000009</v>
      </c>
      <c r="BM146" s="76">
        <v>1645.58</v>
      </c>
      <c r="BN146" s="76">
        <v>6124.97</v>
      </c>
      <c r="BO146" s="76">
        <v>1225.3599999999999</v>
      </c>
      <c r="BP146" s="76">
        <v>6744.06</v>
      </c>
      <c r="BQ146" s="77">
        <v>1226</v>
      </c>
      <c r="BR146" s="76">
        <v>6027.38</v>
      </c>
      <c r="BS146" s="76">
        <v>971.02</v>
      </c>
      <c r="BT146" s="76">
        <v>6921.61</v>
      </c>
      <c r="BU146" s="76">
        <v>702.68</v>
      </c>
    </row>
    <row r="147" spans="1:73">
      <c r="A147" s="72" t="s">
        <v>601</v>
      </c>
      <c r="B147" s="75">
        <v>26503.72</v>
      </c>
      <c r="C147" s="75">
        <v>6886.37</v>
      </c>
      <c r="D147" s="75">
        <v>21567.26</v>
      </c>
      <c r="E147" s="78">
        <v>3953.4</v>
      </c>
      <c r="F147" s="78">
        <v>26755.1</v>
      </c>
      <c r="G147" s="75">
        <v>7463.86</v>
      </c>
      <c r="H147" s="78">
        <v>25657.9</v>
      </c>
      <c r="I147" s="75">
        <v>6315.15</v>
      </c>
      <c r="J147" s="75">
        <v>23623.21</v>
      </c>
      <c r="K147" s="75">
        <v>6366.21</v>
      </c>
      <c r="L147" s="75">
        <v>30129.13</v>
      </c>
      <c r="M147" s="78">
        <v>5487.3</v>
      </c>
      <c r="N147" s="75">
        <v>24665.16</v>
      </c>
      <c r="O147" s="75">
        <v>6807.65</v>
      </c>
      <c r="P147" s="78">
        <v>26907.9</v>
      </c>
      <c r="Q147" s="75">
        <v>6384.87</v>
      </c>
      <c r="R147" s="75">
        <v>31661.360000000001</v>
      </c>
      <c r="S147" s="75">
        <v>7559.88</v>
      </c>
      <c r="T147" s="78">
        <v>26510.799999999999</v>
      </c>
      <c r="U147" s="75">
        <v>5963.61</v>
      </c>
      <c r="V147" s="78">
        <v>26521.1</v>
      </c>
      <c r="W147" s="75">
        <v>5644.86</v>
      </c>
      <c r="X147" s="75">
        <v>23659.47</v>
      </c>
      <c r="Y147" s="75">
        <v>5817.27</v>
      </c>
      <c r="Z147" s="75">
        <v>20807.23</v>
      </c>
      <c r="AA147" s="75">
        <v>7831.13</v>
      </c>
      <c r="AB147" s="75">
        <v>19300.580000000002</v>
      </c>
      <c r="AC147" s="75">
        <v>4718.83</v>
      </c>
      <c r="AD147" s="75">
        <v>16508.38</v>
      </c>
      <c r="AE147" s="75">
        <v>19197.98</v>
      </c>
      <c r="AF147" s="75">
        <v>20396.810000000001</v>
      </c>
      <c r="AG147" s="75">
        <v>8799.4500000000007</v>
      </c>
      <c r="AH147" s="75">
        <v>19584.849999999999</v>
      </c>
      <c r="AI147" s="75">
        <v>8811.86</v>
      </c>
      <c r="AJ147" s="75">
        <v>16092.14</v>
      </c>
      <c r="AK147" s="75">
        <v>5052.45</v>
      </c>
      <c r="AL147" s="75">
        <v>22435.119999999999</v>
      </c>
      <c r="AM147" s="75">
        <v>8267.0499999999993</v>
      </c>
      <c r="AN147" s="75">
        <v>19993.72</v>
      </c>
      <c r="AO147" s="75">
        <v>6803.57</v>
      </c>
      <c r="AP147" s="75">
        <v>17891.349999999999</v>
      </c>
      <c r="AQ147" s="75">
        <v>8973.73</v>
      </c>
      <c r="AR147" s="75">
        <v>21123.81</v>
      </c>
      <c r="AS147" s="75">
        <v>7979.57</v>
      </c>
      <c r="AT147" s="75">
        <v>18659.18</v>
      </c>
      <c r="AU147" s="75">
        <v>6669.58</v>
      </c>
      <c r="AV147" s="75">
        <v>26690.02</v>
      </c>
      <c r="AW147" s="75">
        <v>10385.02</v>
      </c>
      <c r="AX147" s="75">
        <v>44610.87</v>
      </c>
      <c r="AY147" s="75">
        <v>8134.58</v>
      </c>
      <c r="AZ147" s="75">
        <v>21325.07</v>
      </c>
      <c r="BA147" s="75">
        <v>4399.93</v>
      </c>
      <c r="BB147" s="78">
        <v>19464.8</v>
      </c>
      <c r="BC147" s="75">
        <v>7695.33</v>
      </c>
      <c r="BD147" s="75">
        <v>21408.06</v>
      </c>
      <c r="BE147" s="75">
        <v>6344.32</v>
      </c>
      <c r="BF147" s="78">
        <v>18592.3</v>
      </c>
      <c r="BG147" s="75">
        <v>7268.16</v>
      </c>
      <c r="BH147" s="75">
        <v>16175.54</v>
      </c>
      <c r="BI147" s="78">
        <v>5628.1</v>
      </c>
      <c r="BJ147" s="75">
        <v>17356.060000000001</v>
      </c>
      <c r="BK147" s="75">
        <v>8319.69</v>
      </c>
      <c r="BL147" s="75">
        <v>25474.89</v>
      </c>
      <c r="BM147" s="78">
        <v>10503</v>
      </c>
      <c r="BN147" s="75">
        <v>20651.03</v>
      </c>
      <c r="BO147" s="75">
        <v>8946.93</v>
      </c>
      <c r="BP147" s="75">
        <v>20422.810000000001</v>
      </c>
      <c r="BQ147" s="75">
        <v>8626.7099999999991</v>
      </c>
      <c r="BR147" s="75">
        <v>21944.79</v>
      </c>
      <c r="BS147" s="78">
        <v>7948.5</v>
      </c>
      <c r="BT147" s="75">
        <v>18971.12</v>
      </c>
      <c r="BU147" s="75">
        <v>8451.24</v>
      </c>
    </row>
    <row r="148" spans="1:73">
      <c r="A148" s="72" t="s">
        <v>603</v>
      </c>
      <c r="B148" s="74" t="s">
        <v>207</v>
      </c>
      <c r="C148" s="74" t="s">
        <v>207</v>
      </c>
      <c r="D148" s="74" t="s">
        <v>207</v>
      </c>
      <c r="E148" s="74" t="s">
        <v>207</v>
      </c>
      <c r="F148" s="74" t="s">
        <v>207</v>
      </c>
      <c r="G148" s="74" t="s">
        <v>207</v>
      </c>
      <c r="H148" s="74" t="s">
        <v>207</v>
      </c>
      <c r="I148" s="74" t="s">
        <v>207</v>
      </c>
      <c r="J148" s="74" t="s">
        <v>207</v>
      </c>
      <c r="K148" s="74" t="s">
        <v>207</v>
      </c>
      <c r="L148" s="74" t="s">
        <v>207</v>
      </c>
      <c r="M148" s="74" t="s">
        <v>207</v>
      </c>
      <c r="N148" s="74" t="s">
        <v>207</v>
      </c>
      <c r="O148" s="74" t="s">
        <v>207</v>
      </c>
      <c r="P148" s="74" t="s">
        <v>207</v>
      </c>
      <c r="Q148" s="74" t="s">
        <v>207</v>
      </c>
      <c r="R148" s="74" t="s">
        <v>207</v>
      </c>
      <c r="S148" s="74" t="s">
        <v>207</v>
      </c>
      <c r="T148" s="74" t="s">
        <v>207</v>
      </c>
      <c r="U148" s="74" t="s">
        <v>207</v>
      </c>
      <c r="V148" s="74" t="s">
        <v>207</v>
      </c>
      <c r="W148" s="74" t="s">
        <v>207</v>
      </c>
      <c r="X148" s="74" t="s">
        <v>207</v>
      </c>
      <c r="Y148" s="74" t="s">
        <v>207</v>
      </c>
      <c r="Z148" s="74" t="s">
        <v>207</v>
      </c>
      <c r="AA148" s="74" t="s">
        <v>207</v>
      </c>
      <c r="AB148" s="74" t="s">
        <v>207</v>
      </c>
      <c r="AC148" s="74" t="s">
        <v>207</v>
      </c>
      <c r="AD148" s="74" t="s">
        <v>207</v>
      </c>
      <c r="AE148" s="74" t="s">
        <v>207</v>
      </c>
      <c r="AF148" s="74" t="s">
        <v>207</v>
      </c>
      <c r="AG148" s="74" t="s">
        <v>207</v>
      </c>
      <c r="AH148" s="74" t="s">
        <v>207</v>
      </c>
      <c r="AI148" s="74" t="s">
        <v>207</v>
      </c>
      <c r="AJ148" s="74" t="s">
        <v>207</v>
      </c>
      <c r="AK148" s="74" t="s">
        <v>207</v>
      </c>
      <c r="AL148" s="74" t="s">
        <v>207</v>
      </c>
      <c r="AM148" s="74" t="s">
        <v>207</v>
      </c>
      <c r="AN148" s="74" t="s">
        <v>207</v>
      </c>
      <c r="AO148" s="74" t="s">
        <v>207</v>
      </c>
      <c r="AP148" s="74" t="s">
        <v>207</v>
      </c>
      <c r="AQ148" s="74" t="s">
        <v>207</v>
      </c>
      <c r="AR148" s="74" t="s">
        <v>207</v>
      </c>
      <c r="AS148" s="74" t="s">
        <v>207</v>
      </c>
      <c r="AT148" s="74" t="s">
        <v>207</v>
      </c>
      <c r="AU148" s="74" t="s">
        <v>207</v>
      </c>
      <c r="AV148" s="74" t="s">
        <v>207</v>
      </c>
      <c r="AW148" s="74" t="s">
        <v>207</v>
      </c>
      <c r="AX148" s="74" t="s">
        <v>207</v>
      </c>
      <c r="AY148" s="74" t="s">
        <v>207</v>
      </c>
      <c r="AZ148" s="74" t="s">
        <v>207</v>
      </c>
      <c r="BA148" s="74" t="s">
        <v>207</v>
      </c>
      <c r="BB148" s="74" t="s">
        <v>207</v>
      </c>
      <c r="BC148" s="74" t="s">
        <v>207</v>
      </c>
      <c r="BD148" s="74" t="s">
        <v>207</v>
      </c>
      <c r="BE148" s="74" t="s">
        <v>207</v>
      </c>
      <c r="BF148" s="74" t="s">
        <v>207</v>
      </c>
      <c r="BG148" s="74" t="s">
        <v>207</v>
      </c>
      <c r="BH148" s="74" t="s">
        <v>207</v>
      </c>
      <c r="BI148" s="74" t="s">
        <v>207</v>
      </c>
      <c r="BJ148" s="74" t="s">
        <v>207</v>
      </c>
      <c r="BK148" s="74" t="s">
        <v>207</v>
      </c>
      <c r="BL148" s="74" t="s">
        <v>207</v>
      </c>
      <c r="BM148" s="74" t="s">
        <v>207</v>
      </c>
      <c r="BN148" s="74" t="s">
        <v>207</v>
      </c>
      <c r="BO148" s="74" t="s">
        <v>207</v>
      </c>
      <c r="BP148" s="74" t="s">
        <v>207</v>
      </c>
      <c r="BQ148" s="74" t="s">
        <v>207</v>
      </c>
      <c r="BR148" s="74" t="s">
        <v>207</v>
      </c>
      <c r="BS148" s="74" t="s">
        <v>207</v>
      </c>
      <c r="BT148" s="74" t="s">
        <v>207</v>
      </c>
      <c r="BU148" s="74" t="s">
        <v>207</v>
      </c>
    </row>
    <row r="149" spans="1:73">
      <c r="A149" s="72" t="s">
        <v>681</v>
      </c>
      <c r="B149" s="75">
        <v>2344.2800000000002</v>
      </c>
      <c r="C149" s="75">
        <v>170.04</v>
      </c>
      <c r="D149" s="75">
        <v>2230.44</v>
      </c>
      <c r="E149" s="75">
        <v>641.75</v>
      </c>
      <c r="F149" s="75">
        <v>2335.5700000000002</v>
      </c>
      <c r="G149" s="75">
        <v>329.86</v>
      </c>
      <c r="H149" s="75">
        <v>2711.29</v>
      </c>
      <c r="I149" s="75">
        <v>185.91</v>
      </c>
      <c r="J149" s="75">
        <v>1934.93</v>
      </c>
      <c r="K149" s="75">
        <v>125.17</v>
      </c>
      <c r="L149" s="75">
        <v>1978.82</v>
      </c>
      <c r="M149" s="75">
        <v>277.86</v>
      </c>
      <c r="N149" s="75">
        <v>1518.94</v>
      </c>
      <c r="O149" s="75">
        <v>110.04</v>
      </c>
      <c r="P149" s="75">
        <v>2104.8200000000002</v>
      </c>
      <c r="Q149" s="75">
        <v>244.36</v>
      </c>
      <c r="R149" s="75">
        <v>2479.87</v>
      </c>
      <c r="S149" s="75">
        <v>154.65</v>
      </c>
      <c r="T149" s="75">
        <v>2488.42</v>
      </c>
      <c r="U149" s="75">
        <v>371.89</v>
      </c>
      <c r="V149" s="75">
        <v>3115.91</v>
      </c>
      <c r="W149" s="75">
        <v>277.45999999999998</v>
      </c>
      <c r="X149" s="75">
        <v>2343.0700000000002</v>
      </c>
      <c r="Y149" s="75">
        <v>91.09</v>
      </c>
      <c r="Z149" s="75">
        <v>3361.42</v>
      </c>
      <c r="AA149" s="75">
        <v>170.71</v>
      </c>
      <c r="AB149" s="75">
        <v>2903.82</v>
      </c>
      <c r="AC149" s="75">
        <v>379.61</v>
      </c>
      <c r="AD149" s="75">
        <v>2178.4899999999998</v>
      </c>
      <c r="AE149" s="75">
        <v>212.15</v>
      </c>
      <c r="AF149" s="75">
        <v>3411.21</v>
      </c>
      <c r="AG149" s="75">
        <v>58.87</v>
      </c>
      <c r="AH149" s="75">
        <v>2635.61</v>
      </c>
      <c r="AI149" s="75">
        <v>97.15</v>
      </c>
      <c r="AJ149" s="75">
        <v>2673.89</v>
      </c>
      <c r="AK149" s="75">
        <v>247.12</v>
      </c>
      <c r="AL149" s="78">
        <v>1974.7</v>
      </c>
      <c r="AM149" s="75">
        <v>87.37</v>
      </c>
      <c r="AN149" s="75">
        <v>2389.19</v>
      </c>
      <c r="AO149" s="75">
        <v>83.55</v>
      </c>
      <c r="AP149" s="75">
        <v>2972.48</v>
      </c>
      <c r="AQ149" s="75">
        <v>57.64</v>
      </c>
      <c r="AR149" s="75">
        <v>2931.41</v>
      </c>
      <c r="AS149" s="75">
        <v>142.88</v>
      </c>
      <c r="AT149" s="75">
        <v>3142.12</v>
      </c>
      <c r="AU149" s="75">
        <v>121.69</v>
      </c>
      <c r="AV149" s="75">
        <v>3665.23</v>
      </c>
      <c r="AW149" s="78">
        <v>381.9</v>
      </c>
      <c r="AX149" s="75">
        <v>2961.45</v>
      </c>
      <c r="AY149" s="75">
        <v>264.31</v>
      </c>
      <c r="AZ149" s="78">
        <v>1726</v>
      </c>
      <c r="BA149" s="75">
        <v>137.83000000000001</v>
      </c>
      <c r="BB149" s="75">
        <v>2290.14</v>
      </c>
      <c r="BC149" s="75">
        <v>111.28</v>
      </c>
      <c r="BD149" s="78">
        <v>3592</v>
      </c>
      <c r="BE149" s="75">
        <v>262.54000000000002</v>
      </c>
      <c r="BF149" s="75">
        <v>3134.67</v>
      </c>
      <c r="BG149" s="75">
        <v>383.41</v>
      </c>
      <c r="BH149" s="78">
        <v>3615.5</v>
      </c>
      <c r="BI149" s="75">
        <v>61.26</v>
      </c>
      <c r="BJ149" s="75">
        <v>3467.41</v>
      </c>
      <c r="BK149" s="75">
        <v>86.84</v>
      </c>
      <c r="BL149" s="75">
        <v>3577.87</v>
      </c>
      <c r="BM149" s="75">
        <v>478.08</v>
      </c>
      <c r="BN149" s="75">
        <v>3752.65</v>
      </c>
      <c r="BO149" s="75">
        <v>132.85</v>
      </c>
      <c r="BP149" s="75">
        <v>2908.76</v>
      </c>
      <c r="BQ149" s="75">
        <v>219.79</v>
      </c>
      <c r="BR149" s="75">
        <v>3698.38</v>
      </c>
      <c r="BS149" s="75">
        <v>139.47</v>
      </c>
      <c r="BT149" s="75">
        <v>2410.23</v>
      </c>
      <c r="BU149" s="75">
        <v>94.02</v>
      </c>
    </row>
    <row r="150" spans="1:73">
      <c r="A150" s="72" t="s">
        <v>683</v>
      </c>
      <c r="B150" s="76">
        <v>269.27999999999997</v>
      </c>
      <c r="C150" s="76">
        <v>54.69</v>
      </c>
      <c r="D150" s="76">
        <v>143.66999999999999</v>
      </c>
      <c r="E150" s="76">
        <v>46.36</v>
      </c>
      <c r="F150" s="76">
        <v>176.11</v>
      </c>
      <c r="G150" s="76">
        <v>91.58</v>
      </c>
      <c r="H150" s="76">
        <v>92.75</v>
      </c>
      <c r="I150" s="76">
        <v>76.290000000000006</v>
      </c>
      <c r="J150" s="76">
        <v>220.18</v>
      </c>
      <c r="K150" s="76">
        <v>55.29</v>
      </c>
      <c r="L150" s="76">
        <v>84.06</v>
      </c>
      <c r="M150" s="76">
        <v>20.29</v>
      </c>
      <c r="N150" s="76">
        <v>163.52000000000001</v>
      </c>
      <c r="O150" s="76">
        <v>19.14</v>
      </c>
      <c r="P150" s="76">
        <v>239.22</v>
      </c>
      <c r="Q150" s="76">
        <v>47.41</v>
      </c>
      <c r="R150" s="76">
        <v>79.11</v>
      </c>
      <c r="S150" s="76">
        <v>29.71</v>
      </c>
      <c r="T150" s="76">
        <v>280.26</v>
      </c>
      <c r="U150" s="76">
        <v>34.64</v>
      </c>
      <c r="V150" s="76">
        <v>52.18</v>
      </c>
      <c r="W150" s="76">
        <v>13.66</v>
      </c>
      <c r="X150" s="76">
        <v>340.79</v>
      </c>
      <c r="Y150" s="76">
        <v>23.27</v>
      </c>
      <c r="Z150" s="76">
        <v>121.91</v>
      </c>
      <c r="AA150" s="76">
        <v>6.93</v>
      </c>
      <c r="AB150" s="76">
        <v>366.44</v>
      </c>
      <c r="AC150" s="76">
        <v>12.92</v>
      </c>
      <c r="AD150" s="76">
        <v>76.47</v>
      </c>
      <c r="AE150" s="76">
        <v>32.51</v>
      </c>
      <c r="AF150" s="76">
        <v>216.22</v>
      </c>
      <c r="AG150" s="76">
        <v>123.57</v>
      </c>
      <c r="AH150" s="76">
        <v>420.43</v>
      </c>
      <c r="AI150" s="76">
        <v>19.46</v>
      </c>
      <c r="AJ150" s="76">
        <v>34.57</v>
      </c>
      <c r="AK150" s="76">
        <v>17.809999999999999</v>
      </c>
      <c r="AL150" s="77">
        <v>242.5</v>
      </c>
      <c r="AM150" s="76">
        <v>18.07</v>
      </c>
      <c r="AN150" s="76">
        <v>31.65</v>
      </c>
      <c r="AO150" s="76">
        <v>17.93</v>
      </c>
      <c r="AP150" s="76">
        <v>309.17</v>
      </c>
      <c r="AQ150" s="76">
        <v>12.93</v>
      </c>
      <c r="AR150" s="76">
        <v>10.93</v>
      </c>
      <c r="AS150" s="76">
        <v>8.59</v>
      </c>
      <c r="AT150" s="76">
        <v>349.15</v>
      </c>
      <c r="AU150" s="76">
        <v>17.690000000000001</v>
      </c>
      <c r="AV150" s="76">
        <v>253.04</v>
      </c>
      <c r="AW150" s="77">
        <v>21.6</v>
      </c>
      <c r="AX150" s="76">
        <v>67.23</v>
      </c>
      <c r="AY150" s="77">
        <v>19.2</v>
      </c>
      <c r="AZ150" s="76">
        <v>295.58</v>
      </c>
      <c r="BA150" s="77">
        <v>107.7</v>
      </c>
      <c r="BB150" s="76">
        <v>58.79</v>
      </c>
      <c r="BC150" s="76">
        <v>14.81</v>
      </c>
      <c r="BD150" s="76">
        <v>301.85000000000002</v>
      </c>
      <c r="BE150" s="76">
        <v>33.33</v>
      </c>
      <c r="BF150" s="76">
        <v>322.49</v>
      </c>
      <c r="BG150" s="76">
        <v>23.83</v>
      </c>
      <c r="BH150" s="76">
        <v>291.05</v>
      </c>
      <c r="BI150" s="76">
        <v>27.69</v>
      </c>
      <c r="BJ150" s="76">
        <v>164.06</v>
      </c>
      <c r="BK150" s="76">
        <v>31.73</v>
      </c>
      <c r="BL150" s="77">
        <v>446.3</v>
      </c>
      <c r="BM150" s="76">
        <v>21.23</v>
      </c>
      <c r="BN150" s="76">
        <v>307.58999999999997</v>
      </c>
      <c r="BO150" s="76">
        <v>9.69</v>
      </c>
      <c r="BP150" s="76">
        <v>278.25</v>
      </c>
      <c r="BQ150" s="76">
        <v>12.02</v>
      </c>
      <c r="BR150" s="76">
        <v>406.68</v>
      </c>
      <c r="BS150" s="76">
        <v>36.270000000000003</v>
      </c>
      <c r="BT150" s="76">
        <v>127.65</v>
      </c>
      <c r="BU150" s="76">
        <v>15.24</v>
      </c>
    </row>
    <row r="151" spans="1:73">
      <c r="A151" s="72" t="s">
        <v>607</v>
      </c>
      <c r="B151" s="75">
        <v>14398.98</v>
      </c>
      <c r="C151" s="75">
        <v>5569.67</v>
      </c>
      <c r="D151" s="75">
        <v>15451.35</v>
      </c>
      <c r="E151" s="75">
        <v>5847.46</v>
      </c>
      <c r="F151" s="78">
        <v>23151.200000000001</v>
      </c>
      <c r="G151" s="75">
        <v>6318.28</v>
      </c>
      <c r="H151" s="75">
        <v>24492.42</v>
      </c>
      <c r="I151" s="75">
        <v>7019.07</v>
      </c>
      <c r="J151" s="75">
        <v>23049.93</v>
      </c>
      <c r="K151" s="78">
        <v>6770.9</v>
      </c>
      <c r="L151" s="75">
        <v>27379.51</v>
      </c>
      <c r="M151" s="75">
        <v>7722.75</v>
      </c>
      <c r="N151" s="75">
        <v>20618.47</v>
      </c>
      <c r="O151" s="75">
        <v>6693.67</v>
      </c>
      <c r="P151" s="75">
        <v>24533.49</v>
      </c>
      <c r="Q151" s="75">
        <v>7462.13</v>
      </c>
      <c r="R151" s="75">
        <v>25682.42</v>
      </c>
      <c r="S151" s="75">
        <v>8771.5400000000009</v>
      </c>
      <c r="T151" s="75">
        <v>24943.34</v>
      </c>
      <c r="U151" s="75">
        <v>5867.23</v>
      </c>
      <c r="V151" s="75">
        <v>22134.31</v>
      </c>
      <c r="W151" s="75">
        <v>6748.47</v>
      </c>
      <c r="X151" s="75">
        <v>25069.65</v>
      </c>
      <c r="Y151" s="75">
        <v>6214.45</v>
      </c>
      <c r="Z151" s="75">
        <v>27614.83</v>
      </c>
      <c r="AA151" s="75">
        <v>6263.79</v>
      </c>
      <c r="AB151" s="75">
        <v>20692.47</v>
      </c>
      <c r="AC151" s="75">
        <v>6495.72</v>
      </c>
      <c r="AD151" s="75">
        <v>22570.07</v>
      </c>
      <c r="AE151" s="75">
        <v>6768.89</v>
      </c>
      <c r="AF151" s="75">
        <v>27836.55</v>
      </c>
      <c r="AG151" s="75">
        <v>8353.7199999999993</v>
      </c>
      <c r="AH151" s="75">
        <v>22518.240000000002</v>
      </c>
      <c r="AI151" s="75">
        <v>7527.59</v>
      </c>
      <c r="AJ151" s="75">
        <v>29259.42</v>
      </c>
      <c r="AK151" s="75">
        <v>8023.84</v>
      </c>
      <c r="AL151" s="75">
        <v>25977.22</v>
      </c>
      <c r="AM151" s="75">
        <v>9856.58</v>
      </c>
      <c r="AN151" s="75">
        <v>22715.22</v>
      </c>
      <c r="AO151" s="75">
        <v>9576.18</v>
      </c>
      <c r="AP151" s="75">
        <v>34870.81</v>
      </c>
      <c r="AQ151" s="75">
        <v>18791.62</v>
      </c>
      <c r="AR151" s="75">
        <v>38094.33</v>
      </c>
      <c r="AS151" s="75">
        <v>11711.21</v>
      </c>
      <c r="AT151" s="75">
        <v>24576.83</v>
      </c>
      <c r="AU151" s="75">
        <v>10502.43</v>
      </c>
      <c r="AV151" s="75">
        <v>20654.830000000002</v>
      </c>
      <c r="AW151" s="75">
        <v>8952.33</v>
      </c>
      <c r="AX151" s="75">
        <v>16723.79</v>
      </c>
      <c r="AY151" s="75">
        <v>6641.05</v>
      </c>
      <c r="AZ151" s="75">
        <v>29105.43</v>
      </c>
      <c r="BA151" s="75">
        <v>7247.51</v>
      </c>
      <c r="BB151" s="75">
        <v>21009.82</v>
      </c>
      <c r="BC151" s="75">
        <v>6955.37</v>
      </c>
      <c r="BD151" s="75">
        <v>28054.23</v>
      </c>
      <c r="BE151" s="75">
        <v>17071.28</v>
      </c>
      <c r="BF151" s="75">
        <v>25332.94</v>
      </c>
      <c r="BG151" s="75">
        <v>12026.83</v>
      </c>
      <c r="BH151" s="75">
        <v>18751.849999999999</v>
      </c>
      <c r="BI151" s="75">
        <v>10544.97</v>
      </c>
      <c r="BJ151" s="75">
        <v>27652.78</v>
      </c>
      <c r="BK151" s="78">
        <v>8737.7000000000007</v>
      </c>
      <c r="BL151" s="78">
        <v>24236</v>
      </c>
      <c r="BM151" s="75">
        <v>11094.54</v>
      </c>
      <c r="BN151" s="75">
        <v>23526.28</v>
      </c>
      <c r="BO151" s="75">
        <v>10862.53</v>
      </c>
      <c r="BP151" s="75">
        <v>25129.13</v>
      </c>
      <c r="BQ151" s="78">
        <v>9489.2000000000007</v>
      </c>
      <c r="BR151" s="75">
        <v>29776.62</v>
      </c>
      <c r="BS151" s="75">
        <v>8208.11</v>
      </c>
      <c r="BT151" s="75">
        <v>26024.45</v>
      </c>
      <c r="BU151" s="75">
        <v>11236.99</v>
      </c>
    </row>
    <row r="152" spans="1:73">
      <c r="A152" s="72" t="s">
        <v>994</v>
      </c>
      <c r="B152" s="76">
        <v>28538.39</v>
      </c>
      <c r="C152" s="76">
        <v>14183.27</v>
      </c>
      <c r="D152" s="76">
        <v>28274.53</v>
      </c>
      <c r="E152" s="76">
        <v>14885.08</v>
      </c>
      <c r="F152" s="76">
        <v>31914.78</v>
      </c>
      <c r="G152" s="76">
        <v>16082.42</v>
      </c>
      <c r="H152" s="76">
        <v>53057.01</v>
      </c>
      <c r="I152" s="76">
        <v>19581.23</v>
      </c>
      <c r="J152" s="76">
        <v>51503.24</v>
      </c>
      <c r="K152" s="76">
        <v>16082.69</v>
      </c>
      <c r="L152" s="76">
        <v>56675.23</v>
      </c>
      <c r="M152" s="76">
        <v>20029.38</v>
      </c>
      <c r="N152" s="76">
        <v>46972.57</v>
      </c>
      <c r="O152" s="76">
        <v>15178.47</v>
      </c>
      <c r="P152" s="76">
        <v>44019.07</v>
      </c>
      <c r="Q152" s="76">
        <v>17472.650000000001</v>
      </c>
      <c r="R152" s="76">
        <v>41974.39</v>
      </c>
      <c r="S152" s="76">
        <v>21893.73</v>
      </c>
      <c r="T152" s="76">
        <v>33517.230000000003</v>
      </c>
      <c r="U152" s="76">
        <v>19170.11</v>
      </c>
      <c r="V152" s="76">
        <v>41624.89</v>
      </c>
      <c r="W152" s="76">
        <v>14305.52</v>
      </c>
      <c r="X152" s="77">
        <v>34954.5</v>
      </c>
      <c r="Y152" s="76">
        <v>16092.36</v>
      </c>
      <c r="Z152" s="76">
        <v>36471.51</v>
      </c>
      <c r="AA152" s="76">
        <v>12716.06</v>
      </c>
      <c r="AB152" s="76">
        <v>38245.64</v>
      </c>
      <c r="AC152" s="76">
        <v>13369.05</v>
      </c>
      <c r="AD152" s="76">
        <v>45063.44</v>
      </c>
      <c r="AE152" s="76">
        <v>11955.61</v>
      </c>
      <c r="AF152" s="76">
        <v>38144.29</v>
      </c>
      <c r="AG152" s="76">
        <v>15620.47</v>
      </c>
      <c r="AH152" s="76">
        <v>54342.05</v>
      </c>
      <c r="AI152" s="77">
        <v>14529.1</v>
      </c>
      <c r="AJ152" s="76">
        <v>31419.71</v>
      </c>
      <c r="AK152" s="76">
        <v>13384.09</v>
      </c>
      <c r="AL152" s="76">
        <v>55138.78</v>
      </c>
      <c r="AM152" s="76">
        <v>14521.69</v>
      </c>
      <c r="AN152" s="76">
        <v>53201.97</v>
      </c>
      <c r="AO152" s="76">
        <v>16208.61</v>
      </c>
      <c r="AP152" s="76">
        <v>42849.26</v>
      </c>
      <c r="AQ152" s="76">
        <v>30373.54</v>
      </c>
      <c r="AR152" s="76">
        <v>49071.99</v>
      </c>
      <c r="AS152" s="76">
        <v>24439.67</v>
      </c>
      <c r="AT152" s="76">
        <v>31526.04</v>
      </c>
      <c r="AU152" s="76">
        <v>24935.95</v>
      </c>
      <c r="AV152" s="76">
        <v>39689.72</v>
      </c>
      <c r="AW152" s="76">
        <v>27731.040000000001</v>
      </c>
      <c r="AX152" s="76">
        <v>30662.19</v>
      </c>
      <c r="AY152" s="76">
        <v>11061.23</v>
      </c>
      <c r="AZ152" s="76">
        <v>38834.26</v>
      </c>
      <c r="BA152" s="76">
        <v>11490.99</v>
      </c>
      <c r="BB152" s="76">
        <v>34112.94</v>
      </c>
      <c r="BC152" s="76">
        <v>19481.79</v>
      </c>
      <c r="BD152" s="76">
        <v>39599.050000000003</v>
      </c>
      <c r="BE152" s="76">
        <v>31554.04</v>
      </c>
      <c r="BF152" s="76">
        <v>51958.62</v>
      </c>
      <c r="BG152" s="76">
        <v>10600.86</v>
      </c>
      <c r="BH152" s="76">
        <v>41661.01</v>
      </c>
      <c r="BI152" s="76">
        <v>9730.41</v>
      </c>
      <c r="BJ152" s="76">
        <v>24110.29</v>
      </c>
      <c r="BK152" s="76">
        <v>9062.73</v>
      </c>
      <c r="BL152" s="76">
        <v>37655.870000000003</v>
      </c>
      <c r="BM152" s="76">
        <v>13022.41</v>
      </c>
      <c r="BN152" s="76">
        <v>37509.910000000003</v>
      </c>
      <c r="BO152" s="76">
        <v>12191.44</v>
      </c>
      <c r="BP152" s="76">
        <v>32065.31</v>
      </c>
      <c r="BQ152" s="76">
        <v>9352.32</v>
      </c>
      <c r="BR152" s="76">
        <v>35504.07</v>
      </c>
      <c r="BS152" s="76">
        <v>11154.35</v>
      </c>
      <c r="BT152" s="76">
        <v>25256.85</v>
      </c>
      <c r="BU152" s="76">
        <v>7790.39</v>
      </c>
    </row>
    <row r="153" spans="1:73">
      <c r="A153" s="72" t="s">
        <v>685</v>
      </c>
      <c r="B153" s="75">
        <v>83492.87</v>
      </c>
      <c r="C153" s="75">
        <v>3368.31</v>
      </c>
      <c r="D153" s="75">
        <v>59550.68</v>
      </c>
      <c r="E153" s="75">
        <v>1444.06</v>
      </c>
      <c r="F153" s="75">
        <v>61241.87</v>
      </c>
      <c r="G153" s="75">
        <v>2926.22</v>
      </c>
      <c r="H153" s="75">
        <v>58280.68</v>
      </c>
      <c r="I153" s="75">
        <v>2834.75</v>
      </c>
      <c r="J153" s="75">
        <v>55850.46</v>
      </c>
      <c r="K153" s="75">
        <v>1760.63</v>
      </c>
      <c r="L153" s="75">
        <v>54279.37</v>
      </c>
      <c r="M153" s="78">
        <v>2361.5</v>
      </c>
      <c r="N153" s="75">
        <v>62557.56</v>
      </c>
      <c r="O153" s="78">
        <v>1954.6</v>
      </c>
      <c r="P153" s="75">
        <v>66017.13</v>
      </c>
      <c r="Q153" s="75">
        <v>2361.96</v>
      </c>
      <c r="R153" s="75">
        <v>59123.58</v>
      </c>
      <c r="S153" s="75">
        <v>2833.08</v>
      </c>
      <c r="T153" s="75">
        <v>78362.81</v>
      </c>
      <c r="U153" s="75">
        <v>2021.53</v>
      </c>
      <c r="V153" s="75">
        <v>75617.320000000007</v>
      </c>
      <c r="W153" s="75">
        <v>3036.09</v>
      </c>
      <c r="X153" s="75">
        <v>76847.62</v>
      </c>
      <c r="Y153" s="75">
        <v>2519.89</v>
      </c>
      <c r="Z153" s="75">
        <v>108983.57</v>
      </c>
      <c r="AA153" s="75">
        <v>3331.09</v>
      </c>
      <c r="AB153" s="75">
        <v>76491.429999999993</v>
      </c>
      <c r="AC153" s="78">
        <v>1776.1</v>
      </c>
      <c r="AD153" s="75">
        <v>64242.35</v>
      </c>
      <c r="AE153" s="75">
        <v>2923.36</v>
      </c>
      <c r="AF153" s="75">
        <v>74462.19</v>
      </c>
      <c r="AG153" s="75">
        <v>3321.46</v>
      </c>
      <c r="AH153" s="75">
        <v>53969.08</v>
      </c>
      <c r="AI153" s="75">
        <v>2662.31</v>
      </c>
      <c r="AJ153" s="75">
        <v>58757.79</v>
      </c>
      <c r="AK153" s="75">
        <v>2451.84</v>
      </c>
      <c r="AL153" s="75">
        <v>54641.62</v>
      </c>
      <c r="AM153" s="75">
        <v>2290.66</v>
      </c>
      <c r="AN153" s="75">
        <v>66919.72</v>
      </c>
      <c r="AO153" s="75">
        <v>2325.52</v>
      </c>
      <c r="AP153" s="75">
        <v>75863.520000000004</v>
      </c>
      <c r="AQ153" s="75">
        <v>2048.71</v>
      </c>
      <c r="AR153" s="75">
        <v>66397.649999999994</v>
      </c>
      <c r="AS153" s="75">
        <v>1766.29</v>
      </c>
      <c r="AT153" s="75">
        <v>56617.11</v>
      </c>
      <c r="AU153" s="75">
        <v>1357.26</v>
      </c>
      <c r="AV153" s="75">
        <v>88018.03</v>
      </c>
      <c r="AW153" s="75">
        <v>2227.06</v>
      </c>
      <c r="AX153" s="75">
        <v>72261.820000000007</v>
      </c>
      <c r="AY153" s="75">
        <v>2166.9899999999998</v>
      </c>
      <c r="AZ153" s="75">
        <v>66712.52</v>
      </c>
      <c r="BA153" s="75">
        <v>3053.54</v>
      </c>
      <c r="BB153" s="75">
        <v>71896.97</v>
      </c>
      <c r="BC153" s="78">
        <v>2238.5</v>
      </c>
      <c r="BD153" s="75">
        <v>60196.61</v>
      </c>
      <c r="BE153" s="75">
        <v>1896.99</v>
      </c>
      <c r="BF153" s="75">
        <v>52249.88</v>
      </c>
      <c r="BG153" s="75">
        <v>3951.22</v>
      </c>
      <c r="BH153" s="75">
        <v>57471.82</v>
      </c>
      <c r="BI153" s="78">
        <v>2791.8</v>
      </c>
      <c r="BJ153" s="75">
        <v>51977.31</v>
      </c>
      <c r="BK153" s="75">
        <v>2577.79</v>
      </c>
      <c r="BL153" s="75">
        <v>57457.45</v>
      </c>
      <c r="BM153" s="75">
        <v>1165.8399999999999</v>
      </c>
      <c r="BN153" s="78">
        <v>55314.3</v>
      </c>
      <c r="BO153" s="75">
        <v>2414.62</v>
      </c>
      <c r="BP153" s="75">
        <v>79909.97</v>
      </c>
      <c r="BQ153" s="78">
        <v>3272.6</v>
      </c>
      <c r="BR153" s="75">
        <v>86626.17</v>
      </c>
      <c r="BS153" s="75">
        <v>2472.58</v>
      </c>
      <c r="BT153" s="78">
        <v>89595.199999999997</v>
      </c>
      <c r="BU153" s="75">
        <v>1927.91</v>
      </c>
    </row>
    <row r="154" spans="1:73">
      <c r="A154" s="72" t="s">
        <v>609</v>
      </c>
      <c r="B154" s="76">
        <v>10493.99</v>
      </c>
      <c r="C154" s="76">
        <v>410.21</v>
      </c>
      <c r="D154" s="76">
        <v>9223.11</v>
      </c>
      <c r="E154" s="76">
        <v>239.92</v>
      </c>
      <c r="F154" s="77">
        <v>9435.6</v>
      </c>
      <c r="G154" s="76">
        <v>320.68</v>
      </c>
      <c r="H154" s="76">
        <v>9608.49</v>
      </c>
      <c r="I154" s="76">
        <v>557.16999999999996</v>
      </c>
      <c r="J154" s="76">
        <v>11503.87</v>
      </c>
      <c r="K154" s="76">
        <v>450.42</v>
      </c>
      <c r="L154" s="76">
        <v>11544.23</v>
      </c>
      <c r="M154" s="76">
        <v>388.49</v>
      </c>
      <c r="N154" s="76">
        <v>11080.62</v>
      </c>
      <c r="O154" s="76">
        <v>339.46</v>
      </c>
      <c r="P154" s="76">
        <v>12925.57</v>
      </c>
      <c r="Q154" s="76">
        <v>357.95</v>
      </c>
      <c r="R154" s="76">
        <v>8136.04</v>
      </c>
      <c r="S154" s="76">
        <v>381.24</v>
      </c>
      <c r="T154" s="76">
        <v>10880.03</v>
      </c>
      <c r="U154" s="76">
        <v>337.86</v>
      </c>
      <c r="V154" s="76">
        <v>14014.56</v>
      </c>
      <c r="W154" s="76">
        <v>376.26</v>
      </c>
      <c r="X154" s="76">
        <v>13269.13</v>
      </c>
      <c r="Y154" s="77">
        <v>520.6</v>
      </c>
      <c r="Z154" s="76">
        <v>15391.25</v>
      </c>
      <c r="AA154" s="77">
        <v>537.1</v>
      </c>
      <c r="AB154" s="76">
        <v>11426.96</v>
      </c>
      <c r="AC154" s="76">
        <v>454.76</v>
      </c>
      <c r="AD154" s="76">
        <v>13726.73</v>
      </c>
      <c r="AE154" s="76">
        <v>482.75</v>
      </c>
      <c r="AF154" s="76">
        <v>12188.62</v>
      </c>
      <c r="AG154" s="76">
        <v>1174.23</v>
      </c>
      <c r="AH154" s="77">
        <v>11672</v>
      </c>
      <c r="AI154" s="76">
        <v>382.12</v>
      </c>
      <c r="AJ154" s="76">
        <v>16713.419999999998</v>
      </c>
      <c r="AK154" s="76">
        <v>565.13</v>
      </c>
      <c r="AL154" s="76">
        <v>13784.67</v>
      </c>
      <c r="AM154" s="76">
        <v>741.61</v>
      </c>
      <c r="AN154" s="76">
        <v>14943.32</v>
      </c>
      <c r="AO154" s="76">
        <v>1037.47</v>
      </c>
      <c r="AP154" s="76">
        <v>12644.56</v>
      </c>
      <c r="AQ154" s="76">
        <v>702.61</v>
      </c>
      <c r="AR154" s="76">
        <v>10281.540000000001</v>
      </c>
      <c r="AS154" s="76">
        <v>249.31</v>
      </c>
      <c r="AT154" s="76">
        <v>13650.61</v>
      </c>
      <c r="AU154" s="76">
        <v>397.53</v>
      </c>
      <c r="AV154" s="76">
        <v>13752.03</v>
      </c>
      <c r="AW154" s="76">
        <v>573.35</v>
      </c>
      <c r="AX154" s="76">
        <v>20390.240000000002</v>
      </c>
      <c r="AY154" s="76">
        <v>560.58000000000004</v>
      </c>
      <c r="AZ154" s="76">
        <v>19270.14</v>
      </c>
      <c r="BA154" s="76">
        <v>560.30999999999995</v>
      </c>
      <c r="BB154" s="76">
        <v>16470.72</v>
      </c>
      <c r="BC154" s="76">
        <v>1128.81</v>
      </c>
      <c r="BD154" s="76">
        <v>18697.240000000002</v>
      </c>
      <c r="BE154" s="76">
        <v>1444.93</v>
      </c>
      <c r="BF154" s="76">
        <v>17870.48</v>
      </c>
      <c r="BG154" s="76">
        <v>603.24</v>
      </c>
      <c r="BH154" s="76">
        <v>17185.12</v>
      </c>
      <c r="BI154" s="76">
        <v>733.04</v>
      </c>
      <c r="BJ154" s="76">
        <v>19086.47</v>
      </c>
      <c r="BK154" s="76">
        <v>844.52</v>
      </c>
      <c r="BL154" s="76">
        <v>14208.51</v>
      </c>
      <c r="BM154" s="76">
        <v>1162.8399999999999</v>
      </c>
      <c r="BN154" s="76">
        <v>16884.47</v>
      </c>
      <c r="BO154" s="76">
        <v>847.53</v>
      </c>
      <c r="BP154" s="76">
        <v>24588.83</v>
      </c>
      <c r="BQ154" s="76">
        <v>1078.56</v>
      </c>
      <c r="BR154" s="76">
        <v>22173.95</v>
      </c>
      <c r="BS154" s="76">
        <v>1718.86</v>
      </c>
      <c r="BT154" s="76">
        <v>17319.77</v>
      </c>
      <c r="BU154" s="76">
        <v>1880.17</v>
      </c>
    </row>
    <row r="155" spans="1:73">
      <c r="A155" s="72" t="s">
        <v>611</v>
      </c>
      <c r="B155" s="75">
        <v>1702.39</v>
      </c>
      <c r="C155" s="75">
        <v>3471.59</v>
      </c>
      <c r="D155" s="75">
        <v>3231.67</v>
      </c>
      <c r="E155" s="75">
        <v>1206.8900000000001</v>
      </c>
      <c r="F155" s="75">
        <v>3168.25</v>
      </c>
      <c r="G155" s="75">
        <v>1454.41</v>
      </c>
      <c r="H155" s="75">
        <v>3575.67</v>
      </c>
      <c r="I155" s="75">
        <v>2819.72</v>
      </c>
      <c r="J155" s="75">
        <v>3902.89</v>
      </c>
      <c r="K155" s="75">
        <v>870.71</v>
      </c>
      <c r="L155" s="75">
        <v>5290.41</v>
      </c>
      <c r="M155" s="75">
        <v>5138.91</v>
      </c>
      <c r="N155" s="75">
        <v>6549.57</v>
      </c>
      <c r="O155" s="78">
        <v>2268.6</v>
      </c>
      <c r="P155" s="75">
        <v>6093.37</v>
      </c>
      <c r="Q155" s="75">
        <v>2969.03</v>
      </c>
      <c r="R155" s="75">
        <v>5568.42</v>
      </c>
      <c r="S155" s="75">
        <v>2641.18</v>
      </c>
      <c r="T155" s="75">
        <v>5720.69</v>
      </c>
      <c r="U155" s="75">
        <v>5157.1499999999996</v>
      </c>
      <c r="V155" s="75">
        <v>2540.66</v>
      </c>
      <c r="W155" s="75">
        <v>2678.56</v>
      </c>
      <c r="X155" s="75">
        <v>2549.19</v>
      </c>
      <c r="Y155" s="75">
        <v>3501.12</v>
      </c>
      <c r="Z155" s="75">
        <v>5677.84</v>
      </c>
      <c r="AA155" s="75">
        <v>2983.08</v>
      </c>
      <c r="AB155" s="75">
        <v>4753.3500000000004</v>
      </c>
      <c r="AC155" s="75">
        <v>2324.31</v>
      </c>
      <c r="AD155" s="75">
        <v>3935.77</v>
      </c>
      <c r="AE155" s="75">
        <v>1418.59</v>
      </c>
      <c r="AF155" s="75">
        <v>6250.09</v>
      </c>
      <c r="AG155" s="75">
        <v>1698.05</v>
      </c>
      <c r="AH155" s="75">
        <v>6546.09</v>
      </c>
      <c r="AI155" s="75">
        <v>5164.2700000000004</v>
      </c>
      <c r="AJ155" s="75">
        <v>5484.07</v>
      </c>
      <c r="AK155" s="75">
        <v>6316.82</v>
      </c>
      <c r="AL155" s="75">
        <v>9136.7099999999991</v>
      </c>
      <c r="AM155" s="75">
        <v>1748.08</v>
      </c>
      <c r="AN155" s="75">
        <v>9608.64</v>
      </c>
      <c r="AO155" s="75">
        <v>2680.66</v>
      </c>
      <c r="AP155" s="78">
        <v>6062.4</v>
      </c>
      <c r="AQ155" s="75">
        <v>4063.48</v>
      </c>
      <c r="AR155" s="75">
        <v>11440.52</v>
      </c>
      <c r="AS155" s="75">
        <v>4736.37</v>
      </c>
      <c r="AT155" s="75">
        <v>11272.12</v>
      </c>
      <c r="AU155" s="75">
        <v>6344.08</v>
      </c>
      <c r="AV155" s="75">
        <v>6084.44</v>
      </c>
      <c r="AW155" s="78">
        <v>8258.7000000000007</v>
      </c>
      <c r="AX155" s="75">
        <v>3157.81</v>
      </c>
      <c r="AY155" s="75">
        <v>389.83</v>
      </c>
      <c r="AZ155" s="75">
        <v>2934.28</v>
      </c>
      <c r="BA155" s="75">
        <v>7558.77</v>
      </c>
      <c r="BB155" s="75">
        <v>2457.27</v>
      </c>
      <c r="BC155" s="75">
        <v>4553.46</v>
      </c>
      <c r="BD155" s="78">
        <v>4626.1000000000004</v>
      </c>
      <c r="BE155" s="75">
        <v>3582.87</v>
      </c>
      <c r="BF155" s="78">
        <v>6484.7</v>
      </c>
      <c r="BG155" s="75">
        <v>3955.06</v>
      </c>
      <c r="BH155" s="75">
        <v>5065.92</v>
      </c>
      <c r="BI155" s="75">
        <v>2723.07</v>
      </c>
      <c r="BJ155" s="75">
        <v>5308.92</v>
      </c>
      <c r="BK155" s="75">
        <v>2101.0300000000002</v>
      </c>
      <c r="BL155" s="75">
        <v>5925.71</v>
      </c>
      <c r="BM155" s="78">
        <v>3522.1</v>
      </c>
      <c r="BN155" s="78">
        <v>7554.6</v>
      </c>
      <c r="BO155" s="75">
        <v>3346.76</v>
      </c>
      <c r="BP155" s="75">
        <v>8931.86</v>
      </c>
      <c r="BQ155" s="75">
        <v>4499.6400000000003</v>
      </c>
      <c r="BR155" s="78">
        <v>37641.699999999997</v>
      </c>
      <c r="BS155" s="75">
        <v>5655.92</v>
      </c>
      <c r="BT155" s="75">
        <v>5154.01</v>
      </c>
      <c r="BU155" s="75">
        <v>8782.15</v>
      </c>
    </row>
    <row r="156" spans="1:73">
      <c r="A156" s="72" t="s">
        <v>613</v>
      </c>
      <c r="B156" s="76">
        <v>3248391.74</v>
      </c>
      <c r="C156" s="76">
        <v>9138.7199999999993</v>
      </c>
      <c r="D156" s="76">
        <v>2554430.86</v>
      </c>
      <c r="E156" s="76">
        <v>8103.25</v>
      </c>
      <c r="F156" s="76">
        <v>3114415.51</v>
      </c>
      <c r="G156" s="76">
        <v>6161.86</v>
      </c>
      <c r="H156" s="76">
        <v>2905056.77</v>
      </c>
      <c r="I156" s="76">
        <v>74619.27</v>
      </c>
      <c r="J156" s="77">
        <v>3267015.1</v>
      </c>
      <c r="K156" s="76">
        <v>8765.5499999999993</v>
      </c>
      <c r="L156" s="76">
        <v>3155666.85</v>
      </c>
      <c r="M156" s="77">
        <v>11045.7</v>
      </c>
      <c r="N156" s="77">
        <v>2458677.5</v>
      </c>
      <c r="O156" s="77">
        <v>5328.6</v>
      </c>
      <c r="P156" s="76">
        <v>2816826.85</v>
      </c>
      <c r="Q156" s="76">
        <v>7960.64</v>
      </c>
      <c r="R156" s="76">
        <v>2503548.5299999998</v>
      </c>
      <c r="S156" s="76">
        <v>10470.73</v>
      </c>
      <c r="T156" s="77">
        <v>2671401.7000000002</v>
      </c>
      <c r="U156" s="76">
        <v>12574.59</v>
      </c>
      <c r="V156" s="76">
        <v>2440141.31</v>
      </c>
      <c r="W156" s="76">
        <v>17374.52</v>
      </c>
      <c r="X156" s="76">
        <v>3184348.41</v>
      </c>
      <c r="Y156" s="76">
        <v>20143.34</v>
      </c>
      <c r="Z156" s="76">
        <v>3113796.74</v>
      </c>
      <c r="AA156" s="76">
        <v>83405.87</v>
      </c>
      <c r="AB156" s="76">
        <v>2487185.75</v>
      </c>
      <c r="AC156" s="76">
        <v>43520.32</v>
      </c>
      <c r="AD156" s="76">
        <v>2294707.36</v>
      </c>
      <c r="AE156" s="76">
        <v>17236.77</v>
      </c>
      <c r="AF156" s="76">
        <v>2268239.92</v>
      </c>
      <c r="AG156" s="76">
        <v>196267.76</v>
      </c>
      <c r="AH156" s="76">
        <v>2306931.54</v>
      </c>
      <c r="AI156" s="76">
        <v>51020.37</v>
      </c>
      <c r="AJ156" s="76">
        <v>3026885.87</v>
      </c>
      <c r="AK156" s="76">
        <v>65641.179999999993</v>
      </c>
      <c r="AL156" s="76">
        <v>2027189.54</v>
      </c>
      <c r="AM156" s="76">
        <v>28362.17</v>
      </c>
      <c r="AN156" s="76">
        <v>2881146.96</v>
      </c>
      <c r="AO156" s="76">
        <v>22071.53</v>
      </c>
      <c r="AP156" s="76">
        <v>2626639.59</v>
      </c>
      <c r="AQ156" s="76">
        <v>48831.69</v>
      </c>
      <c r="AR156" s="76">
        <v>1728798.53</v>
      </c>
      <c r="AS156" s="76">
        <v>11373.95</v>
      </c>
      <c r="AT156" s="76">
        <v>2278500.62</v>
      </c>
      <c r="AU156" s="77">
        <v>31596.2</v>
      </c>
      <c r="AV156" s="76">
        <v>2215475.7200000002</v>
      </c>
      <c r="AW156" s="76">
        <v>16445.77</v>
      </c>
      <c r="AX156" s="76">
        <v>2029350.14</v>
      </c>
      <c r="AY156" s="76">
        <v>9214.57</v>
      </c>
      <c r="AZ156" s="76">
        <v>2564292.52</v>
      </c>
      <c r="BA156" s="76">
        <v>38046.11</v>
      </c>
      <c r="BB156" s="76">
        <v>1553405.93</v>
      </c>
      <c r="BC156" s="76">
        <v>22715.35</v>
      </c>
      <c r="BD156" s="76">
        <v>2281539.14</v>
      </c>
      <c r="BE156" s="76">
        <v>11682.69</v>
      </c>
      <c r="BF156" s="76">
        <v>2824629.71</v>
      </c>
      <c r="BG156" s="76">
        <v>78269.929999999993</v>
      </c>
      <c r="BH156" s="76">
        <v>1617477.65</v>
      </c>
      <c r="BI156" s="76">
        <v>357999.54</v>
      </c>
      <c r="BJ156" s="76">
        <v>3211458.55</v>
      </c>
      <c r="BK156" s="76">
        <v>14731.57</v>
      </c>
      <c r="BL156" s="76">
        <v>1505944.56</v>
      </c>
      <c r="BM156" s="76">
        <v>8571.9699999999993</v>
      </c>
      <c r="BN156" s="76">
        <v>3082417.69</v>
      </c>
      <c r="BO156" s="76">
        <v>9767.2900000000009</v>
      </c>
      <c r="BP156" s="77">
        <v>3177062.6</v>
      </c>
      <c r="BQ156" s="76">
        <v>8120.16</v>
      </c>
      <c r="BR156" s="76">
        <v>2292156.85</v>
      </c>
      <c r="BS156" s="76">
        <v>6859.48</v>
      </c>
      <c r="BT156" s="76">
        <v>1664060.29</v>
      </c>
      <c r="BU156" s="77">
        <v>8839</v>
      </c>
    </row>
    <row r="157" spans="1:73">
      <c r="A157" s="72" t="s">
        <v>995</v>
      </c>
      <c r="B157" s="75">
        <v>7386.42</v>
      </c>
      <c r="C157" s="73" t="s">
        <v>207</v>
      </c>
      <c r="D157" s="75">
        <v>8200.84</v>
      </c>
      <c r="E157" s="73" t="s">
        <v>207</v>
      </c>
      <c r="F157" s="75">
        <v>7217.26</v>
      </c>
      <c r="G157" s="75">
        <v>13.19</v>
      </c>
      <c r="H157" s="75">
        <v>7648.16</v>
      </c>
      <c r="I157" s="73" t="s">
        <v>207</v>
      </c>
      <c r="J157" s="75">
        <v>8052.06</v>
      </c>
      <c r="K157" s="78">
        <v>10</v>
      </c>
      <c r="L157" s="78">
        <v>8252.7999999999993</v>
      </c>
      <c r="M157" s="78">
        <v>10</v>
      </c>
      <c r="N157" s="75">
        <v>8756.92</v>
      </c>
      <c r="O157" s="73" t="s">
        <v>207</v>
      </c>
      <c r="P157" s="78">
        <v>7126.6</v>
      </c>
      <c r="Q157" s="73" t="s">
        <v>207</v>
      </c>
      <c r="R157" s="75">
        <v>14461.44</v>
      </c>
      <c r="S157" s="78">
        <v>10</v>
      </c>
      <c r="T157" s="78">
        <v>6136.6</v>
      </c>
      <c r="U157" s="75">
        <v>10.58</v>
      </c>
      <c r="V157" s="78">
        <v>6693.8</v>
      </c>
      <c r="W157" s="75">
        <v>8.61</v>
      </c>
      <c r="X157" s="78">
        <v>6136.1</v>
      </c>
      <c r="Y157" s="78">
        <v>490</v>
      </c>
      <c r="Z157" s="78">
        <v>5808.6</v>
      </c>
      <c r="AA157" s="78">
        <v>10</v>
      </c>
      <c r="AB157" s="78">
        <v>6872.2</v>
      </c>
      <c r="AC157" s="78">
        <v>21.3</v>
      </c>
      <c r="AD157" s="78">
        <v>7640.2</v>
      </c>
      <c r="AE157" s="73" t="s">
        <v>207</v>
      </c>
      <c r="AF157" s="78">
        <v>7829.2</v>
      </c>
      <c r="AG157" s="75">
        <v>11.17</v>
      </c>
      <c r="AH157" s="78">
        <v>7461.5</v>
      </c>
      <c r="AI157" s="75">
        <v>64.83</v>
      </c>
      <c r="AJ157" s="78">
        <v>8220</v>
      </c>
      <c r="AK157" s="75">
        <v>13.13</v>
      </c>
      <c r="AL157" s="78">
        <v>9183.6</v>
      </c>
      <c r="AM157" s="78">
        <v>751.5</v>
      </c>
      <c r="AN157" s="78">
        <v>7476.8</v>
      </c>
      <c r="AO157" s="78">
        <v>10</v>
      </c>
      <c r="AP157" s="78">
        <v>7670.4</v>
      </c>
      <c r="AQ157" s="73" t="s">
        <v>207</v>
      </c>
      <c r="AR157" s="78">
        <v>7409</v>
      </c>
      <c r="AS157" s="73" t="s">
        <v>207</v>
      </c>
      <c r="AT157" s="78">
        <v>8197.7999999999993</v>
      </c>
      <c r="AU157" s="73" t="s">
        <v>207</v>
      </c>
      <c r="AV157" s="78">
        <v>5829.4</v>
      </c>
      <c r="AW157" s="75">
        <v>7.29</v>
      </c>
      <c r="AX157" s="78">
        <v>4468.8</v>
      </c>
      <c r="AY157" s="75">
        <v>6.96</v>
      </c>
      <c r="AZ157" s="78">
        <v>4994.3999999999996</v>
      </c>
      <c r="BA157" s="75">
        <v>12.41</v>
      </c>
      <c r="BB157" s="75">
        <v>4214.16</v>
      </c>
      <c r="BC157" s="75">
        <v>21.68</v>
      </c>
      <c r="BD157" s="78">
        <v>5229.8</v>
      </c>
      <c r="BE157" s="73" t="s">
        <v>207</v>
      </c>
      <c r="BF157" s="78">
        <v>6241.8</v>
      </c>
      <c r="BG157" s="73" t="s">
        <v>207</v>
      </c>
      <c r="BH157" s="78">
        <v>4400.6000000000004</v>
      </c>
      <c r="BI157" s="73" t="s">
        <v>207</v>
      </c>
      <c r="BJ157" s="78">
        <v>5508.6</v>
      </c>
      <c r="BK157" s="73" t="s">
        <v>207</v>
      </c>
      <c r="BL157" s="75">
        <v>5517.76</v>
      </c>
      <c r="BM157" s="73" t="s">
        <v>207</v>
      </c>
      <c r="BN157" s="78">
        <v>4699.3999999999996</v>
      </c>
      <c r="BO157" s="73" t="s">
        <v>207</v>
      </c>
      <c r="BP157" s="78">
        <v>6788.4</v>
      </c>
      <c r="BQ157" s="73" t="s">
        <v>207</v>
      </c>
      <c r="BR157" s="75">
        <v>4177.22</v>
      </c>
      <c r="BS157" s="78">
        <v>0.2</v>
      </c>
      <c r="BT157" s="78">
        <v>4363.8999999999996</v>
      </c>
      <c r="BU157" s="73" t="s">
        <v>207</v>
      </c>
    </row>
    <row r="158" spans="1:73">
      <c r="A158" s="72" t="s">
        <v>615</v>
      </c>
      <c r="B158" s="77">
        <v>690.4</v>
      </c>
      <c r="C158" s="74" t="s">
        <v>207</v>
      </c>
      <c r="D158" s="77">
        <v>257.2</v>
      </c>
      <c r="E158" s="74" t="s">
        <v>207</v>
      </c>
      <c r="F158" s="76">
        <v>260.13</v>
      </c>
      <c r="G158" s="74" t="s">
        <v>207</v>
      </c>
      <c r="H158" s="77">
        <v>296.8</v>
      </c>
      <c r="I158" s="74" t="s">
        <v>207</v>
      </c>
      <c r="J158" s="77">
        <v>600</v>
      </c>
      <c r="K158" s="74" t="s">
        <v>207</v>
      </c>
      <c r="L158" s="77">
        <v>243</v>
      </c>
      <c r="M158" s="74" t="s">
        <v>207</v>
      </c>
      <c r="N158" s="74" t="s">
        <v>207</v>
      </c>
      <c r="O158" s="74" t="s">
        <v>207</v>
      </c>
      <c r="P158" s="77">
        <v>252.2</v>
      </c>
      <c r="Q158" s="74" t="s">
        <v>207</v>
      </c>
      <c r="R158" s="74" t="s">
        <v>207</v>
      </c>
      <c r="S158" s="74" t="s">
        <v>207</v>
      </c>
      <c r="T158" s="77">
        <v>859</v>
      </c>
      <c r="U158" s="74" t="s">
        <v>207</v>
      </c>
      <c r="V158" s="74" t="s">
        <v>207</v>
      </c>
      <c r="W158" s="74" t="s">
        <v>207</v>
      </c>
      <c r="X158" s="74" t="s">
        <v>207</v>
      </c>
      <c r="Y158" s="74" t="s">
        <v>207</v>
      </c>
      <c r="Z158" s="74" t="s">
        <v>207</v>
      </c>
      <c r="AA158" s="74" t="s">
        <v>207</v>
      </c>
      <c r="AB158" s="77">
        <v>9</v>
      </c>
      <c r="AC158" s="74" t="s">
        <v>207</v>
      </c>
      <c r="AD158" s="74" t="s">
        <v>207</v>
      </c>
      <c r="AE158" s="74" t="s">
        <v>207</v>
      </c>
      <c r="AF158" s="74" t="s">
        <v>207</v>
      </c>
      <c r="AG158" s="74" t="s">
        <v>207</v>
      </c>
      <c r="AH158" s="74" t="s">
        <v>207</v>
      </c>
      <c r="AI158" s="74" t="s">
        <v>207</v>
      </c>
      <c r="AJ158" s="76">
        <v>0.05</v>
      </c>
      <c r="AK158" s="74" t="s">
        <v>207</v>
      </c>
      <c r="AL158" s="74" t="s">
        <v>207</v>
      </c>
      <c r="AM158" s="74" t="s">
        <v>207</v>
      </c>
      <c r="AN158" s="77">
        <v>7.2</v>
      </c>
      <c r="AO158" s="74" t="s">
        <v>207</v>
      </c>
      <c r="AP158" s="74" t="s">
        <v>207</v>
      </c>
      <c r="AQ158" s="74" t="s">
        <v>207</v>
      </c>
      <c r="AR158" s="74" t="s">
        <v>207</v>
      </c>
      <c r="AS158" s="74" t="s">
        <v>207</v>
      </c>
      <c r="AT158" s="74" t="s">
        <v>207</v>
      </c>
      <c r="AU158" s="74" t="s">
        <v>207</v>
      </c>
      <c r="AV158" s="76">
        <v>0.75</v>
      </c>
      <c r="AW158" s="74" t="s">
        <v>207</v>
      </c>
      <c r="AX158" s="74" t="s">
        <v>207</v>
      </c>
      <c r="AY158" s="74" t="s">
        <v>207</v>
      </c>
      <c r="AZ158" s="77">
        <v>0</v>
      </c>
      <c r="BA158" s="74" t="s">
        <v>207</v>
      </c>
      <c r="BB158" s="77">
        <v>0</v>
      </c>
      <c r="BC158" s="74" t="s">
        <v>207</v>
      </c>
      <c r="BD158" s="77">
        <v>260.39999999999998</v>
      </c>
      <c r="BE158" s="74" t="s">
        <v>207</v>
      </c>
      <c r="BF158" s="76">
        <v>0.03</v>
      </c>
      <c r="BG158" s="74" t="s">
        <v>207</v>
      </c>
      <c r="BH158" s="76">
        <v>0.01</v>
      </c>
      <c r="BI158" s="74" t="s">
        <v>207</v>
      </c>
      <c r="BJ158" s="77">
        <v>256.39999999999998</v>
      </c>
      <c r="BK158" s="74" t="s">
        <v>207</v>
      </c>
      <c r="BL158" s="76">
        <v>12.68</v>
      </c>
      <c r="BM158" s="74" t="s">
        <v>207</v>
      </c>
      <c r="BN158" s="74" t="s">
        <v>207</v>
      </c>
      <c r="BO158" s="74" t="s">
        <v>207</v>
      </c>
      <c r="BP158" s="76">
        <v>0.04</v>
      </c>
      <c r="BQ158" s="76">
        <v>0.04</v>
      </c>
      <c r="BR158" s="77">
        <v>1128.4000000000001</v>
      </c>
      <c r="BS158" s="74" t="s">
        <v>207</v>
      </c>
      <c r="BT158" s="74" t="s">
        <v>207</v>
      </c>
      <c r="BU158" s="74" t="s">
        <v>207</v>
      </c>
    </row>
    <row r="159" spans="1:73">
      <c r="A159" s="72" t="s">
        <v>617</v>
      </c>
      <c r="B159" s="75">
        <v>72006.649999999994</v>
      </c>
      <c r="C159" s="75">
        <v>2.54</v>
      </c>
      <c r="D159" s="75">
        <v>78766.960000000006</v>
      </c>
      <c r="E159" s="75">
        <v>1.27</v>
      </c>
      <c r="F159" s="75">
        <v>86645.73</v>
      </c>
      <c r="G159" s="73" t="s">
        <v>207</v>
      </c>
      <c r="H159" s="78">
        <v>85070.1</v>
      </c>
      <c r="I159" s="75">
        <v>240.92</v>
      </c>
      <c r="J159" s="75">
        <v>82601.22</v>
      </c>
      <c r="K159" s="75">
        <v>29.03</v>
      </c>
      <c r="L159" s="78">
        <v>80909.100000000006</v>
      </c>
      <c r="M159" s="73" t="s">
        <v>207</v>
      </c>
      <c r="N159" s="75">
        <v>78735.87</v>
      </c>
      <c r="O159" s="75">
        <v>23.61</v>
      </c>
      <c r="P159" s="75">
        <v>74132.22</v>
      </c>
      <c r="Q159" s="73" t="s">
        <v>207</v>
      </c>
      <c r="R159" s="75">
        <v>74277.81</v>
      </c>
      <c r="S159" s="75">
        <v>14.68</v>
      </c>
      <c r="T159" s="75">
        <v>59636.18</v>
      </c>
      <c r="U159" s="75">
        <v>4.42</v>
      </c>
      <c r="V159" s="75">
        <v>65397.01</v>
      </c>
      <c r="W159" s="75">
        <v>2.13</v>
      </c>
      <c r="X159" s="75">
        <v>63484.23</v>
      </c>
      <c r="Y159" s="75">
        <v>2.37</v>
      </c>
      <c r="Z159" s="75">
        <v>72738.11</v>
      </c>
      <c r="AA159" s="78">
        <v>98.6</v>
      </c>
      <c r="AB159" s="75">
        <v>85014.41</v>
      </c>
      <c r="AC159" s="78">
        <v>30.4</v>
      </c>
      <c r="AD159" s="75">
        <v>91990.14</v>
      </c>
      <c r="AE159" s="75">
        <v>276.02</v>
      </c>
      <c r="AF159" s="75">
        <v>80831.64</v>
      </c>
      <c r="AG159" s="73" t="s">
        <v>207</v>
      </c>
      <c r="AH159" s="75">
        <v>82625.05</v>
      </c>
      <c r="AI159" s="78">
        <v>248</v>
      </c>
      <c r="AJ159" s="75">
        <v>80013.89</v>
      </c>
      <c r="AK159" s="78">
        <v>99.4</v>
      </c>
      <c r="AL159" s="75">
        <v>78442.37</v>
      </c>
      <c r="AM159" s="78">
        <v>1135.2</v>
      </c>
      <c r="AN159" s="75">
        <v>71469.64</v>
      </c>
      <c r="AO159" s="78">
        <v>1503</v>
      </c>
      <c r="AP159" s="75">
        <v>71080.73</v>
      </c>
      <c r="AQ159" s="78">
        <v>2306.1999999999998</v>
      </c>
      <c r="AR159" s="75">
        <v>63444.14</v>
      </c>
      <c r="AS159" s="78">
        <v>663.4</v>
      </c>
      <c r="AT159" s="75">
        <v>51602.68</v>
      </c>
      <c r="AU159" s="78">
        <v>1447.2</v>
      </c>
      <c r="AV159" s="75">
        <v>67250.080000000002</v>
      </c>
      <c r="AW159" s="75">
        <v>1166.6500000000001</v>
      </c>
      <c r="AX159" s="78">
        <v>49848.5</v>
      </c>
      <c r="AY159" s="78">
        <v>2413.4</v>
      </c>
      <c r="AZ159" s="75">
        <v>64000.73</v>
      </c>
      <c r="BA159" s="75">
        <v>564.58000000000004</v>
      </c>
      <c r="BB159" s="75">
        <v>58376.98</v>
      </c>
      <c r="BC159" s="73" t="s">
        <v>207</v>
      </c>
      <c r="BD159" s="75">
        <v>64558.74</v>
      </c>
      <c r="BE159" s="75">
        <v>576.89</v>
      </c>
      <c r="BF159" s="75">
        <v>60912.49</v>
      </c>
      <c r="BG159" s="75">
        <v>569.98</v>
      </c>
      <c r="BH159" s="75">
        <v>66916.33</v>
      </c>
      <c r="BI159" s="78">
        <v>273.8</v>
      </c>
      <c r="BJ159" s="75">
        <v>68366.539999999994</v>
      </c>
      <c r="BK159" s="75">
        <v>304.56</v>
      </c>
      <c r="BL159" s="75">
        <v>87529.279999999999</v>
      </c>
      <c r="BM159" s="75">
        <v>5.26</v>
      </c>
      <c r="BN159" s="75">
        <v>68177.47</v>
      </c>
      <c r="BO159" s="73" t="s">
        <v>207</v>
      </c>
      <c r="BP159" s="75">
        <v>79788.509999999995</v>
      </c>
      <c r="BQ159" s="78">
        <v>43</v>
      </c>
      <c r="BR159" s="75">
        <v>43333.83</v>
      </c>
      <c r="BS159" s="75">
        <v>80.84</v>
      </c>
      <c r="BT159" s="75">
        <v>48318.85</v>
      </c>
      <c r="BU159" s="75">
        <v>400.89</v>
      </c>
    </row>
    <row r="160" spans="1:73">
      <c r="A160" s="72" t="s">
        <v>619</v>
      </c>
      <c r="B160" s="76">
        <v>596359.43999999994</v>
      </c>
      <c r="C160" s="77">
        <v>12909.2</v>
      </c>
      <c r="D160" s="76">
        <v>607922.89</v>
      </c>
      <c r="E160" s="77">
        <v>7939</v>
      </c>
      <c r="F160" s="76">
        <v>524312.51</v>
      </c>
      <c r="G160" s="76">
        <v>9862.01</v>
      </c>
      <c r="H160" s="76">
        <v>552663.01</v>
      </c>
      <c r="I160" s="76">
        <v>98744.54</v>
      </c>
      <c r="J160" s="76">
        <v>936928.89</v>
      </c>
      <c r="K160" s="77">
        <v>83780</v>
      </c>
      <c r="L160" s="76">
        <v>904976.21</v>
      </c>
      <c r="M160" s="77">
        <v>34126.800000000003</v>
      </c>
      <c r="N160" s="76">
        <v>847088.29</v>
      </c>
      <c r="O160" s="77">
        <v>16945.099999999999</v>
      </c>
      <c r="P160" s="76">
        <v>827084.84</v>
      </c>
      <c r="Q160" s="76">
        <v>144326.64000000001</v>
      </c>
      <c r="R160" s="76">
        <v>894950.55</v>
      </c>
      <c r="S160" s="76">
        <v>10760.45</v>
      </c>
      <c r="T160" s="76">
        <v>725312.75</v>
      </c>
      <c r="U160" s="76">
        <v>10135.94</v>
      </c>
      <c r="V160" s="76">
        <v>565966.44999999995</v>
      </c>
      <c r="W160" s="76">
        <v>9161.41</v>
      </c>
      <c r="X160" s="76">
        <v>836208.75</v>
      </c>
      <c r="Y160" s="76">
        <v>96625.32</v>
      </c>
      <c r="Z160" s="76">
        <v>1105850.3500000001</v>
      </c>
      <c r="AA160" s="76">
        <v>80800.759999999995</v>
      </c>
      <c r="AB160" s="77">
        <v>602319.5</v>
      </c>
      <c r="AC160" s="77">
        <v>12882.8</v>
      </c>
      <c r="AD160" s="76">
        <v>496289.26</v>
      </c>
      <c r="AE160" s="76">
        <v>62828.63</v>
      </c>
      <c r="AF160" s="76">
        <v>576648.56999999995</v>
      </c>
      <c r="AG160" s="76">
        <v>132358.04999999999</v>
      </c>
      <c r="AH160" s="76">
        <v>658650.86</v>
      </c>
      <c r="AI160" s="76">
        <v>175631.31</v>
      </c>
      <c r="AJ160" s="76">
        <v>904256.58</v>
      </c>
      <c r="AK160" s="76">
        <v>85709.19</v>
      </c>
      <c r="AL160" s="76">
        <v>836754.56</v>
      </c>
      <c r="AM160" s="76">
        <v>147496.62</v>
      </c>
      <c r="AN160" s="76">
        <v>852026.05</v>
      </c>
      <c r="AO160" s="77">
        <v>56599.6</v>
      </c>
      <c r="AP160" s="76">
        <v>552148.94999999995</v>
      </c>
      <c r="AQ160" s="77">
        <v>114268.6</v>
      </c>
      <c r="AR160" s="77">
        <v>1305725</v>
      </c>
      <c r="AS160" s="76">
        <v>85404.11</v>
      </c>
      <c r="AT160" s="77">
        <v>886574.9</v>
      </c>
      <c r="AU160" s="77">
        <v>17549.8</v>
      </c>
      <c r="AV160" s="76">
        <v>1080277.95</v>
      </c>
      <c r="AW160" s="77">
        <v>81201.600000000006</v>
      </c>
      <c r="AX160" s="76">
        <v>542689.43999999994</v>
      </c>
      <c r="AY160" s="76">
        <v>59031.23</v>
      </c>
      <c r="AZ160" s="77">
        <v>634906.5</v>
      </c>
      <c r="BA160" s="76">
        <v>25806.68</v>
      </c>
      <c r="BB160" s="76">
        <v>678789.94</v>
      </c>
      <c r="BC160" s="76">
        <v>19518.47</v>
      </c>
      <c r="BD160" s="76">
        <v>422193.94</v>
      </c>
      <c r="BE160" s="76">
        <v>119043.72</v>
      </c>
      <c r="BF160" s="76">
        <v>474344.93</v>
      </c>
      <c r="BG160" s="76">
        <v>158265.56</v>
      </c>
      <c r="BH160" s="76">
        <v>780719.18</v>
      </c>
      <c r="BI160" s="76">
        <v>182606.92</v>
      </c>
      <c r="BJ160" s="76">
        <v>1101488.43</v>
      </c>
      <c r="BK160" s="76">
        <v>165856.85</v>
      </c>
      <c r="BL160" s="76">
        <v>888070.99</v>
      </c>
      <c r="BM160" s="76">
        <v>61718.879999999997</v>
      </c>
      <c r="BN160" s="76">
        <v>837821.02</v>
      </c>
      <c r="BO160" s="76">
        <v>149298.01</v>
      </c>
      <c r="BP160" s="76">
        <v>869325.82</v>
      </c>
      <c r="BQ160" s="76">
        <v>61554.14</v>
      </c>
      <c r="BR160" s="76">
        <v>509608.34</v>
      </c>
      <c r="BS160" s="77">
        <v>134057.5</v>
      </c>
      <c r="BT160" s="76">
        <v>962639.12</v>
      </c>
      <c r="BU160" s="76">
        <v>86680.08</v>
      </c>
    </row>
    <row r="161" spans="1:73">
      <c r="A161" s="72" t="s">
        <v>621</v>
      </c>
      <c r="B161" s="73" t="s">
        <v>207</v>
      </c>
      <c r="C161" s="73" t="s">
        <v>207</v>
      </c>
      <c r="D161" s="73" t="s">
        <v>207</v>
      </c>
      <c r="E161" s="73" t="s">
        <v>207</v>
      </c>
      <c r="F161" s="73" t="s">
        <v>207</v>
      </c>
      <c r="G161" s="73" t="s">
        <v>207</v>
      </c>
      <c r="H161" s="73" t="s">
        <v>207</v>
      </c>
      <c r="I161" s="73" t="s">
        <v>207</v>
      </c>
      <c r="J161" s="73" t="s">
        <v>207</v>
      </c>
      <c r="K161" s="73" t="s">
        <v>207</v>
      </c>
      <c r="L161" s="73" t="s">
        <v>207</v>
      </c>
      <c r="M161" s="73" t="s">
        <v>207</v>
      </c>
      <c r="N161" s="73" t="s">
        <v>207</v>
      </c>
      <c r="O161" s="73" t="s">
        <v>207</v>
      </c>
      <c r="P161" s="73" t="s">
        <v>207</v>
      </c>
      <c r="Q161" s="73" t="s">
        <v>207</v>
      </c>
      <c r="R161" s="73" t="s">
        <v>207</v>
      </c>
      <c r="S161" s="73" t="s">
        <v>207</v>
      </c>
      <c r="T161" s="73" t="s">
        <v>207</v>
      </c>
      <c r="U161" s="73" t="s">
        <v>207</v>
      </c>
      <c r="V161" s="73" t="s">
        <v>207</v>
      </c>
      <c r="W161" s="73" t="s">
        <v>207</v>
      </c>
      <c r="X161" s="73" t="s">
        <v>207</v>
      </c>
      <c r="Y161" s="73" t="s">
        <v>207</v>
      </c>
      <c r="Z161" s="73" t="s">
        <v>207</v>
      </c>
      <c r="AA161" s="73" t="s">
        <v>207</v>
      </c>
      <c r="AB161" s="73" t="s">
        <v>207</v>
      </c>
      <c r="AC161" s="73" t="s">
        <v>207</v>
      </c>
      <c r="AD161" s="73" t="s">
        <v>207</v>
      </c>
      <c r="AE161" s="73" t="s">
        <v>207</v>
      </c>
      <c r="AF161" s="73" t="s">
        <v>207</v>
      </c>
      <c r="AG161" s="73" t="s">
        <v>207</v>
      </c>
      <c r="AH161" s="73" t="s">
        <v>207</v>
      </c>
      <c r="AI161" s="73" t="s">
        <v>207</v>
      </c>
      <c r="AJ161" s="73" t="s">
        <v>207</v>
      </c>
      <c r="AK161" s="73" t="s">
        <v>207</v>
      </c>
      <c r="AL161" s="73" t="s">
        <v>207</v>
      </c>
      <c r="AM161" s="73" t="s">
        <v>207</v>
      </c>
      <c r="AN161" s="73" t="s">
        <v>207</v>
      </c>
      <c r="AO161" s="73" t="s">
        <v>207</v>
      </c>
      <c r="AP161" s="73" t="s">
        <v>207</v>
      </c>
      <c r="AQ161" s="73" t="s">
        <v>207</v>
      </c>
      <c r="AR161" s="73" t="s">
        <v>207</v>
      </c>
      <c r="AS161" s="73" t="s">
        <v>207</v>
      </c>
      <c r="AT161" s="73" t="s">
        <v>207</v>
      </c>
      <c r="AU161" s="73" t="s">
        <v>207</v>
      </c>
      <c r="AV161" s="73" t="s">
        <v>207</v>
      </c>
      <c r="AW161" s="73" t="s">
        <v>207</v>
      </c>
      <c r="AX161" s="73" t="s">
        <v>207</v>
      </c>
      <c r="AY161" s="73" t="s">
        <v>207</v>
      </c>
      <c r="AZ161" s="73" t="s">
        <v>207</v>
      </c>
      <c r="BA161" s="73" t="s">
        <v>207</v>
      </c>
      <c r="BB161" s="73" t="s">
        <v>207</v>
      </c>
      <c r="BC161" s="73" t="s">
        <v>207</v>
      </c>
      <c r="BD161" s="73" t="s">
        <v>207</v>
      </c>
      <c r="BE161" s="73" t="s">
        <v>207</v>
      </c>
      <c r="BF161" s="73" t="s">
        <v>207</v>
      </c>
      <c r="BG161" s="73" t="s">
        <v>207</v>
      </c>
      <c r="BH161" s="73" t="s">
        <v>207</v>
      </c>
      <c r="BI161" s="73" t="s">
        <v>207</v>
      </c>
      <c r="BJ161" s="73" t="s">
        <v>207</v>
      </c>
      <c r="BK161" s="73" t="s">
        <v>207</v>
      </c>
      <c r="BL161" s="73" t="s">
        <v>207</v>
      </c>
      <c r="BM161" s="73" t="s">
        <v>207</v>
      </c>
      <c r="BN161" s="73" t="s">
        <v>207</v>
      </c>
      <c r="BO161" s="73" t="s">
        <v>207</v>
      </c>
      <c r="BP161" s="73" t="s">
        <v>207</v>
      </c>
      <c r="BQ161" s="73" t="s">
        <v>207</v>
      </c>
      <c r="BR161" s="73" t="s">
        <v>207</v>
      </c>
      <c r="BS161" s="73" t="s">
        <v>207</v>
      </c>
      <c r="BT161" s="73" t="s">
        <v>207</v>
      </c>
      <c r="BU161" s="73" t="s">
        <v>207</v>
      </c>
    </row>
    <row r="162" spans="1:73">
      <c r="A162" s="72" t="s">
        <v>623</v>
      </c>
      <c r="B162" s="76">
        <v>273661.78000000003</v>
      </c>
      <c r="C162" s="76">
        <v>370163.14</v>
      </c>
      <c r="D162" s="76">
        <v>381047.51</v>
      </c>
      <c r="E162" s="76">
        <v>490738.91</v>
      </c>
      <c r="F162" s="76">
        <v>369577.72</v>
      </c>
      <c r="G162" s="76">
        <v>612886.06999999995</v>
      </c>
      <c r="H162" s="76">
        <v>430649.43</v>
      </c>
      <c r="I162" s="76">
        <v>536981.63</v>
      </c>
      <c r="J162" s="76">
        <v>334250.96000000002</v>
      </c>
      <c r="K162" s="76">
        <v>426424.12</v>
      </c>
      <c r="L162" s="76">
        <v>263985.33</v>
      </c>
      <c r="M162" s="76">
        <v>721975.89</v>
      </c>
      <c r="N162" s="76">
        <v>256067.54</v>
      </c>
      <c r="O162" s="76">
        <v>439364.95</v>
      </c>
      <c r="P162" s="76">
        <v>232770.87</v>
      </c>
      <c r="Q162" s="77">
        <v>429332.7</v>
      </c>
      <c r="R162" s="76">
        <v>356901.08</v>
      </c>
      <c r="S162" s="76">
        <v>510059.42</v>
      </c>
      <c r="T162" s="76">
        <v>286397.52</v>
      </c>
      <c r="U162" s="76">
        <v>387338.72</v>
      </c>
      <c r="V162" s="77">
        <v>921150.7</v>
      </c>
      <c r="W162" s="76">
        <v>277997.25</v>
      </c>
      <c r="X162" s="76">
        <v>181555.68</v>
      </c>
      <c r="Y162" s="76">
        <v>311670.37</v>
      </c>
      <c r="Z162" s="76">
        <v>241933.75</v>
      </c>
      <c r="AA162" s="77">
        <v>382341.9</v>
      </c>
      <c r="AB162" s="76">
        <v>336891.58</v>
      </c>
      <c r="AC162" s="76">
        <v>253679.15</v>
      </c>
      <c r="AD162" s="76">
        <v>346974.48</v>
      </c>
      <c r="AE162" s="76">
        <v>263390.21000000002</v>
      </c>
      <c r="AF162" s="76">
        <v>374202.54</v>
      </c>
      <c r="AG162" s="76">
        <v>319378.78999999998</v>
      </c>
      <c r="AH162" s="76">
        <v>436185.59</v>
      </c>
      <c r="AI162" s="76">
        <v>389883.23</v>
      </c>
      <c r="AJ162" s="76">
        <v>439567.15</v>
      </c>
      <c r="AK162" s="76">
        <v>412728.61</v>
      </c>
      <c r="AL162" s="76">
        <v>569017.18000000005</v>
      </c>
      <c r="AM162" s="76">
        <v>413773.09</v>
      </c>
      <c r="AN162" s="76">
        <v>447726.77</v>
      </c>
      <c r="AO162" s="76">
        <v>455243.25</v>
      </c>
      <c r="AP162" s="76">
        <v>574864.15</v>
      </c>
      <c r="AQ162" s="76">
        <v>484129.53</v>
      </c>
      <c r="AR162" s="76">
        <v>403210.11</v>
      </c>
      <c r="AS162" s="77">
        <v>400833.4</v>
      </c>
      <c r="AT162" s="76">
        <v>265585.61</v>
      </c>
      <c r="AU162" s="76">
        <v>681119.83</v>
      </c>
      <c r="AV162" s="76">
        <v>212066.37</v>
      </c>
      <c r="AW162" s="76">
        <v>632549.65</v>
      </c>
      <c r="AX162" s="76">
        <v>278705.76</v>
      </c>
      <c r="AY162" s="76">
        <v>337835.41</v>
      </c>
      <c r="AZ162" s="76">
        <v>525081.81000000006</v>
      </c>
      <c r="BA162" s="76">
        <v>216106.35</v>
      </c>
      <c r="BB162" s="77">
        <v>543163.5</v>
      </c>
      <c r="BC162" s="76">
        <v>327033.45</v>
      </c>
      <c r="BD162" s="76">
        <v>629649.67000000004</v>
      </c>
      <c r="BE162" s="76">
        <v>271576.71000000002</v>
      </c>
      <c r="BF162" s="76">
        <v>477178.12</v>
      </c>
      <c r="BG162" s="77">
        <v>241588.8</v>
      </c>
      <c r="BH162" s="77">
        <v>537955.6</v>
      </c>
      <c r="BI162" s="76">
        <v>380703.89</v>
      </c>
      <c r="BJ162" s="76">
        <v>639997.12</v>
      </c>
      <c r="BK162" s="76">
        <v>354833.76</v>
      </c>
      <c r="BL162" s="76">
        <v>587546.17000000004</v>
      </c>
      <c r="BM162" s="76">
        <v>343158.68</v>
      </c>
      <c r="BN162" s="76">
        <v>495911.99</v>
      </c>
      <c r="BO162" s="76">
        <v>283535.83</v>
      </c>
      <c r="BP162" s="76">
        <v>553359.35999999999</v>
      </c>
      <c r="BQ162" s="76">
        <v>205594.58</v>
      </c>
      <c r="BR162" s="76">
        <v>256678.43</v>
      </c>
      <c r="BS162" s="77">
        <v>226848.2</v>
      </c>
      <c r="BT162" s="76">
        <v>364328.46</v>
      </c>
      <c r="BU162" s="76">
        <v>503769.89</v>
      </c>
    </row>
    <row r="163" spans="1:73">
      <c r="A163" s="72" t="s">
        <v>625</v>
      </c>
      <c r="B163" s="75">
        <v>58180.01</v>
      </c>
      <c r="C163" s="73" t="s">
        <v>207</v>
      </c>
      <c r="D163" s="78">
        <v>64685.4</v>
      </c>
      <c r="E163" s="73" t="s">
        <v>207</v>
      </c>
      <c r="F163" s="75">
        <v>54506.26</v>
      </c>
      <c r="G163" s="75">
        <v>0.37</v>
      </c>
      <c r="H163" s="75">
        <v>51441.23</v>
      </c>
      <c r="I163" s="73" t="s">
        <v>207</v>
      </c>
      <c r="J163" s="75">
        <v>45009.88</v>
      </c>
      <c r="K163" s="78">
        <v>627</v>
      </c>
      <c r="L163" s="75">
        <v>71046.559999999998</v>
      </c>
      <c r="M163" s="78">
        <v>490.4</v>
      </c>
      <c r="N163" s="78">
        <v>100945.9</v>
      </c>
      <c r="O163" s="78">
        <v>237.3</v>
      </c>
      <c r="P163" s="75">
        <v>48509.84</v>
      </c>
      <c r="Q163" s="78">
        <v>498</v>
      </c>
      <c r="R163" s="75">
        <v>53476.09</v>
      </c>
      <c r="S163" s="78">
        <v>254</v>
      </c>
      <c r="T163" s="75">
        <v>22629.42</v>
      </c>
      <c r="U163" s="78">
        <v>236.4</v>
      </c>
      <c r="V163" s="75">
        <v>64211.25</v>
      </c>
      <c r="W163" s="75">
        <v>836.21</v>
      </c>
      <c r="X163" s="75">
        <v>28245.68</v>
      </c>
      <c r="Y163" s="78">
        <v>259.2</v>
      </c>
      <c r="Z163" s="75">
        <v>43389.31</v>
      </c>
      <c r="AA163" s="78">
        <v>483.4</v>
      </c>
      <c r="AB163" s="78">
        <v>21318.2</v>
      </c>
      <c r="AC163" s="78">
        <v>232.4</v>
      </c>
      <c r="AD163" s="75">
        <v>72468.31</v>
      </c>
      <c r="AE163" s="78">
        <v>228.6</v>
      </c>
      <c r="AF163" s="78">
        <v>34313.199999999997</v>
      </c>
      <c r="AG163" s="78">
        <v>152.6</v>
      </c>
      <c r="AH163" s="75">
        <v>30355.95</v>
      </c>
      <c r="AI163" s="78">
        <v>2660</v>
      </c>
      <c r="AJ163" s="78">
        <v>56176.5</v>
      </c>
      <c r="AK163" s="78">
        <v>453</v>
      </c>
      <c r="AL163" s="78">
        <v>74870.8</v>
      </c>
      <c r="AM163" s="78">
        <v>463.6</v>
      </c>
      <c r="AN163" s="75">
        <v>65573.83</v>
      </c>
      <c r="AO163" s="73" t="s">
        <v>207</v>
      </c>
      <c r="AP163" s="75">
        <v>69344.08</v>
      </c>
      <c r="AQ163" s="78">
        <v>385.4</v>
      </c>
      <c r="AR163" s="75">
        <v>53655.75</v>
      </c>
      <c r="AS163" s="78">
        <v>227</v>
      </c>
      <c r="AT163" s="75">
        <v>40823.839999999997</v>
      </c>
      <c r="AU163" s="78">
        <v>1468.4</v>
      </c>
      <c r="AV163" s="75">
        <v>51112.25</v>
      </c>
      <c r="AW163" s="75">
        <v>215.31</v>
      </c>
      <c r="AX163" s="75">
        <v>67007.009999999995</v>
      </c>
      <c r="AY163" s="75">
        <v>571.91999999999996</v>
      </c>
      <c r="AZ163" s="75">
        <v>89345.35</v>
      </c>
      <c r="BA163" s="75">
        <v>533.57000000000005</v>
      </c>
      <c r="BB163" s="75">
        <v>115960.33</v>
      </c>
      <c r="BC163" s="75">
        <v>845.59</v>
      </c>
      <c r="BD163" s="75">
        <v>128004.64</v>
      </c>
      <c r="BE163" s="75">
        <v>1028.23</v>
      </c>
      <c r="BF163" s="75">
        <v>105118.96</v>
      </c>
      <c r="BG163" s="75">
        <v>538.85</v>
      </c>
      <c r="BH163" s="75">
        <v>62225.01</v>
      </c>
      <c r="BI163" s="75">
        <v>823.99</v>
      </c>
      <c r="BJ163" s="75">
        <v>65213.81</v>
      </c>
      <c r="BK163" s="75">
        <v>1105.79</v>
      </c>
      <c r="BL163" s="75">
        <v>88534.23</v>
      </c>
      <c r="BM163" s="78">
        <v>795.4</v>
      </c>
      <c r="BN163" s="75">
        <v>70101.460000000006</v>
      </c>
      <c r="BO163" s="75">
        <v>12936.88</v>
      </c>
      <c r="BP163" s="75">
        <v>57813.43</v>
      </c>
      <c r="BQ163" s="75">
        <v>53053.62</v>
      </c>
      <c r="BR163" s="75">
        <v>49864.28</v>
      </c>
      <c r="BS163" s="75">
        <v>817.84</v>
      </c>
      <c r="BT163" s="75">
        <v>47164.69</v>
      </c>
      <c r="BU163" s="78">
        <v>1320.4</v>
      </c>
    </row>
    <row r="164" spans="1:73">
      <c r="A164" s="72" t="s">
        <v>627</v>
      </c>
      <c r="B164" s="77">
        <v>149.19999999999999</v>
      </c>
      <c r="C164" s="74" t="s">
        <v>207</v>
      </c>
      <c r="D164" s="76">
        <v>727.46</v>
      </c>
      <c r="E164" s="74" t="s">
        <v>207</v>
      </c>
      <c r="F164" s="77">
        <v>321.8</v>
      </c>
      <c r="G164" s="77">
        <v>2.2000000000000002</v>
      </c>
      <c r="H164" s="77">
        <v>888.2</v>
      </c>
      <c r="I164" s="74" t="s">
        <v>207</v>
      </c>
      <c r="J164" s="74" t="s">
        <v>207</v>
      </c>
      <c r="K164" s="74" t="s">
        <v>207</v>
      </c>
      <c r="L164" s="77">
        <v>273</v>
      </c>
      <c r="M164" s="74" t="s">
        <v>207</v>
      </c>
      <c r="N164" s="77">
        <v>1213.5999999999999</v>
      </c>
      <c r="O164" s="74" t="s">
        <v>207</v>
      </c>
      <c r="P164" s="77">
        <v>150.19999999999999</v>
      </c>
      <c r="Q164" s="76">
        <v>0.08</v>
      </c>
      <c r="R164" s="76">
        <v>481.74</v>
      </c>
      <c r="S164" s="76">
        <v>15.33</v>
      </c>
      <c r="T164" s="77">
        <v>150</v>
      </c>
      <c r="U164" s="76">
        <v>17.46</v>
      </c>
      <c r="V164" s="77">
        <v>929.1</v>
      </c>
      <c r="W164" s="76">
        <v>5.99</v>
      </c>
      <c r="X164" s="77">
        <v>983.9</v>
      </c>
      <c r="Y164" s="76">
        <v>2.04</v>
      </c>
      <c r="Z164" s="76">
        <v>207.52</v>
      </c>
      <c r="AA164" s="74" t="s">
        <v>207</v>
      </c>
      <c r="AB164" s="76">
        <v>239.27</v>
      </c>
      <c r="AC164" s="76">
        <v>0.96</v>
      </c>
      <c r="AD164" s="76">
        <v>203.62</v>
      </c>
      <c r="AE164" s="74" t="s">
        <v>207</v>
      </c>
      <c r="AF164" s="76">
        <v>86.44</v>
      </c>
      <c r="AG164" s="74" t="s">
        <v>207</v>
      </c>
      <c r="AH164" s="76">
        <v>236.52</v>
      </c>
      <c r="AI164" s="77">
        <v>1.8</v>
      </c>
      <c r="AJ164" s="76">
        <v>27.45</v>
      </c>
      <c r="AK164" s="74" t="s">
        <v>207</v>
      </c>
      <c r="AL164" s="76">
        <v>259.74</v>
      </c>
      <c r="AM164" s="76">
        <v>0.08</v>
      </c>
      <c r="AN164" s="76">
        <v>107.99</v>
      </c>
      <c r="AO164" s="74" t="s">
        <v>207</v>
      </c>
      <c r="AP164" s="76">
        <v>230.27</v>
      </c>
      <c r="AQ164" s="77">
        <v>0.1</v>
      </c>
      <c r="AR164" s="76">
        <v>185.62</v>
      </c>
      <c r="AS164" s="74" t="s">
        <v>207</v>
      </c>
      <c r="AT164" s="76">
        <v>177.91</v>
      </c>
      <c r="AU164" s="77">
        <v>0.6</v>
      </c>
      <c r="AV164" s="76">
        <v>213.75</v>
      </c>
      <c r="AW164" s="77">
        <v>1.7</v>
      </c>
      <c r="AX164" s="76">
        <v>25.87</v>
      </c>
      <c r="AY164" s="76">
        <v>7.18</v>
      </c>
      <c r="AZ164" s="76">
        <v>16.68</v>
      </c>
      <c r="BA164" s="76">
        <v>0.75</v>
      </c>
      <c r="BB164" s="76">
        <v>36.729999999999997</v>
      </c>
      <c r="BC164" s="76">
        <v>0.44</v>
      </c>
      <c r="BD164" s="76">
        <v>219.17</v>
      </c>
      <c r="BE164" s="74" t="s">
        <v>207</v>
      </c>
      <c r="BF164" s="76">
        <v>36.54</v>
      </c>
      <c r="BG164" s="76">
        <v>0.14000000000000001</v>
      </c>
      <c r="BH164" s="76">
        <v>12.43</v>
      </c>
      <c r="BI164" s="74" t="s">
        <v>207</v>
      </c>
      <c r="BJ164" s="76">
        <v>21.61</v>
      </c>
      <c r="BK164" s="74" t="s">
        <v>207</v>
      </c>
      <c r="BL164" s="76">
        <v>37.15</v>
      </c>
      <c r="BM164" s="77">
        <v>0.5</v>
      </c>
      <c r="BN164" s="76">
        <v>52.15</v>
      </c>
      <c r="BO164" s="74" t="s">
        <v>207</v>
      </c>
      <c r="BP164" s="77">
        <v>32.700000000000003</v>
      </c>
      <c r="BQ164" s="76">
        <v>3.83</v>
      </c>
      <c r="BR164" s="76">
        <v>40.68</v>
      </c>
      <c r="BS164" s="76">
        <v>0.18</v>
      </c>
      <c r="BT164" s="76">
        <v>44.12</v>
      </c>
      <c r="BU164" s="76">
        <v>0.21</v>
      </c>
    </row>
    <row r="165" spans="1:73">
      <c r="A165" s="72" t="s">
        <v>629</v>
      </c>
      <c r="B165" s="75">
        <v>12673.21</v>
      </c>
      <c r="C165" s="75">
        <v>7.38</v>
      </c>
      <c r="D165" s="78">
        <v>175955.20000000001</v>
      </c>
      <c r="E165" s="73" t="s">
        <v>207</v>
      </c>
      <c r="F165" s="75">
        <v>20809.03</v>
      </c>
      <c r="G165" s="75">
        <v>1.67</v>
      </c>
      <c r="H165" s="78">
        <v>27798.2</v>
      </c>
      <c r="I165" s="73" t="s">
        <v>207</v>
      </c>
      <c r="J165" s="75">
        <v>83740.460000000006</v>
      </c>
      <c r="K165" s="75">
        <v>13.47</v>
      </c>
      <c r="L165" s="78">
        <v>71126.399999999994</v>
      </c>
      <c r="M165" s="73" t="s">
        <v>207</v>
      </c>
      <c r="N165" s="75">
        <v>22913.09</v>
      </c>
      <c r="O165" s="73" t="s">
        <v>207</v>
      </c>
      <c r="P165" s="78">
        <v>21266.799999999999</v>
      </c>
      <c r="Q165" s="75">
        <v>2.0699999999999998</v>
      </c>
      <c r="R165" s="78">
        <v>30570.799999999999</v>
      </c>
      <c r="S165" s="78">
        <v>26.6</v>
      </c>
      <c r="T165" s="75">
        <v>22370.17</v>
      </c>
      <c r="U165" s="78">
        <v>164.4</v>
      </c>
      <c r="V165" s="75">
        <v>120782.95</v>
      </c>
      <c r="W165" s="73" t="s">
        <v>207</v>
      </c>
      <c r="X165" s="78">
        <v>18088.400000000001</v>
      </c>
      <c r="Y165" s="78">
        <v>34.6</v>
      </c>
      <c r="Z165" s="78">
        <v>24708.2</v>
      </c>
      <c r="AA165" s="73" t="s">
        <v>207</v>
      </c>
      <c r="AB165" s="78">
        <v>12523.2</v>
      </c>
      <c r="AC165" s="73" t="s">
        <v>207</v>
      </c>
      <c r="AD165" s="75">
        <v>40150.019999999997</v>
      </c>
      <c r="AE165" s="73" t="s">
        <v>207</v>
      </c>
      <c r="AF165" s="78">
        <v>84118.399999999994</v>
      </c>
      <c r="AG165" s="75">
        <v>1.93</v>
      </c>
      <c r="AH165" s="78">
        <v>9572.4</v>
      </c>
      <c r="AI165" s="73" t="s">
        <v>207</v>
      </c>
      <c r="AJ165" s="78">
        <v>18148.8</v>
      </c>
      <c r="AK165" s="73" t="s">
        <v>207</v>
      </c>
      <c r="AL165" s="75">
        <v>10952.77</v>
      </c>
      <c r="AM165" s="73" t="s">
        <v>207</v>
      </c>
      <c r="AN165" s="78">
        <v>16495.599999999999</v>
      </c>
      <c r="AO165" s="73" t="s">
        <v>207</v>
      </c>
      <c r="AP165" s="78">
        <v>14387</v>
      </c>
      <c r="AQ165" s="73" t="s">
        <v>207</v>
      </c>
      <c r="AR165" s="78">
        <v>43766.6</v>
      </c>
      <c r="AS165" s="73" t="s">
        <v>207</v>
      </c>
      <c r="AT165" s="75">
        <v>12023.35</v>
      </c>
      <c r="AU165" s="73" t="s">
        <v>207</v>
      </c>
      <c r="AV165" s="78">
        <v>10275</v>
      </c>
      <c r="AW165" s="73" t="s">
        <v>207</v>
      </c>
      <c r="AX165" s="78">
        <v>9089.1</v>
      </c>
      <c r="AY165" s="73" t="s">
        <v>207</v>
      </c>
      <c r="AZ165" s="78">
        <v>18387.400000000001</v>
      </c>
      <c r="BA165" s="75">
        <v>1.08</v>
      </c>
      <c r="BB165" s="75">
        <v>10550.39</v>
      </c>
      <c r="BC165" s="73" t="s">
        <v>207</v>
      </c>
      <c r="BD165" s="75">
        <v>7368.26</v>
      </c>
      <c r="BE165" s="73" t="s">
        <v>207</v>
      </c>
      <c r="BF165" s="78">
        <v>8879.4</v>
      </c>
      <c r="BG165" s="75">
        <v>1.94</v>
      </c>
      <c r="BH165" s="75">
        <v>8458.69</v>
      </c>
      <c r="BI165" s="75">
        <v>0.55000000000000004</v>
      </c>
      <c r="BJ165" s="78">
        <v>8663.2000000000007</v>
      </c>
      <c r="BK165" s="73" t="s">
        <v>207</v>
      </c>
      <c r="BL165" s="78">
        <v>6033</v>
      </c>
      <c r="BM165" s="73" t="s">
        <v>207</v>
      </c>
      <c r="BN165" s="78">
        <v>9994.6</v>
      </c>
      <c r="BO165" s="75">
        <v>1.35</v>
      </c>
      <c r="BP165" s="78">
        <v>6572.4</v>
      </c>
      <c r="BQ165" s="73" t="s">
        <v>207</v>
      </c>
      <c r="BR165" s="78">
        <v>5233.6000000000004</v>
      </c>
      <c r="BS165" s="73" t="s">
        <v>207</v>
      </c>
      <c r="BT165" s="78">
        <v>2840</v>
      </c>
      <c r="BU165" s="73" t="s">
        <v>207</v>
      </c>
    </row>
    <row r="166" spans="1:73">
      <c r="A166" s="72" t="s">
        <v>996</v>
      </c>
      <c r="B166" s="75">
        <v>57090.94</v>
      </c>
      <c r="C166" s="75">
        <v>8130.59</v>
      </c>
      <c r="D166" s="75">
        <v>119095.96</v>
      </c>
      <c r="E166" s="75">
        <v>5518.67</v>
      </c>
      <c r="F166" s="75">
        <v>30672.97</v>
      </c>
      <c r="G166" s="75">
        <v>8029.32</v>
      </c>
      <c r="H166" s="75">
        <v>61345.22</v>
      </c>
      <c r="I166" s="75">
        <v>7560.02</v>
      </c>
      <c r="J166" s="75">
        <v>105601.37</v>
      </c>
      <c r="K166" s="75">
        <v>7233.34</v>
      </c>
      <c r="L166" s="75">
        <v>44086.53</v>
      </c>
      <c r="M166" s="75">
        <v>10102.290000000001</v>
      </c>
      <c r="N166" s="75">
        <v>40809.19</v>
      </c>
      <c r="O166" s="75">
        <v>5678.64</v>
      </c>
      <c r="P166" s="75">
        <v>68571.509999999995</v>
      </c>
      <c r="Q166" s="75">
        <v>5079.16</v>
      </c>
      <c r="R166" s="75">
        <v>63843.85</v>
      </c>
      <c r="S166" s="75">
        <v>4660.8599999999997</v>
      </c>
      <c r="T166" s="75">
        <v>48061.13</v>
      </c>
      <c r="U166" s="75">
        <v>8575.5400000000009</v>
      </c>
      <c r="V166" s="75">
        <v>30668.69</v>
      </c>
      <c r="W166" s="75">
        <v>5213.63</v>
      </c>
      <c r="X166" s="75">
        <v>60448.72</v>
      </c>
      <c r="Y166" s="78">
        <v>9583.9</v>
      </c>
      <c r="Z166" s="75">
        <v>57013.36</v>
      </c>
      <c r="AA166" s="75">
        <v>15501.54</v>
      </c>
      <c r="AB166" s="75">
        <v>3929.29</v>
      </c>
      <c r="AC166" s="75">
        <v>6469.38</v>
      </c>
      <c r="AD166" s="75">
        <v>71911.67</v>
      </c>
      <c r="AE166" s="75">
        <v>9677.9500000000007</v>
      </c>
      <c r="AF166" s="75">
        <v>73312.990000000005</v>
      </c>
      <c r="AG166" s="78">
        <v>11493.7</v>
      </c>
      <c r="AH166" s="75">
        <v>41707.81</v>
      </c>
      <c r="AI166" s="75">
        <v>7920.15</v>
      </c>
      <c r="AJ166" s="75">
        <v>93145.08</v>
      </c>
      <c r="AK166" s="75">
        <v>6564.29</v>
      </c>
      <c r="AL166" s="78">
        <v>54471.9</v>
      </c>
      <c r="AM166" s="75">
        <v>6722.38</v>
      </c>
      <c r="AN166" s="75">
        <v>77112.14</v>
      </c>
      <c r="AO166" s="75">
        <v>10042.32</v>
      </c>
      <c r="AP166" s="75">
        <v>57566.79</v>
      </c>
      <c r="AQ166" s="75">
        <v>6341.94</v>
      </c>
      <c r="AR166" s="78">
        <v>109256.4</v>
      </c>
      <c r="AS166" s="78">
        <v>7915.4</v>
      </c>
      <c r="AT166" s="75">
        <v>27089.96</v>
      </c>
      <c r="AU166" s="75">
        <v>7130.47</v>
      </c>
      <c r="AV166" s="75">
        <v>93341.96</v>
      </c>
      <c r="AW166" s="75">
        <v>7117.37</v>
      </c>
      <c r="AX166" s="75">
        <v>54749.99</v>
      </c>
      <c r="AY166" s="75">
        <v>10479.59</v>
      </c>
      <c r="AZ166" s="75">
        <v>48055.38</v>
      </c>
      <c r="BA166" s="75">
        <v>12383.91</v>
      </c>
      <c r="BB166" s="75">
        <v>45294.51</v>
      </c>
      <c r="BC166" s="75">
        <v>7002.57</v>
      </c>
      <c r="BD166" s="75">
        <v>51325.17</v>
      </c>
      <c r="BE166" s="75">
        <v>7991.17</v>
      </c>
      <c r="BF166" s="75">
        <v>48871.32</v>
      </c>
      <c r="BG166" s="75">
        <v>11200.99</v>
      </c>
      <c r="BH166" s="75">
        <v>63129.25</v>
      </c>
      <c r="BI166" s="75">
        <v>9043.23</v>
      </c>
      <c r="BJ166" s="75">
        <v>51791.54</v>
      </c>
      <c r="BK166" s="75">
        <v>9183.3700000000008</v>
      </c>
      <c r="BL166" s="75">
        <v>42743.56</v>
      </c>
      <c r="BM166" s="75">
        <v>11373.24</v>
      </c>
      <c r="BN166" s="75">
        <v>55571.33</v>
      </c>
      <c r="BO166" s="75">
        <v>16569.22</v>
      </c>
      <c r="BP166" s="75">
        <v>43317.47</v>
      </c>
      <c r="BQ166" s="75">
        <v>22152.35</v>
      </c>
      <c r="BR166" s="75">
        <v>48388.49</v>
      </c>
      <c r="BS166" s="75">
        <v>11948.55</v>
      </c>
      <c r="BT166" s="75">
        <v>38008.65</v>
      </c>
      <c r="BU166" s="75">
        <v>12305.95</v>
      </c>
    </row>
    <row r="167" spans="1:73">
      <c r="A167" s="72" t="s">
        <v>633</v>
      </c>
      <c r="B167" s="78">
        <v>489</v>
      </c>
      <c r="C167" s="78">
        <v>180</v>
      </c>
      <c r="D167" s="75">
        <v>1368.24</v>
      </c>
      <c r="E167" s="73" t="s">
        <v>207</v>
      </c>
      <c r="F167" s="75">
        <v>2837.22</v>
      </c>
      <c r="G167" s="73" t="s">
        <v>207</v>
      </c>
      <c r="H167" s="78">
        <v>13347.8</v>
      </c>
      <c r="I167" s="73" t="s">
        <v>207</v>
      </c>
      <c r="J167" s="78">
        <v>11023.2</v>
      </c>
      <c r="K167" s="73" t="s">
        <v>207</v>
      </c>
      <c r="L167" s="78">
        <v>2824.6</v>
      </c>
      <c r="M167" s="78">
        <v>180</v>
      </c>
      <c r="N167" s="78">
        <v>7552.2</v>
      </c>
      <c r="O167" s="73" t="s">
        <v>207</v>
      </c>
      <c r="P167" s="75">
        <v>16170.26</v>
      </c>
      <c r="Q167" s="78">
        <v>180</v>
      </c>
      <c r="R167" s="78">
        <v>15366.6</v>
      </c>
      <c r="S167" s="73" t="s">
        <v>207</v>
      </c>
      <c r="T167" s="78">
        <v>5424</v>
      </c>
      <c r="U167" s="73" t="s">
        <v>207</v>
      </c>
      <c r="V167" s="75">
        <v>9269.0400000000009</v>
      </c>
      <c r="W167" s="73" t="s">
        <v>207</v>
      </c>
      <c r="X167" s="75">
        <v>3585.99</v>
      </c>
      <c r="Y167" s="78">
        <v>360</v>
      </c>
      <c r="Z167" s="78">
        <v>15664.4</v>
      </c>
      <c r="AA167" s="78">
        <v>5800</v>
      </c>
      <c r="AB167" s="78">
        <v>499.3</v>
      </c>
      <c r="AC167" s="73" t="s">
        <v>207</v>
      </c>
      <c r="AD167" s="78">
        <v>10839.6</v>
      </c>
      <c r="AE167" s="73" t="s">
        <v>207</v>
      </c>
      <c r="AF167" s="75">
        <v>36716.68</v>
      </c>
      <c r="AG167" s="78">
        <v>1450</v>
      </c>
      <c r="AH167" s="75">
        <v>32156.36</v>
      </c>
      <c r="AI167" s="73" t="s">
        <v>207</v>
      </c>
      <c r="AJ167" s="78">
        <v>26656.1</v>
      </c>
      <c r="AK167" s="73" t="s">
        <v>207</v>
      </c>
      <c r="AL167" s="78">
        <v>16503.400000000001</v>
      </c>
      <c r="AM167" s="73" t="s">
        <v>207</v>
      </c>
      <c r="AN167" s="75">
        <v>25230.75</v>
      </c>
      <c r="AO167" s="73" t="s">
        <v>207</v>
      </c>
      <c r="AP167" s="75">
        <v>15319.23</v>
      </c>
      <c r="AQ167" s="73" t="s">
        <v>207</v>
      </c>
      <c r="AR167" s="78">
        <v>33794.199999999997</v>
      </c>
      <c r="AS167" s="73" t="s">
        <v>207</v>
      </c>
      <c r="AT167" s="78">
        <v>12762</v>
      </c>
      <c r="AU167" s="73" t="s">
        <v>207</v>
      </c>
      <c r="AV167" s="75">
        <v>15181.65</v>
      </c>
      <c r="AW167" s="73" t="s">
        <v>207</v>
      </c>
      <c r="AX167" s="75">
        <v>21935.040000000001</v>
      </c>
      <c r="AY167" s="73" t="s">
        <v>207</v>
      </c>
      <c r="AZ167" s="78">
        <v>5458</v>
      </c>
      <c r="BA167" s="73" t="s">
        <v>207</v>
      </c>
      <c r="BB167" s="75">
        <v>10186.74</v>
      </c>
      <c r="BC167" s="73" t="s">
        <v>207</v>
      </c>
      <c r="BD167" s="75">
        <v>16953.32</v>
      </c>
      <c r="BE167" s="73" t="s">
        <v>207</v>
      </c>
      <c r="BF167" s="75">
        <v>13533.14</v>
      </c>
      <c r="BG167" s="73" t="s">
        <v>207</v>
      </c>
      <c r="BH167" s="75">
        <v>5486.16</v>
      </c>
      <c r="BI167" s="73" t="s">
        <v>207</v>
      </c>
      <c r="BJ167" s="75">
        <v>10150.51</v>
      </c>
      <c r="BK167" s="73" t="s">
        <v>207</v>
      </c>
      <c r="BL167" s="75">
        <v>7997.45</v>
      </c>
      <c r="BM167" s="73" t="s">
        <v>207</v>
      </c>
      <c r="BN167" s="75">
        <v>8236.27</v>
      </c>
      <c r="BO167" s="73" t="s">
        <v>207</v>
      </c>
      <c r="BP167" s="75">
        <v>8396.42</v>
      </c>
      <c r="BQ167" s="73" t="s">
        <v>207</v>
      </c>
      <c r="BR167" s="75">
        <v>6389.22</v>
      </c>
      <c r="BS167" s="73" t="s">
        <v>207</v>
      </c>
      <c r="BT167" s="75">
        <v>3785.26</v>
      </c>
      <c r="BU167" s="73" t="s">
        <v>207</v>
      </c>
    </row>
    <row r="168" spans="1:73">
      <c r="A168" s="72" t="s">
        <v>635</v>
      </c>
      <c r="B168" s="74" t="s">
        <v>207</v>
      </c>
      <c r="C168" s="74" t="s">
        <v>207</v>
      </c>
      <c r="D168" s="74" t="s">
        <v>207</v>
      </c>
      <c r="E168" s="74" t="s">
        <v>207</v>
      </c>
      <c r="F168" s="74" t="s">
        <v>207</v>
      </c>
      <c r="G168" s="74" t="s">
        <v>207</v>
      </c>
      <c r="H168" s="76">
        <v>498.72</v>
      </c>
      <c r="I168" s="74" t="s">
        <v>207</v>
      </c>
      <c r="J168" s="76">
        <v>548.64</v>
      </c>
      <c r="K168" s="74" t="s">
        <v>207</v>
      </c>
      <c r="L168" s="77">
        <v>382.4</v>
      </c>
      <c r="M168" s="74" t="s">
        <v>207</v>
      </c>
      <c r="N168" s="74" t="s">
        <v>207</v>
      </c>
      <c r="O168" s="74" t="s">
        <v>207</v>
      </c>
      <c r="P168" s="77">
        <v>249.8</v>
      </c>
      <c r="Q168" s="74" t="s">
        <v>207</v>
      </c>
      <c r="R168" s="76">
        <v>1031.83</v>
      </c>
      <c r="S168" s="74" t="s">
        <v>207</v>
      </c>
      <c r="T168" s="74" t="s">
        <v>207</v>
      </c>
      <c r="U168" s="74" t="s">
        <v>207</v>
      </c>
      <c r="V168" s="76">
        <v>410.78</v>
      </c>
      <c r="W168" s="74" t="s">
        <v>207</v>
      </c>
      <c r="X168" s="74" t="s">
        <v>207</v>
      </c>
      <c r="Y168" s="74" t="s">
        <v>207</v>
      </c>
      <c r="Z168" s="77">
        <v>252.1</v>
      </c>
      <c r="AA168" s="74" t="s">
        <v>207</v>
      </c>
      <c r="AB168" s="74" t="s">
        <v>207</v>
      </c>
      <c r="AC168" s="74" t="s">
        <v>207</v>
      </c>
      <c r="AD168" s="76">
        <v>252.76</v>
      </c>
      <c r="AE168" s="77">
        <v>7</v>
      </c>
      <c r="AF168" s="74" t="s">
        <v>207</v>
      </c>
      <c r="AG168" s="76">
        <v>390.07</v>
      </c>
      <c r="AH168" s="76">
        <v>502.46</v>
      </c>
      <c r="AI168" s="74" t="s">
        <v>207</v>
      </c>
      <c r="AJ168" s="76">
        <v>946.44</v>
      </c>
      <c r="AK168" s="74" t="s">
        <v>207</v>
      </c>
      <c r="AL168" s="76">
        <v>192.09</v>
      </c>
      <c r="AM168" s="74" t="s">
        <v>207</v>
      </c>
      <c r="AN168" s="76">
        <v>2499.56</v>
      </c>
      <c r="AO168" s="74" t="s">
        <v>207</v>
      </c>
      <c r="AP168" s="76">
        <v>1.22</v>
      </c>
      <c r="AQ168" s="77">
        <v>0</v>
      </c>
      <c r="AR168" s="76">
        <v>2.17</v>
      </c>
      <c r="AS168" s="74" t="s">
        <v>207</v>
      </c>
      <c r="AT168" s="76">
        <v>5.15</v>
      </c>
      <c r="AU168" s="74" t="s">
        <v>207</v>
      </c>
      <c r="AV168" s="76">
        <v>1.41</v>
      </c>
      <c r="AW168" s="74" t="s">
        <v>207</v>
      </c>
      <c r="AX168" s="76">
        <v>0.49</v>
      </c>
      <c r="AY168" s="74" t="s">
        <v>207</v>
      </c>
      <c r="AZ168" s="74" t="s">
        <v>207</v>
      </c>
      <c r="BA168" s="74" t="s">
        <v>207</v>
      </c>
      <c r="BB168" s="77">
        <v>640</v>
      </c>
      <c r="BC168" s="74" t="s">
        <v>207</v>
      </c>
      <c r="BD168" s="74" t="s">
        <v>207</v>
      </c>
      <c r="BE168" s="74" t="s">
        <v>207</v>
      </c>
      <c r="BF168" s="74" t="s">
        <v>207</v>
      </c>
      <c r="BG168" s="76">
        <v>230.01</v>
      </c>
      <c r="BH168" s="77">
        <v>95.2</v>
      </c>
      <c r="BI168" s="74" t="s">
        <v>207</v>
      </c>
      <c r="BJ168" s="74" t="s">
        <v>207</v>
      </c>
      <c r="BK168" s="74" t="s">
        <v>207</v>
      </c>
      <c r="BL168" s="74" t="s">
        <v>207</v>
      </c>
      <c r="BM168" s="74" t="s">
        <v>207</v>
      </c>
      <c r="BN168" s="74" t="s">
        <v>207</v>
      </c>
      <c r="BO168" s="74" t="s">
        <v>207</v>
      </c>
      <c r="BP168" s="74" t="s">
        <v>207</v>
      </c>
      <c r="BQ168" s="74" t="s">
        <v>207</v>
      </c>
      <c r="BR168" s="74" t="s">
        <v>207</v>
      </c>
      <c r="BS168" s="74" t="s">
        <v>207</v>
      </c>
      <c r="BT168" s="76">
        <v>80.22</v>
      </c>
      <c r="BU168" s="74" t="s">
        <v>207</v>
      </c>
    </row>
    <row r="169" spans="1:73">
      <c r="A169" s="72" t="s">
        <v>637</v>
      </c>
      <c r="B169" s="75">
        <v>6067.94</v>
      </c>
      <c r="C169" s="75">
        <v>734.19</v>
      </c>
      <c r="D169" s="75">
        <v>17639.97</v>
      </c>
      <c r="E169" s="75">
        <v>405.07</v>
      </c>
      <c r="F169" s="75">
        <v>19410.25</v>
      </c>
      <c r="G169" s="75">
        <v>1152.72</v>
      </c>
      <c r="H169" s="75">
        <v>12641.97</v>
      </c>
      <c r="I169" s="75">
        <v>1459.62</v>
      </c>
      <c r="J169" s="78">
        <v>32949.1</v>
      </c>
      <c r="K169" s="78">
        <v>515.70000000000005</v>
      </c>
      <c r="L169" s="75">
        <v>9896.08</v>
      </c>
      <c r="M169" s="75">
        <v>1115.0899999999999</v>
      </c>
      <c r="N169" s="75">
        <v>23011.54</v>
      </c>
      <c r="O169" s="75">
        <v>1180.44</v>
      </c>
      <c r="P169" s="75">
        <v>14123.95</v>
      </c>
      <c r="Q169" s="75">
        <v>1991.16</v>
      </c>
      <c r="R169" s="75">
        <v>13678.67</v>
      </c>
      <c r="S169" s="75">
        <v>574.66</v>
      </c>
      <c r="T169" s="75">
        <v>10443.08</v>
      </c>
      <c r="U169" s="75">
        <v>1501.34</v>
      </c>
      <c r="V169" s="75">
        <v>15218.77</v>
      </c>
      <c r="W169" s="75">
        <v>2693.43</v>
      </c>
      <c r="X169" s="75">
        <v>13434.28</v>
      </c>
      <c r="Y169" s="78">
        <v>8637.5</v>
      </c>
      <c r="Z169" s="75">
        <v>11767.92</v>
      </c>
      <c r="AA169" s="75">
        <v>259.61</v>
      </c>
      <c r="AB169" s="75">
        <v>1360.99</v>
      </c>
      <c r="AC169" s="75">
        <v>339.98</v>
      </c>
      <c r="AD169" s="75">
        <v>3221.23</v>
      </c>
      <c r="AE169" s="75">
        <v>776.75</v>
      </c>
      <c r="AF169" s="75">
        <v>4029.17</v>
      </c>
      <c r="AG169" s="75">
        <v>293.02999999999997</v>
      </c>
      <c r="AH169" s="75">
        <v>6445.19</v>
      </c>
      <c r="AI169" s="78">
        <v>1758.8</v>
      </c>
      <c r="AJ169" s="75">
        <v>10154.68</v>
      </c>
      <c r="AK169" s="75">
        <v>1241.1400000000001</v>
      </c>
      <c r="AL169" s="75">
        <v>12013.41</v>
      </c>
      <c r="AM169" s="75">
        <v>529.62</v>
      </c>
      <c r="AN169" s="75">
        <v>22015.03</v>
      </c>
      <c r="AO169" s="75">
        <v>61.57</v>
      </c>
      <c r="AP169" s="75">
        <v>15048.14</v>
      </c>
      <c r="AQ169" s="75">
        <v>180.74</v>
      </c>
      <c r="AR169" s="75">
        <v>43022.23</v>
      </c>
      <c r="AS169" s="78">
        <v>135.19999999999999</v>
      </c>
      <c r="AT169" s="75">
        <v>10440.01</v>
      </c>
      <c r="AU169" s="75">
        <v>549.47</v>
      </c>
      <c r="AV169" s="75">
        <v>23869.64</v>
      </c>
      <c r="AW169" s="75">
        <v>13.01</v>
      </c>
      <c r="AX169" s="75">
        <v>3369.12</v>
      </c>
      <c r="AY169" s="75">
        <v>6214.49</v>
      </c>
      <c r="AZ169" s="78">
        <v>17426.7</v>
      </c>
      <c r="BA169" s="75">
        <v>5849.47</v>
      </c>
      <c r="BB169" s="75">
        <v>9055.18</v>
      </c>
      <c r="BC169" s="75">
        <v>2742.58</v>
      </c>
      <c r="BD169" s="75">
        <v>8259.3700000000008</v>
      </c>
      <c r="BE169" s="75">
        <v>3421.79</v>
      </c>
      <c r="BF169" s="75">
        <v>19038.54</v>
      </c>
      <c r="BG169" s="75">
        <v>3885.59</v>
      </c>
      <c r="BH169" s="75">
        <v>5548.59</v>
      </c>
      <c r="BI169" s="75">
        <v>3224.03</v>
      </c>
      <c r="BJ169" s="75">
        <v>8270.2800000000007</v>
      </c>
      <c r="BK169" s="75">
        <v>5713.77</v>
      </c>
      <c r="BL169" s="75">
        <v>3334.35</v>
      </c>
      <c r="BM169" s="75">
        <v>5054.04</v>
      </c>
      <c r="BN169" s="75">
        <v>23376.97</v>
      </c>
      <c r="BO169" s="75">
        <v>13075.76</v>
      </c>
      <c r="BP169" s="75">
        <v>5687.97</v>
      </c>
      <c r="BQ169" s="75">
        <v>18479.91</v>
      </c>
      <c r="BR169" s="75">
        <v>12332.23</v>
      </c>
      <c r="BS169" s="75">
        <v>6614.51</v>
      </c>
      <c r="BT169" s="75">
        <v>4785.84</v>
      </c>
      <c r="BU169" s="75">
        <v>7941.03</v>
      </c>
    </row>
    <row r="170" spans="1:73">
      <c r="A170" s="72" t="s">
        <v>641</v>
      </c>
      <c r="B170" s="73" t="s">
        <v>207</v>
      </c>
      <c r="C170" s="73" t="s">
        <v>207</v>
      </c>
      <c r="D170" s="73" t="s">
        <v>207</v>
      </c>
      <c r="E170" s="73" t="s">
        <v>207</v>
      </c>
      <c r="F170" s="73" t="s">
        <v>207</v>
      </c>
      <c r="G170" s="73" t="s">
        <v>207</v>
      </c>
      <c r="H170" s="73" t="s">
        <v>207</v>
      </c>
      <c r="I170" s="73" t="s">
        <v>207</v>
      </c>
      <c r="J170" s="73" t="s">
        <v>207</v>
      </c>
      <c r="K170" s="73" t="s">
        <v>207</v>
      </c>
      <c r="L170" s="73" t="s">
        <v>207</v>
      </c>
      <c r="M170" s="73" t="s">
        <v>207</v>
      </c>
      <c r="N170" s="73" t="s">
        <v>207</v>
      </c>
      <c r="O170" s="73" t="s">
        <v>207</v>
      </c>
      <c r="P170" s="73" t="s">
        <v>207</v>
      </c>
      <c r="Q170" s="73" t="s">
        <v>207</v>
      </c>
      <c r="R170" s="73" t="s">
        <v>207</v>
      </c>
      <c r="S170" s="73" t="s">
        <v>207</v>
      </c>
      <c r="T170" s="73" t="s">
        <v>207</v>
      </c>
      <c r="U170" s="73" t="s">
        <v>207</v>
      </c>
      <c r="V170" s="73" t="s">
        <v>207</v>
      </c>
      <c r="W170" s="73" t="s">
        <v>207</v>
      </c>
      <c r="X170" s="73" t="s">
        <v>207</v>
      </c>
      <c r="Y170" s="73" t="s">
        <v>207</v>
      </c>
      <c r="Z170" s="73" t="s">
        <v>207</v>
      </c>
      <c r="AA170" s="73" t="s">
        <v>207</v>
      </c>
      <c r="AB170" s="73" t="s">
        <v>207</v>
      </c>
      <c r="AC170" s="73" t="s">
        <v>207</v>
      </c>
      <c r="AD170" s="73" t="s">
        <v>207</v>
      </c>
      <c r="AE170" s="73" t="s">
        <v>207</v>
      </c>
      <c r="AF170" s="73" t="s">
        <v>207</v>
      </c>
      <c r="AG170" s="73" t="s">
        <v>207</v>
      </c>
      <c r="AH170" s="73" t="s">
        <v>207</v>
      </c>
      <c r="AI170" s="73" t="s">
        <v>207</v>
      </c>
      <c r="AJ170" s="73" t="s">
        <v>207</v>
      </c>
      <c r="AK170" s="73" t="s">
        <v>207</v>
      </c>
      <c r="AL170" s="73" t="s">
        <v>207</v>
      </c>
      <c r="AM170" s="73" t="s">
        <v>207</v>
      </c>
      <c r="AN170" s="73" t="s">
        <v>207</v>
      </c>
      <c r="AO170" s="73" t="s">
        <v>207</v>
      </c>
      <c r="AP170" s="73" t="s">
        <v>207</v>
      </c>
      <c r="AQ170" s="73" t="s">
        <v>207</v>
      </c>
      <c r="AR170" s="73" t="s">
        <v>207</v>
      </c>
      <c r="AS170" s="73" t="s">
        <v>207</v>
      </c>
      <c r="AT170" s="73" t="s">
        <v>207</v>
      </c>
      <c r="AU170" s="73" t="s">
        <v>207</v>
      </c>
      <c r="AV170" s="73" t="s">
        <v>207</v>
      </c>
      <c r="AW170" s="73" t="s">
        <v>207</v>
      </c>
      <c r="AX170" s="73" t="s">
        <v>207</v>
      </c>
      <c r="AY170" s="73" t="s">
        <v>207</v>
      </c>
      <c r="AZ170" s="73" t="s">
        <v>207</v>
      </c>
      <c r="BA170" s="73" t="s">
        <v>207</v>
      </c>
      <c r="BB170" s="73" t="s">
        <v>207</v>
      </c>
      <c r="BC170" s="73" t="s">
        <v>207</v>
      </c>
      <c r="BD170" s="73" t="s">
        <v>207</v>
      </c>
      <c r="BE170" s="73" t="s">
        <v>207</v>
      </c>
      <c r="BF170" s="73" t="s">
        <v>207</v>
      </c>
      <c r="BG170" s="73" t="s">
        <v>207</v>
      </c>
      <c r="BH170" s="73" t="s">
        <v>207</v>
      </c>
      <c r="BI170" s="73" t="s">
        <v>207</v>
      </c>
      <c r="BJ170" s="73" t="s">
        <v>207</v>
      </c>
      <c r="BK170" s="73" t="s">
        <v>207</v>
      </c>
      <c r="BL170" s="73" t="s">
        <v>207</v>
      </c>
      <c r="BM170" s="73" t="s">
        <v>207</v>
      </c>
      <c r="BN170" s="73" t="s">
        <v>207</v>
      </c>
      <c r="BO170" s="73" t="s">
        <v>207</v>
      </c>
      <c r="BP170" s="73" t="s">
        <v>207</v>
      </c>
      <c r="BQ170" s="73" t="s">
        <v>207</v>
      </c>
      <c r="BR170" s="73" t="s">
        <v>207</v>
      </c>
      <c r="BS170" s="73" t="s">
        <v>207</v>
      </c>
      <c r="BT170" s="73" t="s">
        <v>207</v>
      </c>
      <c r="BU170" s="73" t="s">
        <v>207</v>
      </c>
    </row>
    <row r="171" spans="1:73">
      <c r="A171" s="72" t="s">
        <v>643</v>
      </c>
      <c r="B171" s="74" t="s">
        <v>207</v>
      </c>
      <c r="C171" s="74" t="s">
        <v>207</v>
      </c>
      <c r="D171" s="74" t="s">
        <v>207</v>
      </c>
      <c r="E171" s="74" t="s">
        <v>207</v>
      </c>
      <c r="F171" s="74" t="s">
        <v>207</v>
      </c>
      <c r="G171" s="74" t="s">
        <v>207</v>
      </c>
      <c r="H171" s="74" t="s">
        <v>207</v>
      </c>
      <c r="I171" s="74" t="s">
        <v>207</v>
      </c>
      <c r="J171" s="74" t="s">
        <v>207</v>
      </c>
      <c r="K171" s="74" t="s">
        <v>207</v>
      </c>
      <c r="L171" s="74" t="s">
        <v>207</v>
      </c>
      <c r="M171" s="74" t="s">
        <v>207</v>
      </c>
      <c r="N171" s="74" t="s">
        <v>207</v>
      </c>
      <c r="O171" s="74" t="s">
        <v>207</v>
      </c>
      <c r="P171" s="74" t="s">
        <v>207</v>
      </c>
      <c r="Q171" s="74" t="s">
        <v>207</v>
      </c>
      <c r="R171" s="74" t="s">
        <v>207</v>
      </c>
      <c r="S171" s="74" t="s">
        <v>207</v>
      </c>
      <c r="T171" s="74" t="s">
        <v>207</v>
      </c>
      <c r="U171" s="74" t="s">
        <v>207</v>
      </c>
      <c r="V171" s="74" t="s">
        <v>207</v>
      </c>
      <c r="W171" s="74" t="s">
        <v>207</v>
      </c>
      <c r="X171" s="74" t="s">
        <v>207</v>
      </c>
      <c r="Y171" s="74" t="s">
        <v>207</v>
      </c>
      <c r="Z171" s="74" t="s">
        <v>207</v>
      </c>
      <c r="AA171" s="74" t="s">
        <v>207</v>
      </c>
      <c r="AB171" s="74" t="s">
        <v>207</v>
      </c>
      <c r="AC171" s="74" t="s">
        <v>207</v>
      </c>
      <c r="AD171" s="74" t="s">
        <v>207</v>
      </c>
      <c r="AE171" s="74" t="s">
        <v>207</v>
      </c>
      <c r="AF171" s="74" t="s">
        <v>207</v>
      </c>
      <c r="AG171" s="74" t="s">
        <v>207</v>
      </c>
      <c r="AH171" s="74" t="s">
        <v>207</v>
      </c>
      <c r="AI171" s="74" t="s">
        <v>207</v>
      </c>
      <c r="AJ171" s="74" t="s">
        <v>207</v>
      </c>
      <c r="AK171" s="74" t="s">
        <v>207</v>
      </c>
      <c r="AL171" s="74" t="s">
        <v>207</v>
      </c>
      <c r="AM171" s="74" t="s">
        <v>207</v>
      </c>
      <c r="AN171" s="74" t="s">
        <v>207</v>
      </c>
      <c r="AO171" s="74" t="s">
        <v>207</v>
      </c>
      <c r="AP171" s="74" t="s">
        <v>207</v>
      </c>
      <c r="AQ171" s="74" t="s">
        <v>207</v>
      </c>
      <c r="AR171" s="74" t="s">
        <v>207</v>
      </c>
      <c r="AS171" s="74" t="s">
        <v>207</v>
      </c>
      <c r="AT171" s="74" t="s">
        <v>207</v>
      </c>
      <c r="AU171" s="74" t="s">
        <v>207</v>
      </c>
      <c r="AV171" s="74" t="s">
        <v>207</v>
      </c>
      <c r="AW171" s="74" t="s">
        <v>207</v>
      </c>
      <c r="AX171" s="74" t="s">
        <v>207</v>
      </c>
      <c r="AY171" s="74" t="s">
        <v>207</v>
      </c>
      <c r="AZ171" s="74" t="s">
        <v>207</v>
      </c>
      <c r="BA171" s="74" t="s">
        <v>207</v>
      </c>
      <c r="BB171" s="74" t="s">
        <v>207</v>
      </c>
      <c r="BC171" s="74" t="s">
        <v>207</v>
      </c>
      <c r="BD171" s="74" t="s">
        <v>207</v>
      </c>
      <c r="BE171" s="74" t="s">
        <v>207</v>
      </c>
      <c r="BF171" s="74" t="s">
        <v>207</v>
      </c>
      <c r="BG171" s="74" t="s">
        <v>207</v>
      </c>
      <c r="BH171" s="74" t="s">
        <v>207</v>
      </c>
      <c r="BI171" s="74" t="s">
        <v>207</v>
      </c>
      <c r="BJ171" s="74" t="s">
        <v>207</v>
      </c>
      <c r="BK171" s="74" t="s">
        <v>207</v>
      </c>
      <c r="BL171" s="74" t="s">
        <v>207</v>
      </c>
      <c r="BM171" s="74" t="s">
        <v>207</v>
      </c>
      <c r="BN171" s="74" t="s">
        <v>207</v>
      </c>
      <c r="BO171" s="74" t="s">
        <v>207</v>
      </c>
      <c r="BP171" s="74" t="s">
        <v>207</v>
      </c>
      <c r="BQ171" s="74" t="s">
        <v>207</v>
      </c>
      <c r="BR171" s="74" t="s">
        <v>207</v>
      </c>
      <c r="BS171" s="74" t="s">
        <v>207</v>
      </c>
      <c r="BT171" s="74" t="s">
        <v>207</v>
      </c>
      <c r="BU171" s="74" t="s">
        <v>207</v>
      </c>
    </row>
    <row r="173" spans="1:73">
      <c r="A173" s="67" t="s">
        <v>277</v>
      </c>
    </row>
    <row r="174" spans="1:73">
      <c r="A174" s="67" t="s">
        <v>207</v>
      </c>
      <c r="B174" s="65" t="s">
        <v>278</v>
      </c>
    </row>
  </sheetData>
  <mergeCells count="36">
    <mergeCell ref="X10:Y10"/>
    <mergeCell ref="B10:C10"/>
    <mergeCell ref="D10:E10"/>
    <mergeCell ref="F10:G10"/>
    <mergeCell ref="H10:I10"/>
    <mergeCell ref="J10:K10"/>
    <mergeCell ref="L10:M10"/>
    <mergeCell ref="N10:O10"/>
    <mergeCell ref="P10:Q10"/>
    <mergeCell ref="R10:S10"/>
    <mergeCell ref="T10:U10"/>
    <mergeCell ref="V10:W10"/>
    <mergeCell ref="AV10:AW10"/>
    <mergeCell ref="Z10:AA10"/>
    <mergeCell ref="AB10:AC10"/>
    <mergeCell ref="AD10:AE10"/>
    <mergeCell ref="AF10:AG10"/>
    <mergeCell ref="AH10:AI10"/>
    <mergeCell ref="AJ10:AK10"/>
    <mergeCell ref="AL10:AM10"/>
    <mergeCell ref="AN10:AO10"/>
    <mergeCell ref="AP10:AQ10"/>
    <mergeCell ref="AR10:AS10"/>
    <mergeCell ref="AT10:AU10"/>
    <mergeCell ref="BT10:BU10"/>
    <mergeCell ref="AX10:AY10"/>
    <mergeCell ref="AZ10:BA10"/>
    <mergeCell ref="BB10:BC10"/>
    <mergeCell ref="BD10:BE10"/>
    <mergeCell ref="BF10:BG10"/>
    <mergeCell ref="BH10:BI10"/>
    <mergeCell ref="BJ10:BK10"/>
    <mergeCell ref="BL10:BM10"/>
    <mergeCell ref="BN10:BO10"/>
    <mergeCell ref="BP10:BQ10"/>
    <mergeCell ref="BR10:BS1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7F216-B2CB-4097-BB9D-945442280658}">
  <sheetPr>
    <tabColor rgb="FFFFC000"/>
  </sheetPr>
  <dimension ref="A1:H198"/>
  <sheetViews>
    <sheetView zoomScaleNormal="100" workbookViewId="0">
      <pane xSplit="2" ySplit="12" topLeftCell="C13" activePane="bottomRight" state="frozen"/>
      <selection activeCell="O17" sqref="O17"/>
      <selection pane="topRight" activeCell="O17" sqref="O17"/>
      <selection pane="bottomLeft" activeCell="O17" sqref="O17"/>
      <selection pane="bottomRight" activeCell="A21" sqref="A1:H198"/>
    </sheetView>
  </sheetViews>
  <sheetFormatPr baseColWidth="10" defaultColWidth="8.88671875" defaultRowHeight="11.4" customHeight="1"/>
  <cols>
    <col min="1" max="1" width="14.88671875" style="66" customWidth="1"/>
    <col min="2" max="2" width="156.77734375" style="66" customWidth="1"/>
    <col min="3" max="8" width="11" style="66" customWidth="1"/>
    <col min="9" max="16384" width="8.88671875" style="66"/>
  </cols>
  <sheetData>
    <row r="1" spans="1:8">
      <c r="A1" s="65" t="s">
        <v>676</v>
      </c>
    </row>
    <row r="2" spans="1:8">
      <c r="A2" s="65" t="s">
        <v>188</v>
      </c>
      <c r="B2" s="67" t="s">
        <v>677</v>
      </c>
    </row>
    <row r="3" spans="1:8">
      <c r="A3" s="65" t="s">
        <v>190</v>
      </c>
      <c r="B3" s="65" t="s">
        <v>279</v>
      </c>
    </row>
    <row r="4" spans="1:8"/>
    <row r="5" spans="1:8">
      <c r="A5" s="67" t="s">
        <v>192</v>
      </c>
      <c r="C5" s="65" t="s">
        <v>193</v>
      </c>
    </row>
    <row r="6" spans="1:8">
      <c r="A6" s="67" t="s">
        <v>280</v>
      </c>
      <c r="C6" s="65" t="s">
        <v>281</v>
      </c>
    </row>
    <row r="7" spans="1:8">
      <c r="A7" s="67" t="s">
        <v>282</v>
      </c>
      <c r="C7" s="65" t="s">
        <v>283</v>
      </c>
    </row>
    <row r="8" spans="1:8">
      <c r="A8" s="67" t="s">
        <v>195</v>
      </c>
      <c r="C8" s="65" t="s">
        <v>284</v>
      </c>
    </row>
    <row r="9" spans="1:8"/>
    <row r="10" spans="1:8">
      <c r="A10" s="1070" t="s">
        <v>197</v>
      </c>
      <c r="B10" s="1070" t="s">
        <v>197</v>
      </c>
      <c r="C10" s="1069" t="s">
        <v>198</v>
      </c>
      <c r="D10" s="1069" t="s">
        <v>198</v>
      </c>
      <c r="E10" s="1069" t="s">
        <v>199</v>
      </c>
      <c r="F10" s="1069" t="s">
        <v>199</v>
      </c>
      <c r="G10" s="1069" t="s">
        <v>200</v>
      </c>
      <c r="H10" s="1069" t="s">
        <v>200</v>
      </c>
    </row>
    <row r="11" spans="1:8">
      <c r="A11" s="1070" t="s">
        <v>285</v>
      </c>
      <c r="B11" s="1070" t="s">
        <v>285</v>
      </c>
      <c r="C11" s="69" t="s">
        <v>286</v>
      </c>
      <c r="D11" s="69" t="s">
        <v>287</v>
      </c>
      <c r="E11" s="69" t="s">
        <v>286</v>
      </c>
      <c r="F11" s="69" t="s">
        <v>287</v>
      </c>
      <c r="G11" s="69" t="s">
        <v>286</v>
      </c>
      <c r="H11" s="69" t="s">
        <v>287</v>
      </c>
    </row>
    <row r="12" spans="1:8">
      <c r="A12" s="70" t="s">
        <v>288</v>
      </c>
      <c r="B12" s="70" t="s">
        <v>289</v>
      </c>
      <c r="C12" s="71" t="s">
        <v>91</v>
      </c>
      <c r="D12" s="71" t="s">
        <v>91</v>
      </c>
      <c r="E12" s="71" t="s">
        <v>91</v>
      </c>
      <c r="F12" s="71" t="s">
        <v>91</v>
      </c>
      <c r="G12" s="71" t="s">
        <v>91</v>
      </c>
      <c r="H12" s="71" t="s">
        <v>91</v>
      </c>
    </row>
    <row r="13" spans="1:8">
      <c r="A13" s="72" t="s">
        <v>290</v>
      </c>
      <c r="B13" s="72" t="s">
        <v>291</v>
      </c>
      <c r="C13" s="75">
        <v>14716.89</v>
      </c>
      <c r="D13" s="75">
        <v>92.59</v>
      </c>
      <c r="E13" s="75">
        <v>14507.46</v>
      </c>
      <c r="F13" s="75">
        <v>346.77</v>
      </c>
      <c r="G13" s="75">
        <v>15240.18</v>
      </c>
      <c r="H13" s="75">
        <v>1419.45</v>
      </c>
    </row>
    <row r="14" spans="1:8">
      <c r="A14" s="72" t="s">
        <v>292</v>
      </c>
      <c r="B14" s="72" t="s">
        <v>293</v>
      </c>
      <c r="C14" s="76">
        <v>395.94</v>
      </c>
      <c r="D14" s="76">
        <v>632.91999999999996</v>
      </c>
      <c r="E14" s="76">
        <v>1246.53</v>
      </c>
      <c r="F14" s="76">
        <v>306.81</v>
      </c>
      <c r="G14" s="77">
        <v>3304</v>
      </c>
      <c r="H14" s="76">
        <v>776.88</v>
      </c>
    </row>
    <row r="15" spans="1:8">
      <c r="A15" s="72" t="s">
        <v>678</v>
      </c>
      <c r="B15" s="72" t="s">
        <v>679</v>
      </c>
      <c r="C15" s="78">
        <v>52185.5</v>
      </c>
      <c r="D15" s="75">
        <v>13858.41</v>
      </c>
      <c r="E15" s="75">
        <v>13500.41</v>
      </c>
      <c r="F15" s="75">
        <v>298.77</v>
      </c>
      <c r="G15" s="75">
        <v>5372.34</v>
      </c>
      <c r="H15" s="75">
        <v>380.57</v>
      </c>
    </row>
    <row r="16" spans="1:8">
      <c r="A16" s="72" t="s">
        <v>294</v>
      </c>
      <c r="B16" s="72" t="s">
        <v>295</v>
      </c>
      <c r="C16" s="76">
        <v>13791.89</v>
      </c>
      <c r="D16" s="76">
        <v>10.23</v>
      </c>
      <c r="E16" s="76">
        <v>28590.67</v>
      </c>
      <c r="F16" s="76">
        <v>116.92</v>
      </c>
      <c r="G16" s="76">
        <v>47076.39</v>
      </c>
      <c r="H16" s="76">
        <v>54.79</v>
      </c>
    </row>
    <row r="17" spans="1:8">
      <c r="A17" s="72" t="s">
        <v>296</v>
      </c>
      <c r="B17" s="72" t="s">
        <v>297</v>
      </c>
      <c r="C17" s="75">
        <v>1120.58</v>
      </c>
      <c r="D17" s="75">
        <v>245.33</v>
      </c>
      <c r="E17" s="75">
        <v>509.71</v>
      </c>
      <c r="F17" s="78">
        <v>279.89999999999998</v>
      </c>
      <c r="G17" s="75">
        <v>229.81</v>
      </c>
      <c r="H17" s="75">
        <v>343.09</v>
      </c>
    </row>
    <row r="18" spans="1:8">
      <c r="A18" s="72" t="s">
        <v>298</v>
      </c>
      <c r="B18" s="72" t="s">
        <v>299</v>
      </c>
      <c r="C18" s="76">
        <v>36289.93</v>
      </c>
      <c r="D18" s="76">
        <v>117411.03</v>
      </c>
      <c r="E18" s="76">
        <v>47526.91</v>
      </c>
      <c r="F18" s="76">
        <v>115137.28</v>
      </c>
      <c r="G18" s="76">
        <v>73881.02</v>
      </c>
      <c r="H18" s="76">
        <v>160770.43</v>
      </c>
    </row>
    <row r="19" spans="1:8">
      <c r="A19" s="72" t="s">
        <v>300</v>
      </c>
      <c r="B19" s="72" t="s">
        <v>301</v>
      </c>
      <c r="C19" s="73" t="s">
        <v>207</v>
      </c>
      <c r="D19" s="73" t="s">
        <v>207</v>
      </c>
      <c r="E19" s="73" t="s">
        <v>207</v>
      </c>
      <c r="F19" s="73" t="s">
        <v>207</v>
      </c>
      <c r="G19" s="73" t="s">
        <v>207</v>
      </c>
      <c r="H19" s="73" t="s">
        <v>207</v>
      </c>
    </row>
    <row r="20" spans="1:8">
      <c r="A20" s="72" t="s">
        <v>302</v>
      </c>
      <c r="B20" s="72" t="s">
        <v>303</v>
      </c>
      <c r="C20" s="74" t="s">
        <v>207</v>
      </c>
      <c r="D20" s="74" t="s">
        <v>207</v>
      </c>
      <c r="E20" s="74" t="s">
        <v>207</v>
      </c>
      <c r="F20" s="74" t="s">
        <v>207</v>
      </c>
      <c r="G20" s="74" t="s">
        <v>207</v>
      </c>
      <c r="H20" s="74" t="s">
        <v>207</v>
      </c>
    </row>
    <row r="21" spans="1:8">
      <c r="A21" s="72" t="s">
        <v>304</v>
      </c>
      <c r="B21" s="72" t="s">
        <v>305</v>
      </c>
      <c r="C21" s="75">
        <v>64600.59</v>
      </c>
      <c r="D21" s="75">
        <v>2645320.42</v>
      </c>
      <c r="E21" s="75">
        <v>291183.67</v>
      </c>
      <c r="F21" s="75">
        <v>2374970.8199999998</v>
      </c>
      <c r="G21" s="75">
        <v>148428.26999999999</v>
      </c>
      <c r="H21" s="75">
        <v>2338765.44</v>
      </c>
    </row>
    <row r="22" spans="1:8">
      <c r="A22" s="72" t="s">
        <v>306</v>
      </c>
      <c r="B22" s="72" t="s">
        <v>307</v>
      </c>
      <c r="C22" s="76">
        <v>43171.71</v>
      </c>
      <c r="D22" s="76">
        <v>62004.24</v>
      </c>
      <c r="E22" s="76">
        <v>67493.240000000005</v>
      </c>
      <c r="F22" s="76">
        <v>138341.54</v>
      </c>
      <c r="G22" s="76">
        <v>187496.27</v>
      </c>
      <c r="H22" s="76">
        <v>170480.55</v>
      </c>
    </row>
    <row r="23" spans="1:8">
      <c r="A23" s="72" t="s">
        <v>308</v>
      </c>
      <c r="B23" s="72" t="s">
        <v>309</v>
      </c>
      <c r="C23" s="73" t="s">
        <v>207</v>
      </c>
      <c r="D23" s="73" t="s">
        <v>207</v>
      </c>
      <c r="E23" s="73" t="s">
        <v>207</v>
      </c>
      <c r="F23" s="73" t="s">
        <v>207</v>
      </c>
      <c r="G23" s="73" t="s">
        <v>207</v>
      </c>
      <c r="H23" s="73" t="s">
        <v>207</v>
      </c>
    </row>
    <row r="24" spans="1:8">
      <c r="A24" s="72" t="s">
        <v>310</v>
      </c>
      <c r="B24" s="72" t="s">
        <v>311</v>
      </c>
      <c r="C24" s="74" t="s">
        <v>207</v>
      </c>
      <c r="D24" s="74" t="s">
        <v>207</v>
      </c>
      <c r="E24" s="74" t="s">
        <v>207</v>
      </c>
      <c r="F24" s="74" t="s">
        <v>207</v>
      </c>
      <c r="G24" s="74" t="s">
        <v>207</v>
      </c>
      <c r="H24" s="74" t="s">
        <v>207</v>
      </c>
    </row>
    <row r="25" spans="1:8">
      <c r="A25" s="72" t="s">
        <v>312</v>
      </c>
      <c r="B25" s="72" t="s">
        <v>313</v>
      </c>
      <c r="C25" s="75">
        <v>20935.419999999998</v>
      </c>
      <c r="D25" s="75">
        <v>4885.21</v>
      </c>
      <c r="E25" s="75">
        <v>18013.62</v>
      </c>
      <c r="F25" s="75">
        <v>1519.43</v>
      </c>
      <c r="G25" s="75">
        <v>19785.47</v>
      </c>
      <c r="H25" s="75">
        <v>5702.56</v>
      </c>
    </row>
    <row r="26" spans="1:8">
      <c r="A26" s="72" t="s">
        <v>314</v>
      </c>
      <c r="B26" s="72" t="s">
        <v>315</v>
      </c>
      <c r="C26" s="74" t="s">
        <v>207</v>
      </c>
      <c r="D26" s="74" t="s">
        <v>207</v>
      </c>
      <c r="E26" s="74" t="s">
        <v>207</v>
      </c>
      <c r="F26" s="74" t="s">
        <v>207</v>
      </c>
      <c r="G26" s="74" t="s">
        <v>207</v>
      </c>
      <c r="H26" s="74" t="s">
        <v>207</v>
      </c>
    </row>
    <row r="27" spans="1:8">
      <c r="A27" s="72" t="s">
        <v>316</v>
      </c>
      <c r="B27" s="72" t="s">
        <v>317</v>
      </c>
      <c r="C27" s="73" t="s">
        <v>207</v>
      </c>
      <c r="D27" s="73" t="s">
        <v>207</v>
      </c>
      <c r="E27" s="73" t="s">
        <v>207</v>
      </c>
      <c r="F27" s="73" t="s">
        <v>207</v>
      </c>
      <c r="G27" s="73" t="s">
        <v>207</v>
      </c>
      <c r="H27" s="73" t="s">
        <v>207</v>
      </c>
    </row>
    <row r="28" spans="1:8">
      <c r="A28" s="72" t="s">
        <v>318</v>
      </c>
      <c r="B28" s="72" t="s">
        <v>319</v>
      </c>
      <c r="C28" s="76">
        <v>8151.04</v>
      </c>
      <c r="D28" s="76">
        <v>491.02</v>
      </c>
      <c r="E28" s="77">
        <v>3663.7</v>
      </c>
      <c r="F28" s="76">
        <v>578.49</v>
      </c>
      <c r="G28" s="76">
        <v>4027.81</v>
      </c>
      <c r="H28" s="76">
        <v>1228.8800000000001</v>
      </c>
    </row>
    <row r="29" spans="1:8">
      <c r="A29" s="72" t="s">
        <v>320</v>
      </c>
      <c r="B29" s="72" t="s">
        <v>321</v>
      </c>
      <c r="C29" s="73" t="s">
        <v>207</v>
      </c>
      <c r="D29" s="73" t="s">
        <v>207</v>
      </c>
      <c r="E29" s="73" t="s">
        <v>207</v>
      </c>
      <c r="F29" s="73" t="s">
        <v>207</v>
      </c>
      <c r="G29" s="73" t="s">
        <v>207</v>
      </c>
      <c r="H29" s="73" t="s">
        <v>207</v>
      </c>
    </row>
    <row r="30" spans="1:8">
      <c r="A30" s="72" t="s">
        <v>322</v>
      </c>
      <c r="B30" s="72" t="s">
        <v>323</v>
      </c>
      <c r="C30" s="74" t="s">
        <v>207</v>
      </c>
      <c r="D30" s="74" t="s">
        <v>207</v>
      </c>
      <c r="E30" s="74" t="s">
        <v>207</v>
      </c>
      <c r="F30" s="74" t="s">
        <v>207</v>
      </c>
      <c r="G30" s="74" t="s">
        <v>207</v>
      </c>
      <c r="H30" s="74" t="s">
        <v>207</v>
      </c>
    </row>
    <row r="31" spans="1:8">
      <c r="A31" s="72" t="s">
        <v>324</v>
      </c>
      <c r="B31" s="72" t="s">
        <v>325</v>
      </c>
      <c r="C31" s="78">
        <v>34799.300000000003</v>
      </c>
      <c r="D31" s="75">
        <v>17607.95</v>
      </c>
      <c r="E31" s="75">
        <v>28945.93</v>
      </c>
      <c r="F31" s="75">
        <v>24449.759999999998</v>
      </c>
      <c r="G31" s="75">
        <v>21251.03</v>
      </c>
      <c r="H31" s="78">
        <v>24548.400000000001</v>
      </c>
    </row>
    <row r="32" spans="1:8">
      <c r="A32" s="72" t="s">
        <v>326</v>
      </c>
      <c r="B32" s="72" t="s">
        <v>327</v>
      </c>
      <c r="C32" s="76">
        <v>335119.74</v>
      </c>
      <c r="D32" s="76">
        <v>22987.29</v>
      </c>
      <c r="E32" s="76">
        <v>328821.17</v>
      </c>
      <c r="F32" s="77">
        <v>53912</v>
      </c>
      <c r="G32" s="76">
        <v>357463.25</v>
      </c>
      <c r="H32" s="77">
        <v>43864</v>
      </c>
    </row>
    <row r="33" spans="1:8">
      <c r="A33" s="72" t="s">
        <v>328</v>
      </c>
      <c r="B33" s="72" t="s">
        <v>329</v>
      </c>
      <c r="C33" s="75">
        <v>584.86</v>
      </c>
      <c r="D33" s="78">
        <v>33.5</v>
      </c>
      <c r="E33" s="75">
        <v>66.58</v>
      </c>
      <c r="F33" s="75">
        <v>14.49</v>
      </c>
      <c r="G33" s="75">
        <v>599.69000000000005</v>
      </c>
      <c r="H33" s="75">
        <v>37.29</v>
      </c>
    </row>
    <row r="34" spans="1:8">
      <c r="A34" s="72" t="s">
        <v>330</v>
      </c>
      <c r="B34" s="72" t="s">
        <v>331</v>
      </c>
      <c r="C34" s="76">
        <v>304.83</v>
      </c>
      <c r="D34" s="74" t="s">
        <v>207</v>
      </c>
      <c r="E34" s="76">
        <v>1851.65</v>
      </c>
      <c r="F34" s="74" t="s">
        <v>207</v>
      </c>
      <c r="G34" s="76">
        <v>5422.68</v>
      </c>
      <c r="H34" s="76">
        <v>86.44</v>
      </c>
    </row>
    <row r="35" spans="1:8">
      <c r="A35" s="72" t="s">
        <v>332</v>
      </c>
      <c r="B35" s="72" t="s">
        <v>333</v>
      </c>
      <c r="C35" s="75">
        <v>49143.08</v>
      </c>
      <c r="D35" s="75">
        <v>1678.34</v>
      </c>
      <c r="E35" s="75">
        <v>46740.72</v>
      </c>
      <c r="F35" s="75">
        <v>3818.48</v>
      </c>
      <c r="G35" s="75">
        <v>36161.85</v>
      </c>
      <c r="H35" s="75">
        <v>13125.81</v>
      </c>
    </row>
    <row r="36" spans="1:8">
      <c r="A36" s="72" t="s">
        <v>334</v>
      </c>
      <c r="B36" s="72" t="s">
        <v>335</v>
      </c>
      <c r="C36" s="74" t="s">
        <v>207</v>
      </c>
      <c r="D36" s="74" t="s">
        <v>207</v>
      </c>
      <c r="E36" s="74" t="s">
        <v>207</v>
      </c>
      <c r="F36" s="74" t="s">
        <v>207</v>
      </c>
      <c r="G36" s="74" t="s">
        <v>207</v>
      </c>
      <c r="H36" s="74" t="s">
        <v>207</v>
      </c>
    </row>
    <row r="37" spans="1:8">
      <c r="A37" s="72" t="s">
        <v>336</v>
      </c>
      <c r="B37" s="72" t="s">
        <v>337</v>
      </c>
      <c r="C37" s="73" t="s">
        <v>207</v>
      </c>
      <c r="D37" s="73" t="s">
        <v>207</v>
      </c>
      <c r="E37" s="73" t="s">
        <v>207</v>
      </c>
      <c r="F37" s="73" t="s">
        <v>207</v>
      </c>
      <c r="G37" s="73" t="s">
        <v>207</v>
      </c>
      <c r="H37" s="73" t="s">
        <v>207</v>
      </c>
    </row>
    <row r="38" spans="1:8">
      <c r="A38" s="72" t="s">
        <v>338</v>
      </c>
      <c r="B38" s="72" t="s">
        <v>339</v>
      </c>
      <c r="C38" s="77">
        <v>317642</v>
      </c>
      <c r="D38" s="76">
        <v>39074.03</v>
      </c>
      <c r="E38" s="76">
        <v>241665.18</v>
      </c>
      <c r="F38" s="76">
        <v>58929.93</v>
      </c>
      <c r="G38" s="77">
        <v>409364.2</v>
      </c>
      <c r="H38" s="76">
        <v>49377.66</v>
      </c>
    </row>
    <row r="39" spans="1:8">
      <c r="A39" s="72" t="s">
        <v>340</v>
      </c>
      <c r="B39" s="72" t="s">
        <v>341</v>
      </c>
      <c r="C39" s="73" t="s">
        <v>207</v>
      </c>
      <c r="D39" s="73" t="s">
        <v>207</v>
      </c>
      <c r="E39" s="73" t="s">
        <v>207</v>
      </c>
      <c r="F39" s="73" t="s">
        <v>207</v>
      </c>
      <c r="G39" s="73" t="s">
        <v>207</v>
      </c>
      <c r="H39" s="73" t="s">
        <v>207</v>
      </c>
    </row>
    <row r="40" spans="1:8">
      <c r="A40" s="72" t="s">
        <v>342</v>
      </c>
      <c r="B40" s="72" t="s">
        <v>343</v>
      </c>
      <c r="C40" s="74" t="s">
        <v>207</v>
      </c>
      <c r="D40" s="74" t="s">
        <v>207</v>
      </c>
      <c r="E40" s="74" t="s">
        <v>207</v>
      </c>
      <c r="F40" s="74" t="s">
        <v>207</v>
      </c>
      <c r="G40" s="74" t="s">
        <v>207</v>
      </c>
      <c r="H40" s="74" t="s">
        <v>207</v>
      </c>
    </row>
    <row r="41" spans="1:8">
      <c r="A41" s="72" t="s">
        <v>344</v>
      </c>
      <c r="B41" s="72" t="s">
        <v>345</v>
      </c>
      <c r="C41" s="75">
        <v>125651.23</v>
      </c>
      <c r="D41" s="78">
        <v>979142.2</v>
      </c>
      <c r="E41" s="75">
        <v>303960.51</v>
      </c>
      <c r="F41" s="75">
        <v>464658.68</v>
      </c>
      <c r="G41" s="75">
        <v>406567.09</v>
      </c>
      <c r="H41" s="75">
        <v>644600.78</v>
      </c>
    </row>
    <row r="42" spans="1:8">
      <c r="A42" s="72" t="s">
        <v>346</v>
      </c>
      <c r="B42" s="72" t="s">
        <v>347</v>
      </c>
      <c r="C42" s="74" t="s">
        <v>207</v>
      </c>
      <c r="D42" s="74" t="s">
        <v>207</v>
      </c>
      <c r="E42" s="74" t="s">
        <v>207</v>
      </c>
      <c r="F42" s="74" t="s">
        <v>207</v>
      </c>
      <c r="G42" s="74" t="s">
        <v>207</v>
      </c>
      <c r="H42" s="74" t="s">
        <v>207</v>
      </c>
    </row>
    <row r="43" spans="1:8">
      <c r="A43" s="72" t="s">
        <v>348</v>
      </c>
      <c r="B43" s="72" t="s">
        <v>349</v>
      </c>
      <c r="C43" s="73" t="s">
        <v>207</v>
      </c>
      <c r="D43" s="73" t="s">
        <v>207</v>
      </c>
      <c r="E43" s="73" t="s">
        <v>207</v>
      </c>
      <c r="F43" s="73" t="s">
        <v>207</v>
      </c>
      <c r="G43" s="73" t="s">
        <v>207</v>
      </c>
      <c r="H43" s="73" t="s">
        <v>207</v>
      </c>
    </row>
    <row r="44" spans="1:8">
      <c r="A44" s="72" t="s">
        <v>350</v>
      </c>
      <c r="B44" s="72" t="s">
        <v>351</v>
      </c>
      <c r="C44" s="76">
        <v>443.73</v>
      </c>
      <c r="D44" s="77">
        <v>63111</v>
      </c>
      <c r="E44" s="76">
        <v>556.63</v>
      </c>
      <c r="F44" s="77">
        <v>32958.199999999997</v>
      </c>
      <c r="G44" s="76">
        <v>6173.56</v>
      </c>
      <c r="H44" s="76">
        <v>9173.2199999999993</v>
      </c>
    </row>
    <row r="45" spans="1:8">
      <c r="A45" s="72" t="s">
        <v>352</v>
      </c>
      <c r="B45" s="72" t="s">
        <v>353</v>
      </c>
      <c r="C45" s="75">
        <v>14045.87</v>
      </c>
      <c r="D45" s="75">
        <v>14227.55</v>
      </c>
      <c r="E45" s="75">
        <v>16437.29</v>
      </c>
      <c r="F45" s="75">
        <v>105123.57</v>
      </c>
      <c r="G45" s="75">
        <v>9688.67</v>
      </c>
      <c r="H45" s="75">
        <v>12336.41</v>
      </c>
    </row>
    <row r="46" spans="1:8">
      <c r="A46" s="72" t="s">
        <v>354</v>
      </c>
      <c r="B46" s="72" t="s">
        <v>355</v>
      </c>
      <c r="C46" s="74" t="s">
        <v>207</v>
      </c>
      <c r="D46" s="74" t="s">
        <v>207</v>
      </c>
      <c r="E46" s="74" t="s">
        <v>207</v>
      </c>
      <c r="F46" s="74" t="s">
        <v>207</v>
      </c>
      <c r="G46" s="74" t="s">
        <v>207</v>
      </c>
      <c r="H46" s="74" t="s">
        <v>207</v>
      </c>
    </row>
    <row r="47" spans="1:8">
      <c r="A47" s="72" t="s">
        <v>356</v>
      </c>
      <c r="B47" s="72" t="s">
        <v>357</v>
      </c>
      <c r="C47" s="73" t="s">
        <v>207</v>
      </c>
      <c r="D47" s="73" t="s">
        <v>207</v>
      </c>
      <c r="E47" s="73" t="s">
        <v>207</v>
      </c>
      <c r="F47" s="73" t="s">
        <v>207</v>
      </c>
      <c r="G47" s="73" t="s">
        <v>207</v>
      </c>
      <c r="H47" s="73" t="s">
        <v>207</v>
      </c>
    </row>
    <row r="48" spans="1:8">
      <c r="A48" s="72" t="s">
        <v>358</v>
      </c>
      <c r="B48" s="72" t="s">
        <v>359</v>
      </c>
      <c r="C48" s="76">
        <v>12542.65</v>
      </c>
      <c r="D48" s="76">
        <v>100184.71</v>
      </c>
      <c r="E48" s="76">
        <v>39621.019999999997</v>
      </c>
      <c r="F48" s="76">
        <v>134235.43</v>
      </c>
      <c r="G48" s="76">
        <v>39481.96</v>
      </c>
      <c r="H48" s="76">
        <v>115566.93</v>
      </c>
    </row>
    <row r="49" spans="1:8">
      <c r="A49" s="72" t="s">
        <v>360</v>
      </c>
      <c r="B49" s="72" t="s">
        <v>361</v>
      </c>
      <c r="C49" s="75">
        <v>4481.45</v>
      </c>
      <c r="D49" s="75">
        <v>179997.67</v>
      </c>
      <c r="E49" s="75">
        <v>32720.97</v>
      </c>
      <c r="F49" s="75">
        <v>94783.81</v>
      </c>
      <c r="G49" s="78">
        <v>23890</v>
      </c>
      <c r="H49" s="75">
        <v>70013.240000000005</v>
      </c>
    </row>
    <row r="50" spans="1:8">
      <c r="A50" s="72" t="s">
        <v>362</v>
      </c>
      <c r="B50" s="72" t="s">
        <v>363</v>
      </c>
      <c r="C50" s="77">
        <v>12769.4</v>
      </c>
      <c r="D50" s="76">
        <v>23925.72</v>
      </c>
      <c r="E50" s="76">
        <v>21352.28</v>
      </c>
      <c r="F50" s="76">
        <v>20959.97</v>
      </c>
      <c r="G50" s="77">
        <v>35832.5</v>
      </c>
      <c r="H50" s="76">
        <v>32925.949999999997</v>
      </c>
    </row>
    <row r="51" spans="1:8">
      <c r="A51" s="72" t="s">
        <v>364</v>
      </c>
      <c r="B51" s="72" t="s">
        <v>365</v>
      </c>
      <c r="C51" s="75">
        <v>7188257.3499999996</v>
      </c>
      <c r="D51" s="75">
        <v>636324.81000000006</v>
      </c>
      <c r="E51" s="78">
        <v>5986818.9000000004</v>
      </c>
      <c r="F51" s="75">
        <v>1332845.49</v>
      </c>
      <c r="G51" s="75">
        <v>4561593.24</v>
      </c>
      <c r="H51" s="75">
        <v>1184422.8500000001</v>
      </c>
    </row>
    <row r="52" spans="1:8">
      <c r="A52" s="72" t="s">
        <v>366</v>
      </c>
      <c r="B52" s="72" t="s">
        <v>367</v>
      </c>
      <c r="C52" s="76">
        <v>13632.64</v>
      </c>
      <c r="D52" s="76">
        <v>12535.76</v>
      </c>
      <c r="E52" s="76">
        <v>28356.55</v>
      </c>
      <c r="F52" s="76">
        <v>12469.92</v>
      </c>
      <c r="G52" s="76">
        <v>38508.879999999997</v>
      </c>
      <c r="H52" s="76">
        <v>21027.73</v>
      </c>
    </row>
    <row r="53" spans="1:8">
      <c r="A53" s="72" t="s">
        <v>368</v>
      </c>
      <c r="B53" s="72" t="s">
        <v>369</v>
      </c>
      <c r="C53" s="78">
        <v>266580.8</v>
      </c>
      <c r="D53" s="75">
        <v>61469.53</v>
      </c>
      <c r="E53" s="75">
        <v>292736.08</v>
      </c>
      <c r="F53" s="75">
        <v>129619.26</v>
      </c>
      <c r="G53" s="78">
        <v>366979.6</v>
      </c>
      <c r="H53" s="75">
        <v>182404.55</v>
      </c>
    </row>
    <row r="54" spans="1:8">
      <c r="A54" s="72" t="s">
        <v>370</v>
      </c>
      <c r="B54" s="72" t="s">
        <v>371</v>
      </c>
      <c r="C54" s="74" t="s">
        <v>207</v>
      </c>
      <c r="D54" s="74" t="s">
        <v>207</v>
      </c>
      <c r="E54" s="74" t="s">
        <v>207</v>
      </c>
      <c r="F54" s="74" t="s">
        <v>207</v>
      </c>
      <c r="G54" s="74" t="s">
        <v>207</v>
      </c>
      <c r="H54" s="74" t="s">
        <v>207</v>
      </c>
    </row>
    <row r="55" spans="1:8">
      <c r="A55" s="72" t="s">
        <v>372</v>
      </c>
      <c r="B55" s="72" t="s">
        <v>373</v>
      </c>
      <c r="C55" s="73" t="s">
        <v>207</v>
      </c>
      <c r="D55" s="73" t="s">
        <v>207</v>
      </c>
      <c r="E55" s="73" t="s">
        <v>207</v>
      </c>
      <c r="F55" s="73" t="s">
        <v>207</v>
      </c>
      <c r="G55" s="73" t="s">
        <v>207</v>
      </c>
      <c r="H55" s="73" t="s">
        <v>207</v>
      </c>
    </row>
    <row r="56" spans="1:8">
      <c r="A56" s="72" t="s">
        <v>374</v>
      </c>
      <c r="B56" s="72" t="s">
        <v>375</v>
      </c>
      <c r="C56" s="74" t="s">
        <v>207</v>
      </c>
      <c r="D56" s="74" t="s">
        <v>207</v>
      </c>
      <c r="E56" s="74" t="s">
        <v>207</v>
      </c>
      <c r="F56" s="74" t="s">
        <v>207</v>
      </c>
      <c r="G56" s="74" t="s">
        <v>207</v>
      </c>
      <c r="H56" s="74" t="s">
        <v>207</v>
      </c>
    </row>
    <row r="57" spans="1:8">
      <c r="A57" s="72" t="s">
        <v>376</v>
      </c>
      <c r="B57" s="72" t="s">
        <v>377</v>
      </c>
      <c r="C57" s="75">
        <v>50754.45</v>
      </c>
      <c r="D57" s="75">
        <v>196670.12</v>
      </c>
      <c r="E57" s="75">
        <v>127877.53</v>
      </c>
      <c r="F57" s="75">
        <v>337349.76</v>
      </c>
      <c r="G57" s="75">
        <v>99760.04</v>
      </c>
      <c r="H57" s="75">
        <v>698166.94</v>
      </c>
    </row>
    <row r="58" spans="1:8">
      <c r="A58" s="72" t="s">
        <v>378</v>
      </c>
      <c r="B58" s="72" t="s">
        <v>379</v>
      </c>
      <c r="C58" s="76">
        <v>10981142.060000001</v>
      </c>
      <c r="D58" s="76">
        <v>9928874.0099999998</v>
      </c>
      <c r="E58" s="76">
        <v>12220500.68</v>
      </c>
      <c r="F58" s="76">
        <v>10797537.48</v>
      </c>
      <c r="G58" s="76">
        <v>14030063.689999999</v>
      </c>
      <c r="H58" s="77">
        <v>5224372.0999999996</v>
      </c>
    </row>
    <row r="59" spans="1:8">
      <c r="A59" s="72" t="s">
        <v>380</v>
      </c>
      <c r="B59" s="72" t="s">
        <v>381</v>
      </c>
      <c r="C59" s="75">
        <v>84147.22</v>
      </c>
      <c r="D59" s="75">
        <v>4443550.0599999996</v>
      </c>
      <c r="E59" s="75">
        <v>162214.78</v>
      </c>
      <c r="F59" s="75">
        <v>4773438.1399999997</v>
      </c>
      <c r="G59" s="75">
        <v>1306276.1399999999</v>
      </c>
      <c r="H59" s="75">
        <v>4946683.8899999997</v>
      </c>
    </row>
    <row r="60" spans="1:8">
      <c r="A60" s="72" t="s">
        <v>382</v>
      </c>
      <c r="B60" s="72" t="s">
        <v>383</v>
      </c>
      <c r="C60" s="76">
        <v>188320.03</v>
      </c>
      <c r="D60" s="76">
        <v>181553.94</v>
      </c>
      <c r="E60" s="76">
        <v>201262.87</v>
      </c>
      <c r="F60" s="76">
        <v>370211.64</v>
      </c>
      <c r="G60" s="76">
        <v>149794.47</v>
      </c>
      <c r="H60" s="76">
        <v>227747.21</v>
      </c>
    </row>
    <row r="61" spans="1:8">
      <c r="A61" s="72" t="s">
        <v>384</v>
      </c>
      <c r="B61" s="72" t="s">
        <v>385</v>
      </c>
      <c r="C61" s="73" t="s">
        <v>207</v>
      </c>
      <c r="D61" s="73" t="s">
        <v>207</v>
      </c>
      <c r="E61" s="73" t="s">
        <v>207</v>
      </c>
      <c r="F61" s="73" t="s">
        <v>207</v>
      </c>
      <c r="G61" s="73" t="s">
        <v>207</v>
      </c>
      <c r="H61" s="73" t="s">
        <v>207</v>
      </c>
    </row>
    <row r="62" spans="1:8">
      <c r="A62" s="72" t="s">
        <v>386</v>
      </c>
      <c r="B62" s="72" t="s">
        <v>387</v>
      </c>
      <c r="C62" s="76">
        <v>2039588.06</v>
      </c>
      <c r="D62" s="76">
        <v>852274.23</v>
      </c>
      <c r="E62" s="76">
        <v>321580.31</v>
      </c>
      <c r="F62" s="76">
        <v>861681.39</v>
      </c>
      <c r="G62" s="76">
        <v>1129190.3700000001</v>
      </c>
      <c r="H62" s="76">
        <v>1037650.77</v>
      </c>
    </row>
    <row r="63" spans="1:8">
      <c r="A63" s="72" t="s">
        <v>388</v>
      </c>
      <c r="B63" s="72" t="s">
        <v>389</v>
      </c>
      <c r="C63" s="75">
        <v>318142.48</v>
      </c>
      <c r="D63" s="75">
        <v>3003451.37</v>
      </c>
      <c r="E63" s="75">
        <v>2818663.44</v>
      </c>
      <c r="F63" s="75">
        <v>3665261.24</v>
      </c>
      <c r="G63" s="75">
        <v>2137502.83</v>
      </c>
      <c r="H63" s="75">
        <v>4464557.95</v>
      </c>
    </row>
    <row r="64" spans="1:8">
      <c r="A64" s="72" t="s">
        <v>390</v>
      </c>
      <c r="B64" s="72" t="s">
        <v>391</v>
      </c>
      <c r="C64" s="76">
        <v>119597.25</v>
      </c>
      <c r="D64" s="76">
        <v>9652.08</v>
      </c>
      <c r="E64" s="77">
        <v>78825.3</v>
      </c>
      <c r="F64" s="76">
        <v>7240.48</v>
      </c>
      <c r="G64" s="77">
        <v>62339.3</v>
      </c>
      <c r="H64" s="76">
        <v>16838.18</v>
      </c>
    </row>
    <row r="65" spans="1:8">
      <c r="A65" s="72" t="s">
        <v>392</v>
      </c>
      <c r="B65" s="72" t="s">
        <v>393</v>
      </c>
      <c r="C65" s="75">
        <v>228251.57</v>
      </c>
      <c r="D65" s="75">
        <v>10755.31</v>
      </c>
      <c r="E65" s="75">
        <v>108889.07</v>
      </c>
      <c r="F65" s="75">
        <v>3968.79</v>
      </c>
      <c r="G65" s="75">
        <v>55882.29</v>
      </c>
      <c r="H65" s="75">
        <v>9124.84</v>
      </c>
    </row>
    <row r="66" spans="1:8">
      <c r="A66" s="72" t="s">
        <v>394</v>
      </c>
      <c r="B66" s="72" t="s">
        <v>395</v>
      </c>
      <c r="C66" s="76">
        <v>413036.75</v>
      </c>
      <c r="D66" s="76">
        <v>32901.410000000003</v>
      </c>
      <c r="E66" s="76">
        <v>458225.98</v>
      </c>
      <c r="F66" s="76">
        <v>10024.790000000001</v>
      </c>
      <c r="G66" s="76">
        <v>28749.67</v>
      </c>
      <c r="H66" s="76">
        <v>532.91</v>
      </c>
    </row>
    <row r="67" spans="1:8">
      <c r="A67" s="72" t="s">
        <v>396</v>
      </c>
      <c r="B67" s="72" t="s">
        <v>397</v>
      </c>
      <c r="C67" s="75">
        <v>239039.05</v>
      </c>
      <c r="D67" s="75">
        <v>740134.44</v>
      </c>
      <c r="E67" s="75">
        <v>150232.81</v>
      </c>
      <c r="F67" s="75">
        <v>351993.69</v>
      </c>
      <c r="G67" s="75">
        <v>1106031.56</v>
      </c>
      <c r="H67" s="75">
        <v>545101.31000000006</v>
      </c>
    </row>
    <row r="68" spans="1:8">
      <c r="A68" s="72" t="s">
        <v>398</v>
      </c>
      <c r="B68" s="72" t="s">
        <v>399</v>
      </c>
      <c r="C68" s="76">
        <v>34087.64</v>
      </c>
      <c r="D68" s="76">
        <v>10054.879999999999</v>
      </c>
      <c r="E68" s="76">
        <v>39999.94</v>
      </c>
      <c r="F68" s="76">
        <v>5037.49</v>
      </c>
      <c r="G68" s="76">
        <v>32475.37</v>
      </c>
      <c r="H68" s="76">
        <v>7672.14</v>
      </c>
    </row>
    <row r="69" spans="1:8">
      <c r="A69" s="72" t="s">
        <v>400</v>
      </c>
      <c r="B69" s="72" t="s">
        <v>401</v>
      </c>
      <c r="C69" s="75">
        <v>45146.17</v>
      </c>
      <c r="D69" s="75">
        <v>29235.26</v>
      </c>
      <c r="E69" s="75">
        <v>73159.539999999994</v>
      </c>
      <c r="F69" s="75">
        <v>328595.92</v>
      </c>
      <c r="G69" s="75">
        <v>76085.59</v>
      </c>
      <c r="H69" s="78">
        <v>62014.5</v>
      </c>
    </row>
    <row r="70" spans="1:8">
      <c r="A70" s="72" t="s">
        <v>402</v>
      </c>
      <c r="B70" s="72" t="s">
        <v>403</v>
      </c>
      <c r="C70" s="76">
        <v>20608.98</v>
      </c>
      <c r="D70" s="76">
        <v>1614.96</v>
      </c>
      <c r="E70" s="76">
        <v>14500.02</v>
      </c>
      <c r="F70" s="76">
        <v>2784.56</v>
      </c>
      <c r="G70" s="74" t="s">
        <v>207</v>
      </c>
      <c r="H70" s="74" t="s">
        <v>207</v>
      </c>
    </row>
    <row r="71" spans="1:8">
      <c r="A71" s="72" t="s">
        <v>404</v>
      </c>
      <c r="B71" s="72" t="s">
        <v>405</v>
      </c>
      <c r="C71" s="73" t="s">
        <v>207</v>
      </c>
      <c r="D71" s="73" t="s">
        <v>207</v>
      </c>
      <c r="E71" s="75">
        <v>777316.92</v>
      </c>
      <c r="F71" s="75">
        <v>65711.240000000005</v>
      </c>
      <c r="G71" s="73" t="s">
        <v>207</v>
      </c>
      <c r="H71" s="73" t="s">
        <v>207</v>
      </c>
    </row>
    <row r="72" spans="1:8">
      <c r="A72" s="72" t="s">
        <v>406</v>
      </c>
      <c r="B72" s="72" t="s">
        <v>407</v>
      </c>
      <c r="C72" s="74" t="s">
        <v>207</v>
      </c>
      <c r="D72" s="74" t="s">
        <v>207</v>
      </c>
      <c r="E72" s="76">
        <v>379638.59</v>
      </c>
      <c r="F72" s="76">
        <v>11965.55</v>
      </c>
      <c r="G72" s="74" t="s">
        <v>207</v>
      </c>
      <c r="H72" s="74" t="s">
        <v>207</v>
      </c>
    </row>
    <row r="73" spans="1:8">
      <c r="A73" s="72" t="s">
        <v>408</v>
      </c>
      <c r="B73" s="72" t="s">
        <v>409</v>
      </c>
      <c r="C73" s="75">
        <v>1064838.72</v>
      </c>
      <c r="D73" s="75">
        <v>89572.83</v>
      </c>
      <c r="E73" s="73" t="s">
        <v>207</v>
      </c>
      <c r="F73" s="73" t="s">
        <v>207</v>
      </c>
      <c r="G73" s="73" t="s">
        <v>207</v>
      </c>
      <c r="H73" s="73" t="s">
        <v>207</v>
      </c>
    </row>
    <row r="74" spans="1:8">
      <c r="A74" s="72" t="s">
        <v>410</v>
      </c>
      <c r="B74" s="72" t="s">
        <v>411</v>
      </c>
      <c r="C74" s="74" t="s">
        <v>207</v>
      </c>
      <c r="D74" s="74" t="s">
        <v>207</v>
      </c>
      <c r="E74" s="74" t="s">
        <v>207</v>
      </c>
      <c r="F74" s="74" t="s">
        <v>207</v>
      </c>
      <c r="G74" s="77">
        <v>799896.3</v>
      </c>
      <c r="H74" s="76">
        <v>114263.95</v>
      </c>
    </row>
    <row r="75" spans="1:8">
      <c r="A75" s="72" t="s">
        <v>412</v>
      </c>
      <c r="B75" s="72" t="s">
        <v>413</v>
      </c>
      <c r="C75" s="73" t="s">
        <v>207</v>
      </c>
      <c r="D75" s="73" t="s">
        <v>207</v>
      </c>
      <c r="E75" s="73" t="s">
        <v>207</v>
      </c>
      <c r="F75" s="73" t="s">
        <v>207</v>
      </c>
      <c r="G75" s="75">
        <v>280555.76</v>
      </c>
      <c r="H75" s="75">
        <v>6466.98</v>
      </c>
    </row>
    <row r="76" spans="1:8">
      <c r="A76" s="72" t="s">
        <v>414</v>
      </c>
      <c r="B76" s="72" t="s">
        <v>415</v>
      </c>
      <c r="C76" s="74" t="s">
        <v>207</v>
      </c>
      <c r="D76" s="74" t="s">
        <v>207</v>
      </c>
      <c r="E76" s="74" t="s">
        <v>207</v>
      </c>
      <c r="F76" s="74" t="s">
        <v>207</v>
      </c>
      <c r="G76" s="76">
        <v>16355.81</v>
      </c>
      <c r="H76" s="76">
        <v>918.86</v>
      </c>
    </row>
    <row r="77" spans="1:8">
      <c r="A77" s="72" t="s">
        <v>416</v>
      </c>
      <c r="B77" s="72" t="s">
        <v>417</v>
      </c>
      <c r="C77" s="75">
        <v>54817.69</v>
      </c>
      <c r="D77" s="78">
        <v>16692.7</v>
      </c>
      <c r="E77" s="75">
        <v>50185.56</v>
      </c>
      <c r="F77" s="75">
        <v>15846.17</v>
      </c>
      <c r="G77" s="75">
        <v>53855.56</v>
      </c>
      <c r="H77" s="75">
        <v>21238.12</v>
      </c>
    </row>
    <row r="78" spans="1:8">
      <c r="A78" s="72" t="s">
        <v>418</v>
      </c>
      <c r="B78" s="72" t="s">
        <v>419</v>
      </c>
      <c r="C78" s="76">
        <v>902.11</v>
      </c>
      <c r="D78" s="74" t="s">
        <v>207</v>
      </c>
      <c r="E78" s="76">
        <v>1381.22</v>
      </c>
      <c r="F78" s="76">
        <v>1.04</v>
      </c>
      <c r="G78" s="74" t="s">
        <v>207</v>
      </c>
      <c r="H78" s="74" t="s">
        <v>207</v>
      </c>
    </row>
    <row r="79" spans="1:8">
      <c r="A79" s="72" t="s">
        <v>420</v>
      </c>
      <c r="B79" s="72" t="s">
        <v>421</v>
      </c>
      <c r="C79" s="75">
        <v>4820.9399999999996</v>
      </c>
      <c r="D79" s="75">
        <v>340.42</v>
      </c>
      <c r="E79" s="75">
        <v>8743.67</v>
      </c>
      <c r="F79" s="75">
        <v>753.89</v>
      </c>
      <c r="G79" s="73" t="s">
        <v>207</v>
      </c>
      <c r="H79" s="73" t="s">
        <v>207</v>
      </c>
    </row>
    <row r="80" spans="1:8">
      <c r="A80" s="72" t="s">
        <v>422</v>
      </c>
      <c r="B80" s="72" t="s">
        <v>423</v>
      </c>
      <c r="C80" s="74" t="s">
        <v>207</v>
      </c>
      <c r="D80" s="74" t="s">
        <v>207</v>
      </c>
      <c r="E80" s="74" t="s">
        <v>207</v>
      </c>
      <c r="F80" s="74" t="s">
        <v>207</v>
      </c>
      <c r="G80" s="76">
        <v>2471.5500000000002</v>
      </c>
      <c r="H80" s="77">
        <v>405.5</v>
      </c>
    </row>
    <row r="81" spans="1:8">
      <c r="A81" s="72" t="s">
        <v>424</v>
      </c>
      <c r="B81" s="72" t="s">
        <v>425</v>
      </c>
      <c r="C81" s="73" t="s">
        <v>207</v>
      </c>
      <c r="D81" s="73" t="s">
        <v>207</v>
      </c>
      <c r="E81" s="73" t="s">
        <v>207</v>
      </c>
      <c r="F81" s="73" t="s">
        <v>207</v>
      </c>
      <c r="G81" s="78">
        <v>4278.3999999999996</v>
      </c>
      <c r="H81" s="75">
        <v>540.41</v>
      </c>
    </row>
    <row r="82" spans="1:8">
      <c r="A82" s="72" t="s">
        <v>426</v>
      </c>
      <c r="B82" s="72" t="s">
        <v>427</v>
      </c>
      <c r="C82" s="76">
        <v>871983.21</v>
      </c>
      <c r="D82" s="76">
        <v>667.49</v>
      </c>
      <c r="E82" s="76">
        <v>1911795.97</v>
      </c>
      <c r="F82" s="77">
        <v>828.3</v>
      </c>
      <c r="G82" s="76">
        <v>326209.56</v>
      </c>
      <c r="H82" s="77">
        <v>8160.8</v>
      </c>
    </row>
    <row r="83" spans="1:8">
      <c r="A83" s="72" t="s">
        <v>428</v>
      </c>
      <c r="B83" s="72" t="s">
        <v>429</v>
      </c>
      <c r="C83" s="75">
        <v>81350.48</v>
      </c>
      <c r="D83" s="78">
        <v>315.7</v>
      </c>
      <c r="E83" s="75">
        <v>160793.69</v>
      </c>
      <c r="F83" s="75">
        <v>123.29</v>
      </c>
      <c r="G83" s="78">
        <v>153409.20000000001</v>
      </c>
      <c r="H83" s="78">
        <v>1461.6</v>
      </c>
    </row>
    <row r="84" spans="1:8">
      <c r="A84" s="72" t="s">
        <v>430</v>
      </c>
      <c r="B84" s="72" t="s">
        <v>431</v>
      </c>
      <c r="C84" s="76">
        <v>851.93</v>
      </c>
      <c r="D84" s="76">
        <v>7.57</v>
      </c>
      <c r="E84" s="76">
        <v>886.11</v>
      </c>
      <c r="F84" s="76">
        <v>14.55</v>
      </c>
      <c r="G84" s="76">
        <v>1867.74</v>
      </c>
      <c r="H84" s="76">
        <v>20.010000000000002</v>
      </c>
    </row>
    <row r="85" spans="1:8">
      <c r="A85" s="72" t="s">
        <v>432</v>
      </c>
      <c r="B85" s="72" t="s">
        <v>433</v>
      </c>
      <c r="C85" s="75">
        <v>53829.95</v>
      </c>
      <c r="D85" s="75">
        <v>1939.51</v>
      </c>
      <c r="E85" s="75">
        <v>140066.29</v>
      </c>
      <c r="F85" s="75">
        <v>11511.12</v>
      </c>
      <c r="G85" s="75">
        <v>199939.68</v>
      </c>
      <c r="H85" s="75">
        <v>1971.39</v>
      </c>
    </row>
    <row r="86" spans="1:8">
      <c r="A86" s="72" t="s">
        <v>434</v>
      </c>
      <c r="B86" s="72" t="s">
        <v>435</v>
      </c>
      <c r="C86" s="76">
        <v>2493504.83</v>
      </c>
      <c r="D86" s="76">
        <v>4740.9799999999996</v>
      </c>
      <c r="E86" s="76">
        <v>1155843.95</v>
      </c>
      <c r="F86" s="76">
        <v>6347.05</v>
      </c>
      <c r="G86" s="76">
        <v>168094.97</v>
      </c>
      <c r="H86" s="76">
        <v>6646.64</v>
      </c>
    </row>
    <row r="87" spans="1:8">
      <c r="A87" s="72" t="s">
        <v>436</v>
      </c>
      <c r="B87" s="72" t="s">
        <v>437</v>
      </c>
      <c r="C87" s="78">
        <v>721766.6</v>
      </c>
      <c r="D87" s="75">
        <v>3017.37</v>
      </c>
      <c r="E87" s="75">
        <v>733002.29</v>
      </c>
      <c r="F87" s="75">
        <v>9649.02</v>
      </c>
      <c r="G87" s="75">
        <v>681835.81</v>
      </c>
      <c r="H87" s="75">
        <v>20323.29</v>
      </c>
    </row>
    <row r="88" spans="1:8">
      <c r="A88" s="72" t="s">
        <v>438</v>
      </c>
      <c r="B88" s="72" t="s">
        <v>439</v>
      </c>
      <c r="C88" s="76">
        <v>47444.94</v>
      </c>
      <c r="D88" s="76">
        <v>54134.09</v>
      </c>
      <c r="E88" s="76">
        <v>1306.06</v>
      </c>
      <c r="F88" s="76">
        <v>1328.03</v>
      </c>
      <c r="G88" s="77">
        <v>182673.8</v>
      </c>
      <c r="H88" s="76">
        <v>19899.740000000002</v>
      </c>
    </row>
    <row r="89" spans="1:8">
      <c r="A89" s="72" t="s">
        <v>440</v>
      </c>
      <c r="B89" s="72" t="s">
        <v>441</v>
      </c>
      <c r="C89" s="75">
        <v>782760.21</v>
      </c>
      <c r="D89" s="75">
        <v>1556101.69</v>
      </c>
      <c r="E89" s="75">
        <v>2077520.43</v>
      </c>
      <c r="F89" s="75">
        <v>1039393.64</v>
      </c>
      <c r="G89" s="75">
        <v>1001405.75</v>
      </c>
      <c r="H89" s="75">
        <v>1949208.63</v>
      </c>
    </row>
    <row r="90" spans="1:8">
      <c r="A90" s="72" t="s">
        <v>442</v>
      </c>
      <c r="B90" s="72" t="s">
        <v>443</v>
      </c>
      <c r="C90" s="76">
        <v>532.22</v>
      </c>
      <c r="D90" s="76">
        <v>348.54</v>
      </c>
      <c r="E90" s="77">
        <v>492.8</v>
      </c>
      <c r="F90" s="76">
        <v>324.52999999999997</v>
      </c>
      <c r="G90" s="76">
        <v>153.71</v>
      </c>
      <c r="H90" s="76">
        <v>301.72000000000003</v>
      </c>
    </row>
    <row r="91" spans="1:8">
      <c r="A91" s="72" t="s">
        <v>444</v>
      </c>
      <c r="B91" s="72" t="s">
        <v>445</v>
      </c>
      <c r="C91" s="75">
        <v>11365.54</v>
      </c>
      <c r="D91" s="75">
        <v>393266.78</v>
      </c>
      <c r="E91" s="75">
        <v>57434.96</v>
      </c>
      <c r="F91" s="75">
        <v>42132.47</v>
      </c>
      <c r="G91" s="75">
        <v>112518.88</v>
      </c>
      <c r="H91" s="75">
        <v>126139.57</v>
      </c>
    </row>
    <row r="92" spans="1:8">
      <c r="A92" s="72" t="s">
        <v>446</v>
      </c>
      <c r="B92" s="72" t="s">
        <v>447</v>
      </c>
      <c r="C92" s="76">
        <v>715930.82</v>
      </c>
      <c r="D92" s="77">
        <v>1367256.4</v>
      </c>
      <c r="E92" s="76">
        <v>1156797.31</v>
      </c>
      <c r="F92" s="76">
        <v>2371576.19</v>
      </c>
      <c r="G92" s="77">
        <v>1435817.6</v>
      </c>
      <c r="H92" s="76">
        <v>2248169.6800000002</v>
      </c>
    </row>
    <row r="93" spans="1:8">
      <c r="A93" s="72" t="s">
        <v>448</v>
      </c>
      <c r="B93" s="72" t="s">
        <v>449</v>
      </c>
      <c r="C93" s="73" t="s">
        <v>207</v>
      </c>
      <c r="D93" s="73" t="s">
        <v>207</v>
      </c>
      <c r="E93" s="73" t="s">
        <v>207</v>
      </c>
      <c r="F93" s="73" t="s">
        <v>207</v>
      </c>
      <c r="G93" s="73" t="s">
        <v>207</v>
      </c>
      <c r="H93" s="73" t="s">
        <v>207</v>
      </c>
    </row>
    <row r="94" spans="1:8">
      <c r="A94" s="72" t="s">
        <v>450</v>
      </c>
      <c r="B94" s="72" t="s">
        <v>451</v>
      </c>
      <c r="C94" s="74" t="s">
        <v>207</v>
      </c>
      <c r="D94" s="74" t="s">
        <v>207</v>
      </c>
      <c r="E94" s="74" t="s">
        <v>207</v>
      </c>
      <c r="F94" s="74" t="s">
        <v>207</v>
      </c>
      <c r="G94" s="74" t="s">
        <v>207</v>
      </c>
      <c r="H94" s="74" t="s">
        <v>207</v>
      </c>
    </row>
    <row r="95" spans="1:8">
      <c r="A95" s="72" t="s">
        <v>452</v>
      </c>
      <c r="B95" s="72" t="s">
        <v>453</v>
      </c>
      <c r="C95" s="73" t="s">
        <v>207</v>
      </c>
      <c r="D95" s="73" t="s">
        <v>207</v>
      </c>
      <c r="E95" s="73" t="s">
        <v>207</v>
      </c>
      <c r="F95" s="73" t="s">
        <v>207</v>
      </c>
      <c r="G95" s="73" t="s">
        <v>207</v>
      </c>
      <c r="H95" s="73" t="s">
        <v>207</v>
      </c>
    </row>
    <row r="96" spans="1:8">
      <c r="A96" s="72" t="s">
        <v>454</v>
      </c>
      <c r="B96" s="72" t="s">
        <v>455</v>
      </c>
      <c r="C96" s="76">
        <v>110.39</v>
      </c>
      <c r="D96" s="77">
        <v>1.1000000000000001</v>
      </c>
      <c r="E96" s="77">
        <v>132.19999999999999</v>
      </c>
      <c r="F96" s="76">
        <v>895.01</v>
      </c>
      <c r="G96" s="76">
        <v>18.87</v>
      </c>
      <c r="H96" s="76">
        <v>1.91</v>
      </c>
    </row>
    <row r="97" spans="1:8">
      <c r="A97" s="72" t="s">
        <v>456</v>
      </c>
      <c r="B97" s="72" t="s">
        <v>457</v>
      </c>
      <c r="C97" s="75">
        <v>60.05</v>
      </c>
      <c r="D97" s="78">
        <v>7.5</v>
      </c>
      <c r="E97" s="75">
        <v>7.02</v>
      </c>
      <c r="F97" s="75">
        <v>8.19</v>
      </c>
      <c r="G97" s="75">
        <v>27.02</v>
      </c>
      <c r="H97" s="75">
        <v>170.99</v>
      </c>
    </row>
    <row r="98" spans="1:8">
      <c r="A98" s="72" t="s">
        <v>458</v>
      </c>
      <c r="B98" s="72" t="s">
        <v>459</v>
      </c>
      <c r="C98" s="76">
        <v>2663.92</v>
      </c>
      <c r="D98" s="76">
        <v>161.09</v>
      </c>
      <c r="E98" s="76">
        <v>450.09</v>
      </c>
      <c r="F98" s="76">
        <v>52.77</v>
      </c>
      <c r="G98" s="76">
        <v>7638.31</v>
      </c>
      <c r="H98" s="76">
        <v>144.34</v>
      </c>
    </row>
    <row r="99" spans="1:8">
      <c r="A99" s="72" t="s">
        <v>460</v>
      </c>
      <c r="B99" s="72" t="s">
        <v>461</v>
      </c>
      <c r="C99" s="75">
        <v>167817.02</v>
      </c>
      <c r="D99" s="75">
        <v>586.66999999999996</v>
      </c>
      <c r="E99" s="75">
        <v>157948.72</v>
      </c>
      <c r="F99" s="75">
        <v>443.23</v>
      </c>
      <c r="G99" s="75">
        <v>138112.60999999999</v>
      </c>
      <c r="H99" s="75">
        <v>246.21</v>
      </c>
    </row>
    <row r="100" spans="1:8">
      <c r="A100" s="72" t="s">
        <v>462</v>
      </c>
      <c r="B100" s="72" t="s">
        <v>463</v>
      </c>
      <c r="C100" s="76">
        <v>2150.98</v>
      </c>
      <c r="D100" s="76">
        <v>536.28</v>
      </c>
      <c r="E100" s="76">
        <v>9599.1200000000008</v>
      </c>
      <c r="F100" s="77">
        <v>283.60000000000002</v>
      </c>
      <c r="G100" s="76">
        <v>6473.35</v>
      </c>
      <c r="H100" s="77">
        <v>491.5</v>
      </c>
    </row>
    <row r="101" spans="1:8">
      <c r="A101" s="72" t="s">
        <v>464</v>
      </c>
      <c r="B101" s="72" t="s">
        <v>465</v>
      </c>
      <c r="C101" s="75">
        <v>94269.73</v>
      </c>
      <c r="D101" s="75">
        <v>254.13</v>
      </c>
      <c r="E101" s="75">
        <v>97315.12</v>
      </c>
      <c r="F101" s="75">
        <v>62.88</v>
      </c>
      <c r="G101" s="75">
        <v>117044.61</v>
      </c>
      <c r="H101" s="75">
        <v>36.369999999999997</v>
      </c>
    </row>
    <row r="102" spans="1:8">
      <c r="A102" s="72" t="s">
        <v>466</v>
      </c>
      <c r="B102" s="72" t="s">
        <v>467</v>
      </c>
      <c r="C102" s="76">
        <v>992.55</v>
      </c>
      <c r="D102" s="76">
        <v>94.67</v>
      </c>
      <c r="E102" s="76">
        <v>3480.02</v>
      </c>
      <c r="F102" s="76">
        <v>171.03</v>
      </c>
      <c r="G102" s="76">
        <v>1587.27</v>
      </c>
      <c r="H102" s="76">
        <v>49.59</v>
      </c>
    </row>
    <row r="103" spans="1:8">
      <c r="A103" s="72" t="s">
        <v>468</v>
      </c>
      <c r="B103" s="72" t="s">
        <v>469</v>
      </c>
      <c r="C103" s="75">
        <v>5998.78</v>
      </c>
      <c r="D103" s="75">
        <v>210.37</v>
      </c>
      <c r="E103" s="75">
        <v>4483.53</v>
      </c>
      <c r="F103" s="78">
        <v>225.9</v>
      </c>
      <c r="G103" s="75">
        <v>10131.469999999999</v>
      </c>
      <c r="H103" s="75">
        <v>30.37</v>
      </c>
    </row>
    <row r="104" spans="1:8">
      <c r="A104" s="72" t="s">
        <v>470</v>
      </c>
      <c r="B104" s="72" t="s">
        <v>471</v>
      </c>
      <c r="C104" s="76">
        <v>145282.57</v>
      </c>
      <c r="D104" s="76">
        <v>10893.59</v>
      </c>
      <c r="E104" s="76">
        <v>95999.72</v>
      </c>
      <c r="F104" s="76">
        <v>29020.639999999999</v>
      </c>
      <c r="G104" s="76">
        <v>64552.87</v>
      </c>
      <c r="H104" s="76">
        <v>29846.34</v>
      </c>
    </row>
    <row r="105" spans="1:8">
      <c r="A105" s="72" t="s">
        <v>472</v>
      </c>
      <c r="B105" s="72" t="s">
        <v>473</v>
      </c>
      <c r="C105" s="75">
        <v>202.14</v>
      </c>
      <c r="D105" s="75">
        <v>44.45</v>
      </c>
      <c r="E105" s="75">
        <v>2068.15</v>
      </c>
      <c r="F105" s="75">
        <v>166.95</v>
      </c>
      <c r="G105" s="75">
        <v>2699.59</v>
      </c>
      <c r="H105" s="75">
        <v>2247.66</v>
      </c>
    </row>
    <row r="106" spans="1:8">
      <c r="A106" s="72" t="s">
        <v>474</v>
      </c>
      <c r="B106" s="72" t="s">
        <v>475</v>
      </c>
      <c r="C106" s="76">
        <v>90995.46</v>
      </c>
      <c r="D106" s="76">
        <v>4938.0200000000004</v>
      </c>
      <c r="E106" s="76">
        <v>195515.95</v>
      </c>
      <c r="F106" s="76">
        <v>20059.060000000001</v>
      </c>
      <c r="G106" s="76">
        <v>145604.24</v>
      </c>
      <c r="H106" s="76">
        <v>19780.57</v>
      </c>
    </row>
    <row r="107" spans="1:8">
      <c r="A107" s="72" t="s">
        <v>476</v>
      </c>
      <c r="B107" s="72" t="s">
        <v>477</v>
      </c>
      <c r="C107" s="75">
        <v>969.95</v>
      </c>
      <c r="D107" s="75">
        <v>4.74</v>
      </c>
      <c r="E107" s="75">
        <v>134.85</v>
      </c>
      <c r="F107" s="75">
        <v>22.79</v>
      </c>
      <c r="G107" s="75">
        <v>90722.74</v>
      </c>
      <c r="H107" s="75">
        <v>16.37</v>
      </c>
    </row>
    <row r="108" spans="1:8">
      <c r="A108" s="72" t="s">
        <v>478</v>
      </c>
      <c r="B108" s="72" t="s">
        <v>479</v>
      </c>
      <c r="C108" s="74" t="s">
        <v>207</v>
      </c>
      <c r="D108" s="74" t="s">
        <v>207</v>
      </c>
      <c r="E108" s="74" t="s">
        <v>207</v>
      </c>
      <c r="F108" s="74" t="s">
        <v>207</v>
      </c>
      <c r="G108" s="74" t="s">
        <v>207</v>
      </c>
      <c r="H108" s="74" t="s">
        <v>207</v>
      </c>
    </row>
    <row r="109" spans="1:8">
      <c r="A109" s="72" t="s">
        <v>480</v>
      </c>
      <c r="B109" s="72" t="s">
        <v>481</v>
      </c>
      <c r="C109" s="73" t="s">
        <v>207</v>
      </c>
      <c r="D109" s="73" t="s">
        <v>207</v>
      </c>
      <c r="E109" s="73" t="s">
        <v>207</v>
      </c>
      <c r="F109" s="73" t="s">
        <v>207</v>
      </c>
      <c r="G109" s="73" t="s">
        <v>207</v>
      </c>
      <c r="H109" s="73" t="s">
        <v>207</v>
      </c>
    </row>
    <row r="110" spans="1:8">
      <c r="A110" s="72" t="s">
        <v>482</v>
      </c>
      <c r="B110" s="72" t="s">
        <v>483</v>
      </c>
      <c r="C110" s="76">
        <v>51.18</v>
      </c>
      <c r="D110" s="77">
        <v>0.4</v>
      </c>
      <c r="E110" s="76">
        <v>86.18</v>
      </c>
      <c r="F110" s="76">
        <v>2.08</v>
      </c>
      <c r="G110" s="76">
        <v>0.56000000000000005</v>
      </c>
      <c r="H110" s="77">
        <v>0.2</v>
      </c>
    </row>
    <row r="111" spans="1:8">
      <c r="A111" s="72" t="s">
        <v>484</v>
      </c>
      <c r="B111" s="72" t="s">
        <v>485</v>
      </c>
      <c r="C111" s="75">
        <v>76108.23</v>
      </c>
      <c r="D111" s="73" t="s">
        <v>207</v>
      </c>
      <c r="E111" s="75">
        <v>97382.87</v>
      </c>
      <c r="F111" s="73" t="s">
        <v>207</v>
      </c>
      <c r="G111" s="75">
        <v>5724.39</v>
      </c>
      <c r="H111" s="78">
        <v>4</v>
      </c>
    </row>
    <row r="112" spans="1:8">
      <c r="A112" s="72" t="s">
        <v>486</v>
      </c>
      <c r="B112" s="72" t="s">
        <v>487</v>
      </c>
      <c r="C112" s="74" t="s">
        <v>207</v>
      </c>
      <c r="D112" s="74" t="s">
        <v>207</v>
      </c>
      <c r="E112" s="74" t="s">
        <v>207</v>
      </c>
      <c r="F112" s="74" t="s">
        <v>207</v>
      </c>
      <c r="G112" s="74" t="s">
        <v>207</v>
      </c>
      <c r="H112" s="74" t="s">
        <v>207</v>
      </c>
    </row>
    <row r="113" spans="1:8">
      <c r="A113" s="72" t="s">
        <v>488</v>
      </c>
      <c r="B113" s="72" t="s">
        <v>489</v>
      </c>
      <c r="C113" s="73" t="s">
        <v>207</v>
      </c>
      <c r="D113" s="73" t="s">
        <v>207</v>
      </c>
      <c r="E113" s="73" t="s">
        <v>207</v>
      </c>
      <c r="F113" s="73" t="s">
        <v>207</v>
      </c>
      <c r="G113" s="73" t="s">
        <v>207</v>
      </c>
      <c r="H113" s="73" t="s">
        <v>207</v>
      </c>
    </row>
    <row r="114" spans="1:8">
      <c r="A114" s="72" t="s">
        <v>490</v>
      </c>
      <c r="B114" s="72" t="s">
        <v>491</v>
      </c>
      <c r="C114" s="76">
        <v>158.81</v>
      </c>
      <c r="D114" s="76">
        <v>51.38</v>
      </c>
      <c r="E114" s="76">
        <v>287.95999999999998</v>
      </c>
      <c r="F114" s="74" t="s">
        <v>207</v>
      </c>
      <c r="G114" s="76">
        <v>3.01</v>
      </c>
      <c r="H114" s="76">
        <v>2.64</v>
      </c>
    </row>
    <row r="115" spans="1:8">
      <c r="A115" s="72" t="s">
        <v>492</v>
      </c>
      <c r="B115" s="72" t="s">
        <v>493</v>
      </c>
      <c r="C115" s="78">
        <v>1314.9</v>
      </c>
      <c r="D115" s="73" t="s">
        <v>207</v>
      </c>
      <c r="E115" s="75">
        <v>380.37</v>
      </c>
      <c r="F115" s="75">
        <v>0.56999999999999995</v>
      </c>
      <c r="G115" s="78">
        <v>997.3</v>
      </c>
      <c r="H115" s="73" t="s">
        <v>207</v>
      </c>
    </row>
    <row r="116" spans="1:8">
      <c r="A116" s="72" t="s">
        <v>494</v>
      </c>
      <c r="B116" s="72" t="s">
        <v>495</v>
      </c>
      <c r="C116" s="77">
        <v>183866.2</v>
      </c>
      <c r="D116" s="76">
        <v>134.47999999999999</v>
      </c>
      <c r="E116" s="76">
        <v>829.67</v>
      </c>
      <c r="F116" s="76">
        <v>223.68</v>
      </c>
      <c r="G116" s="76">
        <v>225.56</v>
      </c>
      <c r="H116" s="76">
        <v>4372.82</v>
      </c>
    </row>
    <row r="117" spans="1:8">
      <c r="A117" s="72" t="s">
        <v>496</v>
      </c>
      <c r="B117" s="72" t="s">
        <v>497</v>
      </c>
      <c r="C117" s="75">
        <v>9.11</v>
      </c>
      <c r="D117" s="73" t="s">
        <v>207</v>
      </c>
      <c r="E117" s="75">
        <v>0.72</v>
      </c>
      <c r="F117" s="78">
        <v>4.5</v>
      </c>
      <c r="G117" s="75">
        <v>0.56000000000000005</v>
      </c>
      <c r="H117" s="73" t="s">
        <v>207</v>
      </c>
    </row>
    <row r="118" spans="1:8">
      <c r="A118" s="72" t="s">
        <v>498</v>
      </c>
      <c r="B118" s="72" t="s">
        <v>499</v>
      </c>
      <c r="C118" s="76">
        <v>9384.6200000000008</v>
      </c>
      <c r="D118" s="76">
        <v>2113.52</v>
      </c>
      <c r="E118" s="76">
        <v>5289.84</v>
      </c>
      <c r="F118" s="76">
        <v>35.369999999999997</v>
      </c>
      <c r="G118" s="76">
        <v>5606.54</v>
      </c>
      <c r="H118" s="76">
        <v>1041.08</v>
      </c>
    </row>
    <row r="119" spans="1:8">
      <c r="A119" s="72" t="s">
        <v>500</v>
      </c>
      <c r="B119" s="72" t="s">
        <v>501</v>
      </c>
      <c r="C119" s="73" t="s">
        <v>207</v>
      </c>
      <c r="D119" s="73" t="s">
        <v>207</v>
      </c>
      <c r="E119" s="73" t="s">
        <v>207</v>
      </c>
      <c r="F119" s="73" t="s">
        <v>207</v>
      </c>
      <c r="G119" s="73" t="s">
        <v>207</v>
      </c>
      <c r="H119" s="73" t="s">
        <v>207</v>
      </c>
    </row>
    <row r="120" spans="1:8">
      <c r="A120" s="72" t="s">
        <v>502</v>
      </c>
      <c r="B120" s="72" t="s">
        <v>503</v>
      </c>
      <c r="C120" s="74" t="s">
        <v>207</v>
      </c>
      <c r="D120" s="74" t="s">
        <v>207</v>
      </c>
      <c r="E120" s="74" t="s">
        <v>207</v>
      </c>
      <c r="F120" s="74" t="s">
        <v>207</v>
      </c>
      <c r="G120" s="74" t="s">
        <v>207</v>
      </c>
      <c r="H120" s="74" t="s">
        <v>207</v>
      </c>
    </row>
    <row r="121" spans="1:8">
      <c r="A121" s="72" t="s">
        <v>504</v>
      </c>
      <c r="B121" s="72" t="s">
        <v>505</v>
      </c>
      <c r="C121" s="73" t="s">
        <v>207</v>
      </c>
      <c r="D121" s="73" t="s">
        <v>207</v>
      </c>
      <c r="E121" s="73" t="s">
        <v>207</v>
      </c>
      <c r="F121" s="73" t="s">
        <v>207</v>
      </c>
      <c r="G121" s="73" t="s">
        <v>207</v>
      </c>
      <c r="H121" s="73" t="s">
        <v>207</v>
      </c>
    </row>
    <row r="122" spans="1:8">
      <c r="A122" s="72" t="s">
        <v>506</v>
      </c>
      <c r="B122" s="72" t="s">
        <v>507</v>
      </c>
      <c r="C122" s="74" t="s">
        <v>207</v>
      </c>
      <c r="D122" s="74" t="s">
        <v>207</v>
      </c>
      <c r="E122" s="74" t="s">
        <v>207</v>
      </c>
      <c r="F122" s="74" t="s">
        <v>207</v>
      </c>
      <c r="G122" s="74" t="s">
        <v>207</v>
      </c>
      <c r="H122" s="74" t="s">
        <v>207</v>
      </c>
    </row>
    <row r="123" spans="1:8">
      <c r="A123" s="72" t="s">
        <v>508</v>
      </c>
      <c r="B123" s="72" t="s">
        <v>509</v>
      </c>
      <c r="C123" s="75">
        <v>219561.35</v>
      </c>
      <c r="D123" s="75">
        <v>205727.35999999999</v>
      </c>
      <c r="E123" s="75">
        <v>189794.12</v>
      </c>
      <c r="F123" s="75">
        <v>535231.11</v>
      </c>
      <c r="G123" s="75">
        <v>274131.46000000002</v>
      </c>
      <c r="H123" s="75">
        <v>1698435.16</v>
      </c>
    </row>
    <row r="124" spans="1:8">
      <c r="A124" s="72" t="s">
        <v>510</v>
      </c>
      <c r="B124" s="72" t="s">
        <v>511</v>
      </c>
      <c r="C124" s="76">
        <v>56608.06</v>
      </c>
      <c r="D124" s="76">
        <v>932457.99</v>
      </c>
      <c r="E124" s="76">
        <v>30198.43</v>
      </c>
      <c r="F124" s="77">
        <v>1015044.2</v>
      </c>
      <c r="G124" s="76">
        <v>34422.46</v>
      </c>
      <c r="H124" s="76">
        <v>3449852.07</v>
      </c>
    </row>
    <row r="125" spans="1:8">
      <c r="A125" s="72" t="s">
        <v>512</v>
      </c>
      <c r="B125" s="72" t="s">
        <v>513</v>
      </c>
      <c r="C125" s="78">
        <v>22740.2</v>
      </c>
      <c r="D125" s="75">
        <v>88842.33</v>
      </c>
      <c r="E125" s="75">
        <v>10836.32</v>
      </c>
      <c r="F125" s="75">
        <v>43375.66</v>
      </c>
      <c r="G125" s="75">
        <v>81648.56</v>
      </c>
      <c r="H125" s="75">
        <v>793881.53</v>
      </c>
    </row>
    <row r="126" spans="1:8">
      <c r="A126" s="72" t="s">
        <v>514</v>
      </c>
      <c r="B126" s="72" t="s">
        <v>515</v>
      </c>
      <c r="C126" s="76">
        <v>837171.09</v>
      </c>
      <c r="D126" s="77">
        <v>736005.4</v>
      </c>
      <c r="E126" s="76">
        <v>776227.87</v>
      </c>
      <c r="F126" s="76">
        <v>119891.05</v>
      </c>
      <c r="G126" s="76">
        <v>820295.37</v>
      </c>
      <c r="H126" s="76">
        <v>191789.28</v>
      </c>
    </row>
    <row r="127" spans="1:8">
      <c r="A127" s="72" t="s">
        <v>516</v>
      </c>
      <c r="B127" s="72" t="s">
        <v>517</v>
      </c>
      <c r="C127" s="73" t="s">
        <v>207</v>
      </c>
      <c r="D127" s="73" t="s">
        <v>207</v>
      </c>
      <c r="E127" s="73" t="s">
        <v>207</v>
      </c>
      <c r="F127" s="73" t="s">
        <v>207</v>
      </c>
      <c r="G127" s="73" t="s">
        <v>207</v>
      </c>
      <c r="H127" s="73" t="s">
        <v>207</v>
      </c>
    </row>
    <row r="128" spans="1:8">
      <c r="A128" s="72" t="s">
        <v>518</v>
      </c>
      <c r="B128" s="72" t="s">
        <v>519</v>
      </c>
      <c r="C128" s="74" t="s">
        <v>207</v>
      </c>
      <c r="D128" s="74" t="s">
        <v>207</v>
      </c>
      <c r="E128" s="74" t="s">
        <v>207</v>
      </c>
      <c r="F128" s="74" t="s">
        <v>207</v>
      </c>
      <c r="G128" s="74" t="s">
        <v>207</v>
      </c>
      <c r="H128" s="74" t="s">
        <v>207</v>
      </c>
    </row>
    <row r="129" spans="1:8">
      <c r="A129" s="72" t="s">
        <v>520</v>
      </c>
      <c r="B129" s="72" t="s">
        <v>521</v>
      </c>
      <c r="C129" s="75">
        <v>8147.37</v>
      </c>
      <c r="D129" s="75">
        <v>15537.56</v>
      </c>
      <c r="E129" s="78">
        <v>9828.2000000000007</v>
      </c>
      <c r="F129" s="75">
        <v>7008.47</v>
      </c>
      <c r="G129" s="75">
        <v>8844.82</v>
      </c>
      <c r="H129" s="75">
        <v>67797.070000000007</v>
      </c>
    </row>
    <row r="130" spans="1:8">
      <c r="A130" s="72" t="s">
        <v>522</v>
      </c>
      <c r="B130" s="72" t="s">
        <v>523</v>
      </c>
      <c r="C130" s="76">
        <v>2553.14</v>
      </c>
      <c r="D130" s="76">
        <v>331383.82</v>
      </c>
      <c r="E130" s="76">
        <v>82944.990000000005</v>
      </c>
      <c r="F130" s="77">
        <v>434156.79999999999</v>
      </c>
      <c r="G130" s="76">
        <v>6455.31</v>
      </c>
      <c r="H130" s="76">
        <v>223641.76</v>
      </c>
    </row>
    <row r="131" spans="1:8">
      <c r="A131" s="72" t="s">
        <v>524</v>
      </c>
      <c r="B131" s="72" t="s">
        <v>525</v>
      </c>
      <c r="C131" s="75">
        <v>127764.75</v>
      </c>
      <c r="D131" s="75">
        <v>766.29</v>
      </c>
      <c r="E131" s="75">
        <v>221593.99</v>
      </c>
      <c r="F131" s="75">
        <v>378.23</v>
      </c>
      <c r="G131" s="75">
        <v>150902.85999999999</v>
      </c>
      <c r="H131" s="75">
        <v>41204.33</v>
      </c>
    </row>
    <row r="132" spans="1:8">
      <c r="A132" s="72" t="s">
        <v>526</v>
      </c>
      <c r="B132" s="72" t="s">
        <v>527</v>
      </c>
      <c r="C132" s="76">
        <v>16608.36</v>
      </c>
      <c r="D132" s="76">
        <v>382542.23</v>
      </c>
      <c r="E132" s="76">
        <v>10678.86</v>
      </c>
      <c r="F132" s="76">
        <v>72935.06</v>
      </c>
      <c r="G132" s="76">
        <v>44408.45</v>
      </c>
      <c r="H132" s="76">
        <v>155339.42000000001</v>
      </c>
    </row>
    <row r="133" spans="1:8">
      <c r="A133" s="72" t="s">
        <v>528</v>
      </c>
      <c r="B133" s="72" t="s">
        <v>529</v>
      </c>
      <c r="C133" s="75">
        <v>27297.85</v>
      </c>
      <c r="D133" s="75">
        <v>185.69</v>
      </c>
      <c r="E133" s="75">
        <v>73694.009999999995</v>
      </c>
      <c r="F133" s="75">
        <v>2351.9299999999998</v>
      </c>
      <c r="G133" s="78">
        <v>56891.7</v>
      </c>
      <c r="H133" s="75">
        <v>1031.6500000000001</v>
      </c>
    </row>
    <row r="134" spans="1:8">
      <c r="A134" s="72" t="s">
        <v>530</v>
      </c>
      <c r="B134" s="72" t="s">
        <v>531</v>
      </c>
      <c r="C134" s="76">
        <v>3114.81</v>
      </c>
      <c r="D134" s="76">
        <v>872.15</v>
      </c>
      <c r="E134" s="76">
        <v>4015.04</v>
      </c>
      <c r="F134" s="76">
        <v>276.64</v>
      </c>
      <c r="G134" s="76">
        <v>6036.12</v>
      </c>
      <c r="H134" s="76">
        <v>228.81</v>
      </c>
    </row>
    <row r="135" spans="1:8">
      <c r="A135" s="72" t="s">
        <v>532</v>
      </c>
      <c r="B135" s="72" t="s">
        <v>533</v>
      </c>
      <c r="C135" s="75">
        <v>6765.17</v>
      </c>
      <c r="D135" s="75">
        <v>2133.7600000000002</v>
      </c>
      <c r="E135" s="78">
        <v>5859.2</v>
      </c>
      <c r="F135" s="78">
        <v>5313.5</v>
      </c>
      <c r="G135" s="75">
        <v>3185.28</v>
      </c>
      <c r="H135" s="75">
        <v>4134.2299999999996</v>
      </c>
    </row>
    <row r="136" spans="1:8">
      <c r="A136" s="72" t="s">
        <v>534</v>
      </c>
      <c r="B136" s="72" t="s">
        <v>535</v>
      </c>
      <c r="C136" s="76">
        <v>557.49</v>
      </c>
      <c r="D136" s="76">
        <v>5.38</v>
      </c>
      <c r="E136" s="77">
        <v>209.3</v>
      </c>
      <c r="F136" s="76">
        <v>300.83999999999997</v>
      </c>
      <c r="G136" s="77">
        <v>387521.2</v>
      </c>
      <c r="H136" s="76">
        <v>4.3099999999999996</v>
      </c>
    </row>
    <row r="137" spans="1:8">
      <c r="A137" s="72" t="s">
        <v>536</v>
      </c>
      <c r="B137" s="72" t="s">
        <v>537</v>
      </c>
      <c r="C137" s="75">
        <v>676602.97</v>
      </c>
      <c r="D137" s="75">
        <v>179318.51</v>
      </c>
      <c r="E137" s="75">
        <v>563547.28</v>
      </c>
      <c r="F137" s="75">
        <v>147664.82</v>
      </c>
      <c r="G137" s="75">
        <v>187417.38</v>
      </c>
      <c r="H137" s="75">
        <v>149823.32</v>
      </c>
    </row>
    <row r="138" spans="1:8">
      <c r="A138" s="72" t="s">
        <v>538</v>
      </c>
      <c r="B138" s="72" t="s">
        <v>539</v>
      </c>
      <c r="C138" s="74" t="s">
        <v>207</v>
      </c>
      <c r="D138" s="74" t="s">
        <v>207</v>
      </c>
      <c r="E138" s="74" t="s">
        <v>207</v>
      </c>
      <c r="F138" s="74" t="s">
        <v>207</v>
      </c>
      <c r="G138" s="74" t="s">
        <v>207</v>
      </c>
      <c r="H138" s="74" t="s">
        <v>207</v>
      </c>
    </row>
    <row r="139" spans="1:8">
      <c r="A139" s="72" t="s">
        <v>540</v>
      </c>
      <c r="B139" s="72" t="s">
        <v>541</v>
      </c>
      <c r="C139" s="75">
        <v>569.38</v>
      </c>
      <c r="D139" s="75">
        <v>1424.16</v>
      </c>
      <c r="E139" s="75">
        <v>534.08000000000004</v>
      </c>
      <c r="F139" s="75">
        <v>182.51</v>
      </c>
      <c r="G139" s="75">
        <v>1159.6099999999999</v>
      </c>
      <c r="H139" s="75">
        <v>223.08</v>
      </c>
    </row>
    <row r="140" spans="1:8">
      <c r="A140" s="72" t="s">
        <v>542</v>
      </c>
      <c r="B140" s="72" t="s">
        <v>543</v>
      </c>
      <c r="C140" s="76">
        <v>3660.59</v>
      </c>
      <c r="D140" s="76">
        <v>2156.08</v>
      </c>
      <c r="E140" s="76">
        <v>8926.59</v>
      </c>
      <c r="F140" s="76">
        <v>3283.11</v>
      </c>
      <c r="G140" s="77">
        <v>14357.9</v>
      </c>
      <c r="H140" s="76">
        <v>1984.08</v>
      </c>
    </row>
    <row r="141" spans="1:8">
      <c r="A141" s="72" t="s">
        <v>544</v>
      </c>
      <c r="B141" s="72" t="s">
        <v>545</v>
      </c>
      <c r="C141" s="75">
        <v>5075.1400000000003</v>
      </c>
      <c r="D141" s="75">
        <v>1213.1500000000001</v>
      </c>
      <c r="E141" s="75">
        <v>3370.88</v>
      </c>
      <c r="F141" s="75">
        <v>1111.6600000000001</v>
      </c>
      <c r="G141" s="75">
        <v>10091.57</v>
      </c>
      <c r="H141" s="75">
        <v>1532.39</v>
      </c>
    </row>
    <row r="142" spans="1:8">
      <c r="A142" s="72" t="s">
        <v>546</v>
      </c>
      <c r="B142" s="72" t="s">
        <v>547</v>
      </c>
      <c r="C142" s="76">
        <v>7755.71</v>
      </c>
      <c r="D142" s="76">
        <v>4469.04</v>
      </c>
      <c r="E142" s="77">
        <v>10337.700000000001</v>
      </c>
      <c r="F142" s="76">
        <v>3728.56</v>
      </c>
      <c r="G142" s="76">
        <v>11781.55</v>
      </c>
      <c r="H142" s="76">
        <v>3196.28</v>
      </c>
    </row>
    <row r="143" spans="1:8">
      <c r="A143" s="72" t="s">
        <v>548</v>
      </c>
      <c r="B143" s="72" t="s">
        <v>549</v>
      </c>
      <c r="C143" s="73" t="s">
        <v>207</v>
      </c>
      <c r="D143" s="73" t="s">
        <v>207</v>
      </c>
      <c r="E143" s="73" t="s">
        <v>207</v>
      </c>
      <c r="F143" s="73" t="s">
        <v>207</v>
      </c>
      <c r="G143" s="73" t="s">
        <v>207</v>
      </c>
      <c r="H143" s="73" t="s">
        <v>207</v>
      </c>
    </row>
    <row r="144" spans="1:8">
      <c r="A144" s="72" t="s">
        <v>550</v>
      </c>
      <c r="B144" s="72" t="s">
        <v>551</v>
      </c>
      <c r="C144" s="74" t="s">
        <v>207</v>
      </c>
      <c r="D144" s="74" t="s">
        <v>207</v>
      </c>
      <c r="E144" s="74" t="s">
        <v>207</v>
      </c>
      <c r="F144" s="74" t="s">
        <v>207</v>
      </c>
      <c r="G144" s="74" t="s">
        <v>207</v>
      </c>
      <c r="H144" s="74" t="s">
        <v>207</v>
      </c>
    </row>
    <row r="145" spans="1:8">
      <c r="A145" s="72" t="s">
        <v>552</v>
      </c>
      <c r="B145" s="72" t="s">
        <v>553</v>
      </c>
      <c r="C145" s="73" t="s">
        <v>207</v>
      </c>
      <c r="D145" s="73" t="s">
        <v>207</v>
      </c>
      <c r="E145" s="73" t="s">
        <v>207</v>
      </c>
      <c r="F145" s="73" t="s">
        <v>207</v>
      </c>
      <c r="G145" s="75">
        <v>18.38</v>
      </c>
      <c r="H145" s="75">
        <v>0.19</v>
      </c>
    </row>
    <row r="146" spans="1:8">
      <c r="A146" s="72" t="s">
        <v>554</v>
      </c>
      <c r="B146" s="72" t="s">
        <v>555</v>
      </c>
      <c r="C146" s="74" t="s">
        <v>207</v>
      </c>
      <c r="D146" s="74" t="s">
        <v>207</v>
      </c>
      <c r="E146" s="74" t="s">
        <v>207</v>
      </c>
      <c r="F146" s="74" t="s">
        <v>207</v>
      </c>
      <c r="G146" s="76">
        <v>1.35</v>
      </c>
      <c r="H146" s="74" t="s">
        <v>207</v>
      </c>
    </row>
    <row r="147" spans="1:8">
      <c r="A147" s="72" t="s">
        <v>556</v>
      </c>
      <c r="B147" s="72" t="s">
        <v>557</v>
      </c>
      <c r="C147" s="73" t="s">
        <v>207</v>
      </c>
      <c r="D147" s="73" t="s">
        <v>207</v>
      </c>
      <c r="E147" s="73" t="s">
        <v>207</v>
      </c>
      <c r="F147" s="73" t="s">
        <v>207</v>
      </c>
      <c r="G147" s="75">
        <v>567.16</v>
      </c>
      <c r="H147" s="75">
        <v>829.11</v>
      </c>
    </row>
    <row r="148" spans="1:8">
      <c r="A148" s="72" t="s">
        <v>558</v>
      </c>
      <c r="B148" s="72" t="s">
        <v>559</v>
      </c>
      <c r="C148" s="74" t="s">
        <v>207</v>
      </c>
      <c r="D148" s="74" t="s">
        <v>207</v>
      </c>
      <c r="E148" s="74" t="s">
        <v>207</v>
      </c>
      <c r="F148" s="74" t="s">
        <v>207</v>
      </c>
      <c r="G148" s="76">
        <v>0.11</v>
      </c>
      <c r="H148" s="76">
        <v>0.02</v>
      </c>
    </row>
    <row r="149" spans="1:8">
      <c r="A149" s="72" t="s">
        <v>560</v>
      </c>
      <c r="B149" s="72" t="s">
        <v>561</v>
      </c>
      <c r="C149" s="73" t="s">
        <v>207</v>
      </c>
      <c r="D149" s="73" t="s">
        <v>207</v>
      </c>
      <c r="E149" s="73" t="s">
        <v>207</v>
      </c>
      <c r="F149" s="73" t="s">
        <v>207</v>
      </c>
      <c r="G149" s="73" t="s">
        <v>207</v>
      </c>
      <c r="H149" s="73" t="s">
        <v>207</v>
      </c>
    </row>
    <row r="150" spans="1:8">
      <c r="A150" s="72" t="s">
        <v>562</v>
      </c>
      <c r="B150" s="72" t="s">
        <v>563</v>
      </c>
      <c r="C150" s="74" t="s">
        <v>207</v>
      </c>
      <c r="D150" s="74" t="s">
        <v>207</v>
      </c>
      <c r="E150" s="74" t="s">
        <v>207</v>
      </c>
      <c r="F150" s="74" t="s">
        <v>207</v>
      </c>
      <c r="G150" s="76">
        <v>10.93</v>
      </c>
      <c r="H150" s="76">
        <v>5.27</v>
      </c>
    </row>
    <row r="151" spans="1:8">
      <c r="A151" s="72" t="s">
        <v>564</v>
      </c>
      <c r="B151" s="72" t="s">
        <v>565</v>
      </c>
      <c r="C151" s="73" t="s">
        <v>207</v>
      </c>
      <c r="D151" s="73" t="s">
        <v>207</v>
      </c>
      <c r="E151" s="73" t="s">
        <v>207</v>
      </c>
      <c r="F151" s="73" t="s">
        <v>207</v>
      </c>
      <c r="G151" s="75">
        <v>140.41999999999999</v>
      </c>
      <c r="H151" s="78">
        <v>257.5</v>
      </c>
    </row>
    <row r="152" spans="1:8">
      <c r="A152" s="72" t="s">
        <v>566</v>
      </c>
      <c r="B152" s="72" t="s">
        <v>567</v>
      </c>
      <c r="C152" s="74" t="s">
        <v>207</v>
      </c>
      <c r="D152" s="74" t="s">
        <v>207</v>
      </c>
      <c r="E152" s="74" t="s">
        <v>207</v>
      </c>
      <c r="F152" s="74" t="s">
        <v>207</v>
      </c>
      <c r="G152" s="74" t="s">
        <v>207</v>
      </c>
      <c r="H152" s="74" t="s">
        <v>207</v>
      </c>
    </row>
    <row r="153" spans="1:8">
      <c r="A153" s="72" t="s">
        <v>568</v>
      </c>
      <c r="B153" s="72" t="s">
        <v>569</v>
      </c>
      <c r="C153" s="75">
        <v>7115.53</v>
      </c>
      <c r="D153" s="75">
        <v>1524.39</v>
      </c>
      <c r="E153" s="78">
        <v>7799.7</v>
      </c>
      <c r="F153" s="75">
        <v>1874.12</v>
      </c>
      <c r="G153" s="75">
        <v>6913.94</v>
      </c>
      <c r="H153" s="75">
        <v>2511.2800000000002</v>
      </c>
    </row>
    <row r="154" spans="1:8">
      <c r="A154" s="72" t="s">
        <v>570</v>
      </c>
      <c r="B154" s="72" t="s">
        <v>571</v>
      </c>
      <c r="C154" s="74" t="s">
        <v>207</v>
      </c>
      <c r="D154" s="74" t="s">
        <v>207</v>
      </c>
      <c r="E154" s="74" t="s">
        <v>207</v>
      </c>
      <c r="F154" s="74" t="s">
        <v>207</v>
      </c>
      <c r="G154" s="74" t="s">
        <v>207</v>
      </c>
      <c r="H154" s="74" t="s">
        <v>207</v>
      </c>
    </row>
    <row r="155" spans="1:8">
      <c r="A155" s="72" t="s">
        <v>572</v>
      </c>
      <c r="B155" s="72" t="s">
        <v>573</v>
      </c>
      <c r="C155" s="75">
        <v>1.1100000000000001</v>
      </c>
      <c r="D155" s="73" t="s">
        <v>207</v>
      </c>
      <c r="E155" s="75">
        <v>6.66</v>
      </c>
      <c r="F155" s="75">
        <v>180.16</v>
      </c>
      <c r="G155" s="75">
        <v>8.0500000000000007</v>
      </c>
      <c r="H155" s="75">
        <v>9.01</v>
      </c>
    </row>
    <row r="156" spans="1:8">
      <c r="A156" s="72" t="s">
        <v>574</v>
      </c>
      <c r="B156" s="72" t="s">
        <v>575</v>
      </c>
      <c r="C156" s="76">
        <v>49.36</v>
      </c>
      <c r="D156" s="76">
        <v>88.09</v>
      </c>
      <c r="E156" s="76">
        <v>242.28</v>
      </c>
      <c r="F156" s="76">
        <v>2.0699999999999998</v>
      </c>
      <c r="G156" s="76">
        <v>153.72999999999999</v>
      </c>
      <c r="H156" s="76">
        <v>312.58</v>
      </c>
    </row>
    <row r="157" spans="1:8">
      <c r="A157" s="72" t="s">
        <v>576</v>
      </c>
      <c r="B157" s="72" t="s">
        <v>577</v>
      </c>
      <c r="C157" s="73" t="s">
        <v>207</v>
      </c>
      <c r="D157" s="78">
        <v>1</v>
      </c>
      <c r="E157" s="75">
        <v>29.53</v>
      </c>
      <c r="F157" s="78">
        <v>0</v>
      </c>
      <c r="G157" s="75">
        <v>17.11</v>
      </c>
      <c r="H157" s="75">
        <v>2.95</v>
      </c>
    </row>
    <row r="158" spans="1:8">
      <c r="A158" s="72" t="s">
        <v>578</v>
      </c>
      <c r="B158" s="72" t="s">
        <v>579</v>
      </c>
      <c r="C158" s="76">
        <v>22.79</v>
      </c>
      <c r="D158" s="76">
        <v>4.54</v>
      </c>
      <c r="E158" s="76">
        <v>698.79</v>
      </c>
      <c r="F158" s="76">
        <v>3.84</v>
      </c>
      <c r="G158" s="76">
        <v>690.64</v>
      </c>
      <c r="H158" s="76">
        <v>19.920000000000002</v>
      </c>
    </row>
    <row r="159" spans="1:8">
      <c r="A159" s="72" t="s">
        <v>580</v>
      </c>
      <c r="B159" s="72" t="s">
        <v>581</v>
      </c>
      <c r="C159" s="75">
        <v>25901.67</v>
      </c>
      <c r="D159" s="75">
        <v>11508.46</v>
      </c>
      <c r="E159" s="75">
        <v>23046.52</v>
      </c>
      <c r="F159" s="75">
        <v>26458.04</v>
      </c>
      <c r="G159" s="75">
        <v>9494.6200000000008</v>
      </c>
      <c r="H159" s="78">
        <v>1754.7</v>
      </c>
    </row>
    <row r="160" spans="1:8">
      <c r="A160" s="72" t="s">
        <v>582</v>
      </c>
      <c r="B160" s="72" t="s">
        <v>583</v>
      </c>
      <c r="C160" s="76">
        <v>398.02</v>
      </c>
      <c r="D160" s="77">
        <v>324.8</v>
      </c>
      <c r="E160" s="76">
        <v>943.52</v>
      </c>
      <c r="F160" s="76">
        <v>275.29000000000002</v>
      </c>
      <c r="G160" s="76">
        <v>6782.46</v>
      </c>
      <c r="H160" s="76">
        <v>358.91</v>
      </c>
    </row>
    <row r="161" spans="1:8">
      <c r="A161" s="72" t="s">
        <v>584</v>
      </c>
      <c r="B161" s="72" t="s">
        <v>585</v>
      </c>
      <c r="C161" s="75">
        <v>78511.02</v>
      </c>
      <c r="D161" s="75">
        <v>37334.160000000003</v>
      </c>
      <c r="E161" s="75">
        <v>144313.60999999999</v>
      </c>
      <c r="F161" s="75">
        <v>22066.91</v>
      </c>
      <c r="G161" s="75">
        <v>136984.56</v>
      </c>
      <c r="H161" s="75">
        <v>16853.490000000002</v>
      </c>
    </row>
    <row r="162" spans="1:8">
      <c r="A162" s="72" t="s">
        <v>586</v>
      </c>
      <c r="B162" s="72" t="s">
        <v>587</v>
      </c>
      <c r="C162" s="76">
        <v>27867.65</v>
      </c>
      <c r="D162" s="76">
        <v>27242.28</v>
      </c>
      <c r="E162" s="76">
        <v>20199.38</v>
      </c>
      <c r="F162" s="76">
        <v>27582.11</v>
      </c>
      <c r="G162" s="77">
        <v>66925.7</v>
      </c>
      <c r="H162" s="76">
        <v>25564.09</v>
      </c>
    </row>
    <row r="163" spans="1:8">
      <c r="A163" s="72" t="s">
        <v>588</v>
      </c>
      <c r="B163" s="72" t="s">
        <v>589</v>
      </c>
      <c r="C163" s="75">
        <v>21807.11</v>
      </c>
      <c r="D163" s="75">
        <v>7703.07</v>
      </c>
      <c r="E163" s="75">
        <v>18842.419999999998</v>
      </c>
      <c r="F163" s="75">
        <v>14577.28</v>
      </c>
      <c r="G163" s="75">
        <v>63593.19</v>
      </c>
      <c r="H163" s="75">
        <v>9752.0400000000009</v>
      </c>
    </row>
    <row r="164" spans="1:8">
      <c r="A164" s="72" t="s">
        <v>590</v>
      </c>
      <c r="B164" s="72" t="s">
        <v>591</v>
      </c>
      <c r="C164" s="76">
        <v>402258.15</v>
      </c>
      <c r="D164" s="76">
        <v>168040.18</v>
      </c>
      <c r="E164" s="76">
        <v>488641.32</v>
      </c>
      <c r="F164" s="76">
        <v>139644.25</v>
      </c>
      <c r="G164" s="76">
        <v>431744.95</v>
      </c>
      <c r="H164" s="76">
        <v>154126.25</v>
      </c>
    </row>
    <row r="165" spans="1:8">
      <c r="A165" s="72" t="s">
        <v>592</v>
      </c>
      <c r="B165" s="72" t="s">
        <v>593</v>
      </c>
      <c r="C165" s="75">
        <v>30293.97</v>
      </c>
      <c r="D165" s="75">
        <v>11144.62</v>
      </c>
      <c r="E165" s="75">
        <v>19059.18</v>
      </c>
      <c r="F165" s="75">
        <v>9068.2900000000009</v>
      </c>
      <c r="G165" s="75">
        <v>15433.77</v>
      </c>
      <c r="H165" s="75">
        <v>5691.88</v>
      </c>
    </row>
    <row r="166" spans="1:8">
      <c r="A166" s="72" t="s">
        <v>594</v>
      </c>
      <c r="B166" s="72" t="s">
        <v>595</v>
      </c>
      <c r="C166" s="77">
        <v>59496.800000000003</v>
      </c>
      <c r="D166" s="76">
        <v>358.65</v>
      </c>
      <c r="E166" s="76">
        <v>38532.43</v>
      </c>
      <c r="F166" s="76">
        <v>130.61000000000001</v>
      </c>
      <c r="G166" s="76">
        <v>40399.839999999997</v>
      </c>
      <c r="H166" s="76">
        <v>382.54</v>
      </c>
    </row>
    <row r="167" spans="1:8">
      <c r="A167" s="72" t="s">
        <v>596</v>
      </c>
      <c r="B167" s="72" t="s">
        <v>597</v>
      </c>
      <c r="C167" s="75">
        <v>13522.39</v>
      </c>
      <c r="D167" s="75">
        <v>1796.53</v>
      </c>
      <c r="E167" s="78">
        <v>61613.4</v>
      </c>
      <c r="F167" s="75">
        <v>157157.94</v>
      </c>
      <c r="G167" s="75">
        <v>27153.95</v>
      </c>
      <c r="H167" s="75">
        <v>6744.34</v>
      </c>
    </row>
    <row r="168" spans="1:8">
      <c r="A168" s="72" t="s">
        <v>598</v>
      </c>
      <c r="B168" s="72" t="s">
        <v>599</v>
      </c>
      <c r="C168" s="76">
        <v>88561.52</v>
      </c>
      <c r="D168" s="77">
        <v>7178.5</v>
      </c>
      <c r="E168" s="76">
        <v>75923.05</v>
      </c>
      <c r="F168" s="76">
        <v>5981.04</v>
      </c>
      <c r="G168" s="76">
        <v>78066.55</v>
      </c>
      <c r="H168" s="76">
        <v>12624.85</v>
      </c>
    </row>
    <row r="169" spans="1:8">
      <c r="A169" s="72" t="s">
        <v>600</v>
      </c>
      <c r="B169" s="72" t="s">
        <v>601</v>
      </c>
      <c r="C169" s="75">
        <v>307362.57</v>
      </c>
      <c r="D169" s="75">
        <v>81980.33</v>
      </c>
      <c r="E169" s="78">
        <v>250064.7</v>
      </c>
      <c r="F169" s="75">
        <v>100975.26</v>
      </c>
      <c r="G169" s="75">
        <v>259303.55</v>
      </c>
      <c r="H169" s="75">
        <v>86552.54</v>
      </c>
    </row>
    <row r="170" spans="1:8">
      <c r="A170" s="72" t="s">
        <v>602</v>
      </c>
      <c r="B170" s="72" t="s">
        <v>603</v>
      </c>
      <c r="C170" s="74" t="s">
        <v>207</v>
      </c>
      <c r="D170" s="74" t="s">
        <v>207</v>
      </c>
      <c r="E170" s="74" t="s">
        <v>207</v>
      </c>
      <c r="F170" s="74" t="s">
        <v>207</v>
      </c>
      <c r="G170" s="74" t="s">
        <v>207</v>
      </c>
      <c r="H170" s="74" t="s">
        <v>207</v>
      </c>
    </row>
    <row r="171" spans="1:8">
      <c r="A171" s="72" t="s">
        <v>680</v>
      </c>
      <c r="B171" s="72" t="s">
        <v>681</v>
      </c>
      <c r="C171" s="75">
        <v>27428.36</v>
      </c>
      <c r="D171" s="75">
        <v>2824.38</v>
      </c>
      <c r="E171" s="75">
        <v>34913.919999999998</v>
      </c>
      <c r="F171" s="75">
        <v>2395.12</v>
      </c>
      <c r="G171" s="75">
        <v>34992.559999999998</v>
      </c>
      <c r="H171" s="75">
        <v>2059.67</v>
      </c>
    </row>
    <row r="172" spans="1:8">
      <c r="A172" s="72" t="s">
        <v>682</v>
      </c>
      <c r="B172" s="72" t="s">
        <v>683</v>
      </c>
      <c r="C172" s="76">
        <v>1879.25</v>
      </c>
      <c r="D172" s="76">
        <v>794.37</v>
      </c>
      <c r="E172" s="76">
        <v>2717.18</v>
      </c>
      <c r="F172" s="76">
        <v>573.89</v>
      </c>
      <c r="G172" s="76">
        <v>2036.96</v>
      </c>
      <c r="H172" s="76">
        <v>351.47</v>
      </c>
    </row>
    <row r="173" spans="1:8">
      <c r="A173" s="72" t="s">
        <v>604</v>
      </c>
      <c r="B173" s="72" t="s">
        <v>605</v>
      </c>
      <c r="C173" s="78">
        <v>125310.1</v>
      </c>
      <c r="D173" s="75">
        <v>367667.13</v>
      </c>
      <c r="E173" s="75">
        <v>124835.28</v>
      </c>
      <c r="F173" s="75">
        <v>241861.94</v>
      </c>
      <c r="G173" s="75">
        <v>103909.68</v>
      </c>
      <c r="H173" s="75">
        <v>323179.86</v>
      </c>
    </row>
    <row r="174" spans="1:8">
      <c r="A174" s="72" t="s">
        <v>606</v>
      </c>
      <c r="B174" s="72" t="s">
        <v>607</v>
      </c>
      <c r="C174" s="76">
        <v>290264.74</v>
      </c>
      <c r="D174" s="76">
        <v>92025.87</v>
      </c>
      <c r="E174" s="76">
        <v>308181.14</v>
      </c>
      <c r="F174" s="76">
        <v>86289.76</v>
      </c>
      <c r="G174" s="76">
        <v>305129.23</v>
      </c>
      <c r="H174" s="76">
        <v>121674.78</v>
      </c>
    </row>
    <row r="175" spans="1:8">
      <c r="A175" s="72" t="s">
        <v>684</v>
      </c>
      <c r="B175" s="72" t="s">
        <v>685</v>
      </c>
      <c r="C175" s="75">
        <v>784545.37</v>
      </c>
      <c r="D175" s="75">
        <v>28857.46</v>
      </c>
      <c r="E175" s="78">
        <v>892387.9</v>
      </c>
      <c r="F175" s="75">
        <v>33215.410000000003</v>
      </c>
      <c r="G175" s="75">
        <v>830400.17</v>
      </c>
      <c r="H175" s="75">
        <v>28855.15</v>
      </c>
    </row>
    <row r="176" spans="1:8">
      <c r="A176" s="72" t="s">
        <v>686</v>
      </c>
      <c r="B176" s="72" t="s">
        <v>687</v>
      </c>
      <c r="C176" s="74" t="s">
        <v>207</v>
      </c>
      <c r="D176" s="74" t="s">
        <v>207</v>
      </c>
      <c r="E176" s="74" t="s">
        <v>207</v>
      </c>
      <c r="F176" s="74" t="s">
        <v>207</v>
      </c>
      <c r="G176" s="74" t="s">
        <v>207</v>
      </c>
      <c r="H176" s="74" t="s">
        <v>207</v>
      </c>
    </row>
    <row r="177" spans="1:8">
      <c r="A177" s="72" t="s">
        <v>688</v>
      </c>
      <c r="B177" s="72" t="s">
        <v>689</v>
      </c>
      <c r="C177" s="73" t="s">
        <v>207</v>
      </c>
      <c r="D177" s="73" t="s">
        <v>207</v>
      </c>
      <c r="E177" s="73" t="s">
        <v>207</v>
      </c>
      <c r="F177" s="73" t="s">
        <v>207</v>
      </c>
      <c r="G177" s="73" t="s">
        <v>207</v>
      </c>
      <c r="H177" s="73" t="s">
        <v>207</v>
      </c>
    </row>
    <row r="178" spans="1:8">
      <c r="A178" s="72" t="s">
        <v>608</v>
      </c>
      <c r="B178" s="72" t="s">
        <v>609</v>
      </c>
      <c r="C178" s="77">
        <v>122460.2</v>
      </c>
      <c r="D178" s="76">
        <v>4770.9399999999996</v>
      </c>
      <c r="E178" s="76">
        <v>161708.66</v>
      </c>
      <c r="F178" s="76">
        <v>7152.75</v>
      </c>
      <c r="G178" s="76">
        <v>205049.24</v>
      </c>
      <c r="H178" s="77">
        <v>9057.5</v>
      </c>
    </row>
    <row r="179" spans="1:8">
      <c r="A179" s="72" t="s">
        <v>610</v>
      </c>
      <c r="B179" s="72" t="s">
        <v>611</v>
      </c>
      <c r="C179" s="75">
        <v>54805.65</v>
      </c>
      <c r="D179" s="75">
        <v>26949.68</v>
      </c>
      <c r="E179" s="75">
        <v>89886.65</v>
      </c>
      <c r="F179" s="75">
        <v>37212.39</v>
      </c>
      <c r="G179" s="75">
        <v>62875.12</v>
      </c>
      <c r="H179" s="75">
        <v>44851.51</v>
      </c>
    </row>
    <row r="180" spans="1:8">
      <c r="A180" s="72" t="s">
        <v>612</v>
      </c>
      <c r="B180" s="72" t="s">
        <v>613</v>
      </c>
      <c r="C180" s="76">
        <v>34765534.969999999</v>
      </c>
      <c r="D180" s="77">
        <v>755477.5</v>
      </c>
      <c r="E180" s="76">
        <v>31634500.449999999</v>
      </c>
      <c r="F180" s="76">
        <v>693653.27</v>
      </c>
      <c r="G180" s="76">
        <v>25855098.129999999</v>
      </c>
      <c r="H180" s="76">
        <v>577473.86</v>
      </c>
    </row>
    <row r="181" spans="1:8">
      <c r="A181" s="72" t="s">
        <v>614</v>
      </c>
      <c r="B181" s="72" t="s">
        <v>615</v>
      </c>
      <c r="C181" s="75">
        <v>3344.93</v>
      </c>
      <c r="D181" s="73" t="s">
        <v>207</v>
      </c>
      <c r="E181" s="78">
        <v>572.79999999999995</v>
      </c>
      <c r="F181" s="75">
        <v>0.14000000000000001</v>
      </c>
      <c r="G181" s="75">
        <v>805.05</v>
      </c>
      <c r="H181" s="78">
        <v>0</v>
      </c>
    </row>
    <row r="182" spans="1:8">
      <c r="A182" s="72" t="s">
        <v>616</v>
      </c>
      <c r="B182" s="72" t="s">
        <v>617</v>
      </c>
      <c r="C182" s="77">
        <v>891784.5</v>
      </c>
      <c r="D182" s="76">
        <v>1127.31</v>
      </c>
      <c r="E182" s="76">
        <v>962720.34</v>
      </c>
      <c r="F182" s="76">
        <v>2148.02</v>
      </c>
      <c r="G182" s="76">
        <v>724851.26</v>
      </c>
      <c r="H182" s="76">
        <v>7777.14</v>
      </c>
    </row>
    <row r="183" spans="1:8">
      <c r="A183" s="72" t="s">
        <v>618</v>
      </c>
      <c r="B183" s="72" t="s">
        <v>619</v>
      </c>
      <c r="C183" s="75">
        <v>9771812.9800000004</v>
      </c>
      <c r="D183" s="75">
        <v>620807.46</v>
      </c>
      <c r="E183" s="75">
        <v>10057595.689999999</v>
      </c>
      <c r="F183" s="75">
        <v>858712.42</v>
      </c>
      <c r="G183" s="75">
        <v>7073962.5199999996</v>
      </c>
      <c r="H183" s="75">
        <v>1057250.8799999999</v>
      </c>
    </row>
    <row r="184" spans="1:8">
      <c r="A184" s="72" t="s">
        <v>620</v>
      </c>
      <c r="B184" s="72" t="s">
        <v>621</v>
      </c>
      <c r="C184" s="74" t="s">
        <v>207</v>
      </c>
      <c r="D184" s="74" t="s">
        <v>207</v>
      </c>
      <c r="E184" s="74" t="s">
        <v>207</v>
      </c>
      <c r="F184" s="74" t="s">
        <v>207</v>
      </c>
      <c r="G184" s="74" t="s">
        <v>207</v>
      </c>
      <c r="H184" s="74" t="s">
        <v>207</v>
      </c>
    </row>
    <row r="185" spans="1:8">
      <c r="A185" s="72" t="s">
        <v>622</v>
      </c>
      <c r="B185" s="72" t="s">
        <v>623</v>
      </c>
      <c r="C185" s="75">
        <v>4260143.58</v>
      </c>
      <c r="D185" s="78">
        <v>5139765.0999999996</v>
      </c>
      <c r="E185" s="75">
        <v>3751400.08</v>
      </c>
      <c r="F185" s="75">
        <v>4179969.48</v>
      </c>
      <c r="G185" s="75">
        <v>5246897.5599999996</v>
      </c>
      <c r="H185" s="75">
        <v>4326053.82</v>
      </c>
    </row>
    <row r="186" spans="1:8">
      <c r="A186" s="72" t="s">
        <v>624</v>
      </c>
      <c r="B186" s="72" t="s">
        <v>625</v>
      </c>
      <c r="C186" s="76">
        <v>705993.69</v>
      </c>
      <c r="D186" s="76">
        <v>1143.71</v>
      </c>
      <c r="E186" s="76">
        <v>525351.21</v>
      </c>
      <c r="F186" s="77">
        <v>5118.2</v>
      </c>
      <c r="G186" s="77">
        <v>1178509.3999999999</v>
      </c>
      <c r="H186" s="76">
        <v>10349.08</v>
      </c>
    </row>
    <row r="187" spans="1:8">
      <c r="A187" s="72" t="s">
        <v>626</v>
      </c>
      <c r="B187" s="72" t="s">
        <v>627</v>
      </c>
      <c r="C187" s="75">
        <v>5458.52</v>
      </c>
      <c r="D187" s="75">
        <v>39.53</v>
      </c>
      <c r="E187" s="75">
        <v>2058.6799999999998</v>
      </c>
      <c r="F187" s="75">
        <v>16.73</v>
      </c>
      <c r="G187" s="75">
        <v>584.13</v>
      </c>
      <c r="H187" s="75">
        <v>76.58</v>
      </c>
    </row>
    <row r="188" spans="1:8">
      <c r="A188" s="72" t="s">
        <v>628</v>
      </c>
      <c r="B188" s="72" t="s">
        <v>629</v>
      </c>
      <c r="C188" s="76">
        <v>692328.14</v>
      </c>
      <c r="D188" s="76">
        <v>96.63</v>
      </c>
      <c r="E188" s="76">
        <v>567153.01</v>
      </c>
      <c r="F188" s="76">
        <v>3.88</v>
      </c>
      <c r="G188" s="77">
        <v>170987.8</v>
      </c>
      <c r="H188" s="76">
        <v>48.63</v>
      </c>
    </row>
    <row r="189" spans="1:8">
      <c r="A189" s="72" t="s">
        <v>630</v>
      </c>
      <c r="B189" s="72" t="s">
        <v>631</v>
      </c>
      <c r="C189" s="73" t="s">
        <v>207</v>
      </c>
      <c r="D189" s="73" t="s">
        <v>207</v>
      </c>
      <c r="E189" s="73" t="s">
        <v>207</v>
      </c>
      <c r="F189" s="73" t="s">
        <v>207</v>
      </c>
      <c r="G189" s="73" t="s">
        <v>207</v>
      </c>
      <c r="H189" s="73" t="s">
        <v>207</v>
      </c>
    </row>
    <row r="190" spans="1:8">
      <c r="A190" s="72" t="s">
        <v>632</v>
      </c>
      <c r="B190" s="72" t="s">
        <v>633</v>
      </c>
      <c r="C190" s="76">
        <v>77251.460000000006</v>
      </c>
      <c r="D190" s="77">
        <v>540</v>
      </c>
      <c r="E190" s="76">
        <v>204918.47</v>
      </c>
      <c r="F190" s="77">
        <v>15000</v>
      </c>
      <c r="G190" s="76">
        <v>156548.71</v>
      </c>
      <c r="H190" s="74" t="s">
        <v>207</v>
      </c>
    </row>
    <row r="191" spans="1:8">
      <c r="A191" s="72" t="s">
        <v>634</v>
      </c>
      <c r="B191" s="72" t="s">
        <v>635</v>
      </c>
      <c r="C191" s="75">
        <v>4575.97</v>
      </c>
      <c r="D191" s="73" t="s">
        <v>207</v>
      </c>
      <c r="E191" s="75">
        <v>3439.62</v>
      </c>
      <c r="F191" s="75">
        <v>404.42</v>
      </c>
      <c r="G191" s="75">
        <v>3482.36</v>
      </c>
      <c r="H191" s="75">
        <v>230.01</v>
      </c>
    </row>
    <row r="192" spans="1:8">
      <c r="A192" s="72" t="s">
        <v>636</v>
      </c>
      <c r="B192" s="72" t="s">
        <v>637</v>
      </c>
      <c r="C192" s="76">
        <v>188966.61</v>
      </c>
      <c r="D192" s="76">
        <v>13893.45</v>
      </c>
      <c r="E192" s="76">
        <v>70311.39</v>
      </c>
      <c r="F192" s="77">
        <v>14043</v>
      </c>
      <c r="G192" s="76">
        <v>120262.82</v>
      </c>
      <c r="H192" s="76">
        <v>91370.04</v>
      </c>
    </row>
    <row r="193" spans="1:8">
      <c r="A193" s="72" t="s">
        <v>638</v>
      </c>
      <c r="B193" s="72" t="s">
        <v>639</v>
      </c>
      <c r="C193" s="73" t="s">
        <v>207</v>
      </c>
      <c r="D193" s="73" t="s">
        <v>207</v>
      </c>
      <c r="E193" s="73" t="s">
        <v>207</v>
      </c>
      <c r="F193" s="73" t="s">
        <v>207</v>
      </c>
      <c r="G193" s="73" t="s">
        <v>207</v>
      </c>
      <c r="H193" s="73" t="s">
        <v>207</v>
      </c>
    </row>
    <row r="194" spans="1:8">
      <c r="A194" s="72" t="s">
        <v>640</v>
      </c>
      <c r="B194" s="72" t="s">
        <v>641</v>
      </c>
      <c r="C194" s="74" t="s">
        <v>207</v>
      </c>
      <c r="D194" s="74" t="s">
        <v>207</v>
      </c>
      <c r="E194" s="74" t="s">
        <v>207</v>
      </c>
      <c r="F194" s="74" t="s">
        <v>207</v>
      </c>
      <c r="G194" s="74" t="s">
        <v>207</v>
      </c>
      <c r="H194" s="74" t="s">
        <v>207</v>
      </c>
    </row>
    <row r="195" spans="1:8">
      <c r="A195" s="72" t="s">
        <v>642</v>
      </c>
      <c r="B195" s="72" t="s">
        <v>643</v>
      </c>
      <c r="C195" s="73" t="s">
        <v>207</v>
      </c>
      <c r="D195" s="73" t="s">
        <v>207</v>
      </c>
      <c r="E195" s="73" t="s">
        <v>207</v>
      </c>
      <c r="F195" s="73" t="s">
        <v>207</v>
      </c>
      <c r="G195" s="73" t="s">
        <v>207</v>
      </c>
      <c r="H195" s="73" t="s">
        <v>207</v>
      </c>
    </row>
    <row r="197" spans="1:8">
      <c r="A197" s="67" t="s">
        <v>277</v>
      </c>
    </row>
    <row r="198" spans="1:8">
      <c r="A198" s="67" t="s">
        <v>207</v>
      </c>
      <c r="B198" s="65" t="s">
        <v>278</v>
      </c>
    </row>
  </sheetData>
  <mergeCells count="5">
    <mergeCell ref="A10:B10"/>
    <mergeCell ref="C10:D10"/>
    <mergeCell ref="E10:F10"/>
    <mergeCell ref="G10:H10"/>
    <mergeCell ref="A11:B1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21FD3-4E59-4B62-8EC2-FC9A844A7FFF}">
  <sheetPr>
    <tabColor rgb="FF92D050"/>
  </sheetPr>
  <dimension ref="A1:S26"/>
  <sheetViews>
    <sheetView workbookViewId="0">
      <pane xSplit="2" ySplit="1" topLeftCell="C2" activePane="bottomRight" state="frozen"/>
      <selection activeCell="B15" sqref="B15"/>
      <selection pane="topRight" activeCell="B15" sqref="B15"/>
      <selection pane="bottomLeft" activeCell="B15" sqref="B15"/>
      <selection pane="bottomRight" activeCell="P17" sqref="P17:Q17"/>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Secteurs!$B$5</f>
        <v>Trituration</v>
      </c>
      <c r="B2" t="str">
        <f>Produits!$B$13</f>
        <v>Huile</v>
      </c>
      <c r="C2">
        <f>'Huiles et tourteaux - FEDIOL'!U7</f>
        <v>126</v>
      </c>
      <c r="E2" t="str">
        <f>Etiquettes!$C$3</f>
        <v>kt</v>
      </c>
      <c r="F2" s="21" t="str">
        <f>Etiquettes!$J$6</f>
        <v>Soja</v>
      </c>
      <c r="G2" s="913">
        <v>0</v>
      </c>
      <c r="H2" t="str">
        <f>Etiquettes!$C$4</f>
        <v>France entière</v>
      </c>
      <c r="I2" s="21" t="s">
        <v>647</v>
      </c>
      <c r="K2" s="21" t="s">
        <v>1056</v>
      </c>
      <c r="L2" s="101" t="s">
        <v>1491</v>
      </c>
      <c r="M2" s="21" t="str">
        <f>Etiquettes!$H$11</f>
        <v>Volume</v>
      </c>
      <c r="N2" s="21" t="str">
        <f t="shared" ref="N2:N26" si="0">_xlfn.CONCAT(I2,IF(ISBLANK(C2),"",_xlfn.CONCAT(" = ",MROUND(C2,1)," ",E2))," (",K2,")")</f>
        <v>Production d'huile brute = 126 kt (FEDIOL)</v>
      </c>
      <c r="O2" t="str">
        <f>Etiquettes!$J$15</f>
        <v>Probable</v>
      </c>
      <c r="P2" s="976" t="s">
        <v>1468</v>
      </c>
      <c r="Q2" s="976" t="str">
        <f>Etiquettes!$H$17</f>
        <v>Donnée collectée (valeur du flux ou coefficient)</v>
      </c>
    </row>
    <row r="3" spans="1:19">
      <c r="A3" t="str">
        <f>Secteurs!$B$5</f>
        <v>Trituration</v>
      </c>
      <c r="B3" t="str">
        <f>Produits!$B$13</f>
        <v>Huile</v>
      </c>
      <c r="C3">
        <f>'Huiles et tourteaux - FEDIOL'!U8</f>
        <v>2024</v>
      </c>
      <c r="E3" t="str">
        <f>Etiquettes!$C$3</f>
        <v>kt</v>
      </c>
      <c r="F3" s="21" t="str">
        <f>Etiquettes!$H$6</f>
        <v>Colza</v>
      </c>
      <c r="G3" s="913">
        <v>0</v>
      </c>
      <c r="H3" t="str">
        <f>Etiquettes!$C$4</f>
        <v>France entière</v>
      </c>
      <c r="I3" s="21" t="s">
        <v>647</v>
      </c>
      <c r="K3" s="21" t="s">
        <v>1056</v>
      </c>
      <c r="L3" s="101" t="s">
        <v>1491</v>
      </c>
      <c r="M3" s="21" t="str">
        <f>Etiquettes!$H$11</f>
        <v>Volume</v>
      </c>
      <c r="N3" s="21" t="str">
        <f t="shared" si="0"/>
        <v>Production d'huile brute = 2024 kt (FEDIOL)</v>
      </c>
      <c r="O3" t="str">
        <f>Etiquettes!$J$15</f>
        <v>Probable</v>
      </c>
      <c r="P3" s="976" t="s">
        <v>1468</v>
      </c>
      <c r="Q3" s="976" t="str">
        <f>Etiquettes!$H$17</f>
        <v>Donnée collectée (valeur du flux ou coefficient)</v>
      </c>
    </row>
    <row r="4" spans="1:19">
      <c r="A4" t="str">
        <f>Secteurs!$B$5</f>
        <v>Trituration</v>
      </c>
      <c r="B4" t="str">
        <f>Produits!$B$13</f>
        <v>Huile</v>
      </c>
      <c r="C4">
        <f>'Huiles et tourteaux - FEDIOL'!U9</f>
        <v>554</v>
      </c>
      <c r="E4" t="str">
        <f>Etiquettes!$C$3</f>
        <v>kt</v>
      </c>
      <c r="F4" s="21" t="str">
        <f>Etiquettes!$I$6</f>
        <v>Tournesol</v>
      </c>
      <c r="G4" s="913">
        <v>0</v>
      </c>
      <c r="H4" t="str">
        <f>Etiquettes!$C$4</f>
        <v>France entière</v>
      </c>
      <c r="I4" s="21" t="s">
        <v>647</v>
      </c>
      <c r="K4" s="21" t="s">
        <v>1056</v>
      </c>
      <c r="L4" s="101" t="s">
        <v>1491</v>
      </c>
      <c r="M4" s="21" t="str">
        <f>Etiquettes!$H$11</f>
        <v>Volume</v>
      </c>
      <c r="N4" s="21" t="str">
        <f t="shared" si="0"/>
        <v>Production d'huile brute = 554 kt (FEDIOL)</v>
      </c>
      <c r="O4" t="str">
        <f>Etiquettes!$J$15</f>
        <v>Probable</v>
      </c>
      <c r="P4" s="976" t="s">
        <v>1468</v>
      </c>
      <c r="Q4" s="976" t="str">
        <f>Etiquettes!$H$17</f>
        <v>Donnée collectée (valeur du flux ou coefficient)</v>
      </c>
    </row>
    <row r="5" spans="1:19">
      <c r="A5" t="str">
        <f>Secteurs!$B$5</f>
        <v>Trituration</v>
      </c>
      <c r="B5" t="str">
        <f>Produits!$B$13</f>
        <v>Huile</v>
      </c>
      <c r="C5">
        <f>'Huiles et tourteaux - FEDIOL'!U75</f>
        <v>141</v>
      </c>
      <c r="E5" t="str">
        <f>Etiquettes!$C$3</f>
        <v>kt</v>
      </c>
      <c r="F5" s="21" t="str">
        <f>Etiquettes!$J$6</f>
        <v>Soja</v>
      </c>
      <c r="G5" s="913">
        <v>0</v>
      </c>
      <c r="H5" t="str">
        <f>Etiquettes!$C$4</f>
        <v>France entière</v>
      </c>
      <c r="I5" s="21" t="s">
        <v>647</v>
      </c>
      <c r="K5" s="21" t="s">
        <v>1056</v>
      </c>
      <c r="L5" s="101" t="s">
        <v>1491</v>
      </c>
      <c r="M5" s="21" t="str">
        <f>Etiquettes!$H$11</f>
        <v>Volume</v>
      </c>
      <c r="N5" s="21" t="str">
        <f t="shared" si="0"/>
        <v>Production d'huile brute = 141 kt (FEDIOL)</v>
      </c>
      <c r="O5" t="str">
        <f>Etiquettes!$J$15</f>
        <v>Probable</v>
      </c>
      <c r="P5" s="976" t="s">
        <v>1468</v>
      </c>
      <c r="Q5" s="976" t="str">
        <f>Etiquettes!$H$17</f>
        <v>Donnée collectée (valeur du flux ou coefficient)</v>
      </c>
    </row>
    <row r="6" spans="1:19">
      <c r="A6" t="str">
        <f>Secteurs!$B$5</f>
        <v>Trituration</v>
      </c>
      <c r="B6" t="str">
        <f>Produits!$B$13</f>
        <v>Huile</v>
      </c>
      <c r="C6">
        <f>'Huiles et tourteaux - FEDIOL'!U76</f>
        <v>1685</v>
      </c>
      <c r="E6" t="str">
        <f>Etiquettes!$C$3</f>
        <v>kt</v>
      </c>
      <c r="F6" s="21" t="str">
        <f>Etiquettes!$H$6</f>
        <v>Colza</v>
      </c>
      <c r="G6" s="913">
        <v>0</v>
      </c>
      <c r="H6" t="str">
        <f>Etiquettes!$C$4</f>
        <v>France entière</v>
      </c>
      <c r="I6" s="21" t="s">
        <v>647</v>
      </c>
      <c r="K6" s="21" t="s">
        <v>1056</v>
      </c>
      <c r="L6" s="101" t="s">
        <v>1491</v>
      </c>
      <c r="M6" s="21" t="str">
        <f>Etiquettes!$H$11</f>
        <v>Volume</v>
      </c>
      <c r="N6" s="21" t="str">
        <f t="shared" si="0"/>
        <v>Production d'huile brute = 1685 kt (FEDIOL)</v>
      </c>
      <c r="O6" t="str">
        <f>Etiquettes!$J$15</f>
        <v>Probable</v>
      </c>
      <c r="P6" s="976" t="s">
        <v>1468</v>
      </c>
      <c r="Q6" s="976" t="str">
        <f>Etiquettes!$H$17</f>
        <v>Donnée collectée (valeur du flux ou coefficient)</v>
      </c>
    </row>
    <row r="7" spans="1:19">
      <c r="A7" t="str">
        <f>Secteurs!$B$5</f>
        <v>Trituration</v>
      </c>
      <c r="B7" t="str">
        <f>Produits!$B$13</f>
        <v>Huile</v>
      </c>
      <c r="C7">
        <f>'Huiles et tourteaux - FEDIOL'!U77</f>
        <v>521</v>
      </c>
      <c r="E7" t="str">
        <f>Etiquettes!$C$3</f>
        <v>kt</v>
      </c>
      <c r="F7" s="21" t="str">
        <f>Etiquettes!$I$6</f>
        <v>Tournesol</v>
      </c>
      <c r="G7" s="913">
        <v>0</v>
      </c>
      <c r="H7" t="str">
        <f>Etiquettes!$C$4</f>
        <v>France entière</v>
      </c>
      <c r="I7" s="21" t="s">
        <v>647</v>
      </c>
      <c r="K7" s="21" t="s">
        <v>1056</v>
      </c>
      <c r="L7" s="101" t="s">
        <v>1491</v>
      </c>
      <c r="M7" s="21" t="str">
        <f>Etiquettes!$H$11</f>
        <v>Volume</v>
      </c>
      <c r="N7" s="21" t="str">
        <f t="shared" si="0"/>
        <v>Production d'huile brute = 521 kt (FEDIOL)</v>
      </c>
      <c r="O7" t="str">
        <f>Etiquettes!$J$15</f>
        <v>Probable</v>
      </c>
      <c r="P7" s="976" t="s">
        <v>1468</v>
      </c>
      <c r="Q7" s="976" t="str">
        <f>Etiquettes!$H$17</f>
        <v>Donnée collectée (valeur du flux ou coefficient)</v>
      </c>
    </row>
    <row r="8" spans="1:19">
      <c r="A8" t="str">
        <f>Secteurs!$B$5</f>
        <v>Trituration</v>
      </c>
      <c r="B8" t="str">
        <f>Produits!$B$13</f>
        <v>Huile</v>
      </c>
      <c r="C8">
        <f>'Huiles et tourteaux - FEDIOL'!U81</f>
        <v>9</v>
      </c>
      <c r="E8" t="str">
        <f>Etiquettes!$C$3</f>
        <v>kt</v>
      </c>
      <c r="F8" s="21" t="str">
        <f>Etiquettes!$K$6</f>
        <v>Lin</v>
      </c>
      <c r="G8" s="913">
        <v>0</v>
      </c>
      <c r="H8" t="str">
        <f>Etiquettes!$C$4</f>
        <v>France entière</v>
      </c>
      <c r="I8" s="21" t="s">
        <v>647</v>
      </c>
      <c r="K8" s="21" t="s">
        <v>1056</v>
      </c>
      <c r="L8" s="101" t="s">
        <v>1491</v>
      </c>
      <c r="M8" s="21" t="str">
        <f>Etiquettes!$H$11</f>
        <v>Volume</v>
      </c>
      <c r="N8" s="21" t="str">
        <f t="shared" si="0"/>
        <v>Production d'huile brute = 9 kt (FEDIOL)</v>
      </c>
      <c r="O8" t="str">
        <f>Etiquettes!$J$15</f>
        <v>Probable</v>
      </c>
      <c r="P8" s="976" t="s">
        <v>1468</v>
      </c>
      <c r="Q8" s="976" t="str">
        <f>Etiquettes!$H$17</f>
        <v>Donnée collectée (valeur du flux ou coefficient)</v>
      </c>
    </row>
    <row r="9" spans="1:19">
      <c r="A9" t="str">
        <f>Secteurs!$B$5</f>
        <v>Trituration</v>
      </c>
      <c r="B9" t="str">
        <f>Produits!$B$13</f>
        <v>Huile</v>
      </c>
      <c r="C9">
        <f>'Huiles et tourteaux - FEDIOL'!U136</f>
        <v>99</v>
      </c>
      <c r="E9" t="str">
        <f>Etiquettes!$C$3</f>
        <v>kt</v>
      </c>
      <c r="F9" s="21" t="str">
        <f>Etiquettes!$J$6</f>
        <v>Soja</v>
      </c>
      <c r="G9" s="913">
        <v>0</v>
      </c>
      <c r="H9" t="str">
        <f>Etiquettes!$C$4</f>
        <v>France entière</v>
      </c>
      <c r="I9" s="21" t="s">
        <v>647</v>
      </c>
      <c r="K9" s="21" t="s">
        <v>1056</v>
      </c>
      <c r="L9" s="101" t="s">
        <v>1491</v>
      </c>
      <c r="M9" s="21" t="str">
        <f>Etiquettes!$H$11</f>
        <v>Volume</v>
      </c>
      <c r="N9" s="21" t="str">
        <f t="shared" si="0"/>
        <v>Production d'huile brute = 99 kt (FEDIOL)</v>
      </c>
      <c r="O9" t="str">
        <f>Etiquettes!$J$15</f>
        <v>Probable</v>
      </c>
      <c r="P9" s="976" t="s">
        <v>1468</v>
      </c>
      <c r="Q9" s="976" t="str">
        <f>Etiquettes!$H$17</f>
        <v>Donnée collectée (valeur du flux ou coefficient)</v>
      </c>
    </row>
    <row r="10" spans="1:19">
      <c r="A10" t="str">
        <f>Secteurs!$B$5</f>
        <v>Trituration</v>
      </c>
      <c r="B10" t="str">
        <f>Produits!$B$13</f>
        <v>Huile</v>
      </c>
      <c r="C10">
        <f>'Huiles et tourteaux - FEDIOL'!U137</f>
        <v>1865</v>
      </c>
      <c r="E10" t="str">
        <f>Etiquettes!$C$3</f>
        <v>kt</v>
      </c>
      <c r="F10" s="21" t="str">
        <f>Etiquettes!$H$6</f>
        <v>Colza</v>
      </c>
      <c r="G10" s="913">
        <v>0</v>
      </c>
      <c r="H10" t="str">
        <f>Etiquettes!$C$4</f>
        <v>France entière</v>
      </c>
      <c r="I10" s="21" t="s">
        <v>647</v>
      </c>
      <c r="K10" s="21" t="s">
        <v>1056</v>
      </c>
      <c r="L10" s="101" t="s">
        <v>1491</v>
      </c>
      <c r="M10" s="21" t="str">
        <f>Etiquettes!$H$11</f>
        <v>Volume</v>
      </c>
      <c r="N10" s="21" t="str">
        <f t="shared" si="0"/>
        <v>Production d'huile brute = 1865 kt (FEDIOL)</v>
      </c>
      <c r="O10" t="str">
        <f>Etiquettes!$J$15</f>
        <v>Probable</v>
      </c>
      <c r="P10" s="976" t="s">
        <v>1468</v>
      </c>
      <c r="Q10" s="976" t="str">
        <f>Etiquettes!$H$17</f>
        <v>Donnée collectée (valeur du flux ou coefficient)</v>
      </c>
    </row>
    <row r="11" spans="1:19">
      <c r="A11" t="str">
        <f>Secteurs!$B$5</f>
        <v>Trituration</v>
      </c>
      <c r="B11" t="str">
        <f>Produits!$B$13</f>
        <v>Huile</v>
      </c>
      <c r="C11">
        <f>'Huiles et tourteaux - FEDIOL'!U138</f>
        <v>598</v>
      </c>
      <c r="E11" t="str">
        <f>Etiquettes!$C$3</f>
        <v>kt</v>
      </c>
      <c r="F11" s="21" t="str">
        <f>Etiquettes!$I$6</f>
        <v>Tournesol</v>
      </c>
      <c r="G11" s="913">
        <v>0</v>
      </c>
      <c r="H11" t="str">
        <f>Etiquettes!$C$4</f>
        <v>France entière</v>
      </c>
      <c r="I11" s="21" t="s">
        <v>647</v>
      </c>
      <c r="K11" s="21" t="s">
        <v>1056</v>
      </c>
      <c r="L11" s="101" t="s">
        <v>1491</v>
      </c>
      <c r="M11" s="21" t="str">
        <f>Etiquettes!$H$11</f>
        <v>Volume</v>
      </c>
      <c r="N11" s="21" t="str">
        <f t="shared" si="0"/>
        <v>Production d'huile brute = 598 kt (FEDIOL)</v>
      </c>
      <c r="O11" t="str">
        <f>Etiquettes!$J$15</f>
        <v>Probable</v>
      </c>
      <c r="P11" s="976" t="s">
        <v>1468</v>
      </c>
      <c r="Q11" s="976" t="str">
        <f>Etiquettes!$H$17</f>
        <v>Donnée collectée (valeur du flux ou coefficient)</v>
      </c>
    </row>
    <row r="12" spans="1:19">
      <c r="A12" t="str">
        <f>Secteurs!$B$5</f>
        <v>Trituration</v>
      </c>
      <c r="B12" t="str">
        <f>Produits!$B$13</f>
        <v>Huile</v>
      </c>
      <c r="C12">
        <f>'Huiles et tourteaux - FEDIOL'!U142</f>
        <v>11</v>
      </c>
      <c r="E12" t="str">
        <f>Etiquettes!$C$3</f>
        <v>kt</v>
      </c>
      <c r="F12" s="21" t="str">
        <f>Etiquettes!$K$6</f>
        <v>Lin</v>
      </c>
      <c r="G12" s="913">
        <v>0</v>
      </c>
      <c r="H12" t="str">
        <f>Etiquettes!$C$4</f>
        <v>France entière</v>
      </c>
      <c r="I12" s="21" t="s">
        <v>647</v>
      </c>
      <c r="K12" s="21" t="s">
        <v>1056</v>
      </c>
      <c r="L12" s="101" t="s">
        <v>1491</v>
      </c>
      <c r="M12" s="21" t="str">
        <f>Etiquettes!$H$11</f>
        <v>Volume</v>
      </c>
      <c r="N12" s="21" t="str">
        <f t="shared" si="0"/>
        <v>Production d'huile brute = 11 kt (FEDIOL)</v>
      </c>
      <c r="O12" t="str">
        <f>Etiquettes!$J$15</f>
        <v>Probable</v>
      </c>
      <c r="P12" s="976" t="s">
        <v>1468</v>
      </c>
      <c r="Q12" s="976" t="str">
        <f>Etiquettes!$H$17</f>
        <v>Donnée collectée (valeur du flux ou coefficient)</v>
      </c>
    </row>
    <row r="13" spans="1:19">
      <c r="A13" t="str">
        <f>Secteurs!$B$5</f>
        <v>Trituration</v>
      </c>
      <c r="B13" t="str">
        <f>Produits!$B$14</f>
        <v>Tourteaux</v>
      </c>
      <c r="C13">
        <f>'Huiles et tourteaux - FEDIOL'!U35</f>
        <v>541</v>
      </c>
      <c r="E13" t="str">
        <f>Etiquettes!$C$3</f>
        <v>kt</v>
      </c>
      <c r="F13" s="21" t="str">
        <f>Etiquettes!$J$6</f>
        <v>Soja</v>
      </c>
      <c r="G13" s="913">
        <v>0</v>
      </c>
      <c r="H13" t="str">
        <f>Etiquettes!$C$4</f>
        <v>France entière</v>
      </c>
      <c r="I13" s="21" t="s">
        <v>648</v>
      </c>
      <c r="K13" s="21" t="s">
        <v>1056</v>
      </c>
      <c r="L13" s="101" t="s">
        <v>1491</v>
      </c>
      <c r="M13" s="21" t="str">
        <f>Etiquettes!$H$11</f>
        <v>Volume</v>
      </c>
      <c r="N13" s="21" t="str">
        <f t="shared" si="0"/>
        <v>Production de tourteaux = 541 kt (FEDIOL)</v>
      </c>
      <c r="O13" t="str">
        <f>Etiquettes!$J$15</f>
        <v>Probable</v>
      </c>
      <c r="P13" s="976" t="s">
        <v>1468</v>
      </c>
      <c r="Q13" s="976" t="str">
        <f>Etiquettes!$H$17</f>
        <v>Donnée collectée (valeur du flux ou coefficient)</v>
      </c>
    </row>
    <row r="14" spans="1:19">
      <c r="A14" t="str">
        <f>Secteurs!$B$5</f>
        <v>Trituration</v>
      </c>
      <c r="B14" t="str">
        <f>Produits!$B$14</f>
        <v>Tourteaux</v>
      </c>
      <c r="C14">
        <f>'Huiles et tourteaux - FEDIOL'!U36</f>
        <v>2559</v>
      </c>
      <c r="E14" t="str">
        <f>Etiquettes!$C$3</f>
        <v>kt</v>
      </c>
      <c r="F14" s="21" t="str">
        <f>Etiquettes!$H$6</f>
        <v>Colza</v>
      </c>
      <c r="G14" s="913">
        <v>0</v>
      </c>
      <c r="H14" t="str">
        <f>Etiquettes!$C$4</f>
        <v>France entière</v>
      </c>
      <c r="I14" s="21" t="s">
        <v>648</v>
      </c>
      <c r="K14" s="21" t="s">
        <v>1056</v>
      </c>
      <c r="L14" s="101" t="s">
        <v>1491</v>
      </c>
      <c r="M14" s="21" t="str">
        <f>Etiquettes!$H$11</f>
        <v>Volume</v>
      </c>
      <c r="N14" s="21" t="str">
        <f t="shared" si="0"/>
        <v>Production de tourteaux = 2559 kt (FEDIOL)</v>
      </c>
      <c r="O14" t="str">
        <f>Etiquettes!$J$15</f>
        <v>Probable</v>
      </c>
      <c r="P14" s="976" t="s">
        <v>1468</v>
      </c>
      <c r="Q14" s="976" t="str">
        <f>Etiquettes!$H$17</f>
        <v>Donnée collectée (valeur du flux ou coefficient)</v>
      </c>
    </row>
    <row r="15" spans="1:19">
      <c r="A15" t="str">
        <f>Secteurs!$B$5</f>
        <v>Trituration</v>
      </c>
      <c r="B15" t="str">
        <f>Produits!$B$14</f>
        <v>Tourteaux</v>
      </c>
      <c r="C15">
        <f>'Huiles et tourteaux - FEDIOL'!U37</f>
        <v>673</v>
      </c>
      <c r="E15" t="str">
        <f>Etiquettes!$C$3</f>
        <v>kt</v>
      </c>
      <c r="F15" s="21" t="str">
        <f>Etiquettes!$I$6</f>
        <v>Tournesol</v>
      </c>
      <c r="G15" s="913">
        <v>0</v>
      </c>
      <c r="H15" t="str">
        <f>Etiquettes!$C$4</f>
        <v>France entière</v>
      </c>
      <c r="I15" s="21" t="s">
        <v>648</v>
      </c>
      <c r="K15" s="21" t="s">
        <v>1056</v>
      </c>
      <c r="L15" s="101" t="s">
        <v>1491</v>
      </c>
      <c r="M15" s="21" t="str">
        <f>Etiquettes!$H$11</f>
        <v>Volume</v>
      </c>
      <c r="N15" s="21" t="str">
        <f t="shared" si="0"/>
        <v>Production de tourteaux = 673 kt (FEDIOL)</v>
      </c>
      <c r="O15" t="str">
        <f>Etiquettes!$J$15</f>
        <v>Probable</v>
      </c>
      <c r="P15" s="976" t="s">
        <v>1468</v>
      </c>
      <c r="Q15" s="976" t="str">
        <f>Etiquettes!$H$17</f>
        <v>Donnée collectée (valeur du flux ou coefficient)</v>
      </c>
    </row>
    <row r="16" spans="1:19">
      <c r="A16" t="str">
        <f>Secteurs!$B$5</f>
        <v>Trituration</v>
      </c>
      <c r="B16" t="str">
        <f>Produits!$B$14</f>
        <v>Tourteaux</v>
      </c>
      <c r="C16">
        <f>'Huiles et tourteaux - FEDIOL'!U103</f>
        <v>596</v>
      </c>
      <c r="E16" t="str">
        <f>Etiquettes!$C$3</f>
        <v>kt</v>
      </c>
      <c r="F16" s="21" t="str">
        <f>Etiquettes!$J$6</f>
        <v>Soja</v>
      </c>
      <c r="G16" s="913">
        <v>0</v>
      </c>
      <c r="H16" t="str">
        <f>Etiquettes!$C$4</f>
        <v>France entière</v>
      </c>
      <c r="I16" s="21" t="s">
        <v>648</v>
      </c>
      <c r="K16" s="21" t="s">
        <v>1056</v>
      </c>
      <c r="L16" s="101" t="s">
        <v>1491</v>
      </c>
      <c r="M16" s="21" t="str">
        <f>Etiquettes!$H$11</f>
        <v>Volume</v>
      </c>
      <c r="N16" s="21" t="str">
        <f t="shared" si="0"/>
        <v>Production de tourteaux = 596 kt (FEDIOL)</v>
      </c>
      <c r="O16" t="str">
        <f>Etiquettes!$J$15</f>
        <v>Probable</v>
      </c>
      <c r="P16" s="976" t="s">
        <v>1468</v>
      </c>
      <c r="Q16" s="976" t="str">
        <f>Etiquettes!$H$17</f>
        <v>Donnée collectée (valeur du flux ou coefficient)</v>
      </c>
    </row>
    <row r="17" spans="1:17">
      <c r="A17" t="str">
        <f>Secteurs!$B$5</f>
        <v>Trituration</v>
      </c>
      <c r="B17" t="str">
        <f>Produits!$B$14</f>
        <v>Tourteaux</v>
      </c>
      <c r="C17">
        <f>'Huiles et tourteaux - FEDIOL'!U104</f>
        <v>2280</v>
      </c>
      <c r="E17" t="str">
        <f>Etiquettes!$C$3</f>
        <v>kt</v>
      </c>
      <c r="F17" s="21" t="str">
        <f>Etiquettes!$H$6</f>
        <v>Colza</v>
      </c>
      <c r="G17" s="913">
        <v>0</v>
      </c>
      <c r="H17" t="str">
        <f>Etiquettes!$C$4</f>
        <v>France entière</v>
      </c>
      <c r="I17" s="21" t="s">
        <v>648</v>
      </c>
      <c r="K17" s="21" t="s">
        <v>1056</v>
      </c>
      <c r="L17" s="101" t="s">
        <v>1491</v>
      </c>
      <c r="M17" s="21" t="str">
        <f>Etiquettes!$H$11</f>
        <v>Volume</v>
      </c>
      <c r="N17" s="21" t="str">
        <f t="shared" si="0"/>
        <v>Production de tourteaux = 2280 kt (FEDIOL)</v>
      </c>
      <c r="O17" t="str">
        <f>Etiquettes!$J$15</f>
        <v>Probable</v>
      </c>
      <c r="P17" s="976" t="s">
        <v>1468</v>
      </c>
      <c r="Q17" s="976" t="str">
        <f>Etiquettes!$H$17</f>
        <v>Donnée collectée (valeur du flux ou coefficient)</v>
      </c>
    </row>
    <row r="18" spans="1:17">
      <c r="A18" t="str">
        <f>Secteurs!$B$5</f>
        <v>Trituration</v>
      </c>
      <c r="B18" t="str">
        <f>Produits!$B$14</f>
        <v>Tourteaux</v>
      </c>
      <c r="C18">
        <f>'Huiles et tourteaux - FEDIOL'!U105</f>
        <v>677</v>
      </c>
      <c r="E18" t="str">
        <f>Etiquettes!$C$3</f>
        <v>kt</v>
      </c>
      <c r="F18" s="21" t="str">
        <f>Etiquettes!$I$6</f>
        <v>Tournesol</v>
      </c>
      <c r="G18" s="913">
        <v>0</v>
      </c>
      <c r="H18" t="str">
        <f>Etiquettes!$C$4</f>
        <v>France entière</v>
      </c>
      <c r="I18" s="21" t="s">
        <v>648</v>
      </c>
      <c r="K18" s="21" t="s">
        <v>1056</v>
      </c>
      <c r="L18" s="101" t="s">
        <v>1491</v>
      </c>
      <c r="M18" s="21" t="str">
        <f>Etiquettes!$H$11</f>
        <v>Volume</v>
      </c>
      <c r="N18" s="21" t="str">
        <f t="shared" si="0"/>
        <v>Production de tourteaux = 677 kt (FEDIOL)</v>
      </c>
      <c r="O18" t="str">
        <f>Etiquettes!$J$15</f>
        <v>Probable</v>
      </c>
      <c r="P18" s="976" t="s">
        <v>1468</v>
      </c>
      <c r="Q18" s="976" t="str">
        <f>Etiquettes!$H$17</f>
        <v>Donnée collectée (valeur du flux ou coefficient)</v>
      </c>
    </row>
    <row r="19" spans="1:17">
      <c r="A19" t="str">
        <f>Secteurs!$B$5</f>
        <v>Trituration</v>
      </c>
      <c r="B19" t="str">
        <f>Produits!$B$14</f>
        <v>Tourteaux</v>
      </c>
      <c r="C19">
        <f>'Huiles et tourteaux - FEDIOL'!U109</f>
        <v>16</v>
      </c>
      <c r="E19" t="str">
        <f>Etiquettes!$C$3</f>
        <v>kt</v>
      </c>
      <c r="F19" s="21" t="str">
        <f>Etiquettes!$K$6</f>
        <v>Lin</v>
      </c>
      <c r="G19" s="913">
        <v>0</v>
      </c>
      <c r="H19" t="str">
        <f>Etiquettes!$C$4</f>
        <v>France entière</v>
      </c>
      <c r="I19" s="21" t="s">
        <v>648</v>
      </c>
      <c r="K19" s="21" t="s">
        <v>1056</v>
      </c>
      <c r="L19" s="101" t="s">
        <v>1491</v>
      </c>
      <c r="M19" s="21" t="str">
        <f>Etiquettes!$H$11</f>
        <v>Volume</v>
      </c>
      <c r="N19" s="21" t="str">
        <f t="shared" si="0"/>
        <v>Production de tourteaux = 16 kt (FEDIOL)</v>
      </c>
      <c r="O19" t="str">
        <f>Etiquettes!$J$15</f>
        <v>Probable</v>
      </c>
      <c r="P19" s="976" t="s">
        <v>1468</v>
      </c>
      <c r="Q19" s="976" t="str">
        <f>Etiquettes!$H$17</f>
        <v>Donnée collectée (valeur du flux ou coefficient)</v>
      </c>
    </row>
    <row r="20" spans="1:17">
      <c r="A20" t="str">
        <f>Secteurs!$B$5</f>
        <v>Trituration</v>
      </c>
      <c r="B20" t="str">
        <f>Produits!$B$14</f>
        <v>Tourteaux</v>
      </c>
      <c r="C20">
        <f>'Huiles et tourteaux - FEDIOL'!U164</f>
        <v>420</v>
      </c>
      <c r="E20" t="str">
        <f>Etiquettes!$C$3</f>
        <v>kt</v>
      </c>
      <c r="F20" s="21" t="str">
        <f>Etiquettes!$J$6</f>
        <v>Soja</v>
      </c>
      <c r="G20" s="913">
        <v>0</v>
      </c>
      <c r="H20" t="str">
        <f>Etiquettes!$C$4</f>
        <v>France entière</v>
      </c>
      <c r="I20" s="21" t="s">
        <v>648</v>
      </c>
      <c r="K20" s="21" t="s">
        <v>1056</v>
      </c>
      <c r="L20" s="101" t="s">
        <v>1491</v>
      </c>
      <c r="M20" s="21" t="str">
        <f>Etiquettes!$H$11</f>
        <v>Volume</v>
      </c>
      <c r="N20" s="21" t="str">
        <f t="shared" si="0"/>
        <v>Production de tourteaux = 420 kt (FEDIOL)</v>
      </c>
      <c r="O20" t="str">
        <f>Etiquettes!$J$15</f>
        <v>Probable</v>
      </c>
      <c r="P20" s="976" t="s">
        <v>1468</v>
      </c>
      <c r="Q20" s="976" t="str">
        <f>Etiquettes!$H$17</f>
        <v>Donnée collectée (valeur du flux ou coefficient)</v>
      </c>
    </row>
    <row r="21" spans="1:17">
      <c r="A21" t="str">
        <f>Secteurs!$B$5</f>
        <v>Trituration</v>
      </c>
      <c r="B21" t="str">
        <f>Produits!$B$14</f>
        <v>Tourteaux</v>
      </c>
      <c r="C21">
        <f>'Huiles et tourteaux - FEDIOL'!U165</f>
        <v>2479</v>
      </c>
      <c r="E21" t="str">
        <f>Etiquettes!$C$3</f>
        <v>kt</v>
      </c>
      <c r="F21" s="21" t="str">
        <f>Etiquettes!$H$6</f>
        <v>Colza</v>
      </c>
      <c r="G21" s="913">
        <v>0</v>
      </c>
      <c r="H21" t="str">
        <f>Etiquettes!$C$4</f>
        <v>France entière</v>
      </c>
      <c r="I21" s="21" t="s">
        <v>648</v>
      </c>
      <c r="K21" s="21" t="s">
        <v>1056</v>
      </c>
      <c r="L21" s="101" t="s">
        <v>1491</v>
      </c>
      <c r="M21" s="21" t="str">
        <f>Etiquettes!$H$11</f>
        <v>Volume</v>
      </c>
      <c r="N21" s="21" t="str">
        <f t="shared" si="0"/>
        <v>Production de tourteaux = 2479 kt (FEDIOL)</v>
      </c>
      <c r="O21" t="str">
        <f>Etiquettes!$J$15</f>
        <v>Probable</v>
      </c>
      <c r="P21" s="976" t="s">
        <v>1468</v>
      </c>
      <c r="Q21" s="976" t="str">
        <f>Etiquettes!$H$17</f>
        <v>Donnée collectée (valeur du flux ou coefficient)</v>
      </c>
    </row>
    <row r="22" spans="1:17">
      <c r="A22" t="str">
        <f>Secteurs!$B$5</f>
        <v>Trituration</v>
      </c>
      <c r="B22" t="str">
        <f>Produits!$B$14</f>
        <v>Tourteaux</v>
      </c>
      <c r="C22">
        <f>'Huiles et tourteaux - FEDIOL'!U166</f>
        <v>737</v>
      </c>
      <c r="E22" t="str">
        <f>Etiquettes!$C$3</f>
        <v>kt</v>
      </c>
      <c r="F22" s="21" t="str">
        <f>Etiquettes!$I$6</f>
        <v>Tournesol</v>
      </c>
      <c r="G22" s="913">
        <v>0</v>
      </c>
      <c r="H22" t="str">
        <f>Etiquettes!$C$4</f>
        <v>France entière</v>
      </c>
      <c r="I22" s="21" t="s">
        <v>648</v>
      </c>
      <c r="K22" s="21" t="s">
        <v>1056</v>
      </c>
      <c r="L22" s="101" t="s">
        <v>1491</v>
      </c>
      <c r="M22" s="21" t="str">
        <f>Etiquettes!$H$11</f>
        <v>Volume</v>
      </c>
      <c r="N22" s="21" t="str">
        <f t="shared" si="0"/>
        <v>Production de tourteaux = 737 kt (FEDIOL)</v>
      </c>
      <c r="O22" t="str">
        <f>Etiquettes!$J$15</f>
        <v>Probable</v>
      </c>
      <c r="P22" s="976" t="s">
        <v>1468</v>
      </c>
      <c r="Q22" s="976" t="str">
        <f>Etiquettes!$H$17</f>
        <v>Donnée collectée (valeur du flux ou coefficient)</v>
      </c>
    </row>
    <row r="23" spans="1:17">
      <c r="A23" t="str">
        <f>Secteurs!$B$5</f>
        <v>Trituration</v>
      </c>
      <c r="B23" t="str">
        <f>Produits!$B$14</f>
        <v>Tourteaux</v>
      </c>
      <c r="C23">
        <f>'Huiles et tourteaux - FEDIOL'!U170</f>
        <v>19</v>
      </c>
      <c r="E23" t="str">
        <f>Etiquettes!$C$3</f>
        <v>kt</v>
      </c>
      <c r="F23" s="21" t="str">
        <f>Etiquettes!$K$6</f>
        <v>Lin</v>
      </c>
      <c r="G23" s="913">
        <v>0</v>
      </c>
      <c r="H23" t="str">
        <f>Etiquettes!$C$4</f>
        <v>France entière</v>
      </c>
      <c r="I23" s="21" t="s">
        <v>648</v>
      </c>
      <c r="K23" s="21" t="s">
        <v>1056</v>
      </c>
      <c r="L23" s="101" t="s">
        <v>1491</v>
      </c>
      <c r="M23" s="21" t="str">
        <f>Etiquettes!$H$11</f>
        <v>Volume</v>
      </c>
      <c r="N23" s="21" t="str">
        <f t="shared" si="0"/>
        <v>Production de tourteaux = 19 kt (FEDIOL)</v>
      </c>
      <c r="O23" t="str">
        <f>Etiquettes!$J$15</f>
        <v>Probable</v>
      </c>
      <c r="P23" s="976" t="s">
        <v>1468</v>
      </c>
      <c r="Q23" s="976" t="str">
        <f>Etiquettes!$H$17</f>
        <v>Donnée collectée (valeur du flux ou coefficient)</v>
      </c>
    </row>
    <row r="24" spans="1:17">
      <c r="A24" t="str">
        <f>Produits!$B$11</f>
        <v>Graines collectées</v>
      </c>
      <c r="B24" t="str">
        <f>Secteurs!$B$5</f>
        <v>Trituration</v>
      </c>
      <c r="C24">
        <f>'Huiles et tourteaux - FEDIOL'!U56</f>
        <v>12</v>
      </c>
      <c r="E24" t="str">
        <f>Etiquettes!$C$3</f>
        <v>kt</v>
      </c>
      <c r="F24" s="21" t="str">
        <f>Etiquettes!$K$6</f>
        <v>Lin</v>
      </c>
      <c r="G24" s="913" t="str">
        <f>Etiquettes!$H$5</f>
        <v>2015-16</v>
      </c>
      <c r="H24" t="str">
        <f>Etiquettes!$C$4</f>
        <v>France entière</v>
      </c>
      <c r="I24" s="101" t="s">
        <v>1009</v>
      </c>
      <c r="J24" s="101" t="s">
        <v>1177</v>
      </c>
      <c r="K24" s="21" t="s">
        <v>1056</v>
      </c>
      <c r="L24" s="101" t="s">
        <v>1491</v>
      </c>
      <c r="M24" s="21" t="str">
        <f>Etiquettes!$H$11</f>
        <v>Volume</v>
      </c>
      <c r="N24" s="21" t="str">
        <f t="shared" si="0"/>
        <v>Consommation de graines par la Trituration = 12 kt (FEDIOL)</v>
      </c>
      <c r="O24" t="str">
        <f>Etiquettes!$J$15</f>
        <v>Probable</v>
      </c>
      <c r="P24" s="976" t="s">
        <v>1468</v>
      </c>
      <c r="Q24" s="976" t="str">
        <f>Etiquettes!$H$17</f>
        <v>Donnée collectée (valeur du flux ou coefficient)</v>
      </c>
    </row>
    <row r="25" spans="1:17">
      <c r="A25" t="str">
        <f>Produits!$B$11</f>
        <v>Graines collectées</v>
      </c>
      <c r="B25" t="str">
        <f>Secteurs!$B$5</f>
        <v>Trituration</v>
      </c>
      <c r="C25">
        <f>'Huiles et tourteaux - FEDIOL'!U124</f>
        <v>25</v>
      </c>
      <c r="E25" t="str">
        <f>Etiquettes!$C$3</f>
        <v>kt</v>
      </c>
      <c r="F25" s="21" t="str">
        <f>Etiquettes!$K$6</f>
        <v>Lin</v>
      </c>
      <c r="G25" s="913" t="str">
        <f>Etiquettes!$I$5</f>
        <v>2019-20</v>
      </c>
      <c r="H25" t="str">
        <f>Etiquettes!$C$4</f>
        <v>France entière</v>
      </c>
      <c r="I25" s="101" t="s">
        <v>1009</v>
      </c>
      <c r="J25" s="101" t="s">
        <v>1178</v>
      </c>
      <c r="K25" s="21" t="s">
        <v>1056</v>
      </c>
      <c r="L25" s="101" t="s">
        <v>1491</v>
      </c>
      <c r="M25" s="21" t="str">
        <f>Etiquettes!$H$11</f>
        <v>Volume</v>
      </c>
      <c r="N25" s="21" t="str">
        <f t="shared" si="0"/>
        <v>Consommation de graines par la Trituration = 25 kt (FEDIOL)</v>
      </c>
      <c r="O25" t="str">
        <f>Etiquettes!$J$15</f>
        <v>Probable</v>
      </c>
      <c r="P25" s="976" t="s">
        <v>1468</v>
      </c>
      <c r="Q25" s="976" t="str">
        <f>Etiquettes!$H$17</f>
        <v>Donnée collectée (valeur du flux ou coefficient)</v>
      </c>
    </row>
    <row r="26" spans="1:17">
      <c r="A26" t="str">
        <f>Produits!$B$11</f>
        <v>Graines collectées</v>
      </c>
      <c r="B26" t="str">
        <f>Secteurs!$B$5</f>
        <v>Trituration</v>
      </c>
      <c r="C26">
        <f>'Huiles et tourteaux - FEDIOL'!U185</f>
        <v>31</v>
      </c>
      <c r="E26" t="str">
        <f>Etiquettes!$C$3</f>
        <v>kt</v>
      </c>
      <c r="F26" s="21" t="str">
        <f>Etiquettes!$K$6</f>
        <v>Lin</v>
      </c>
      <c r="G26" s="913" t="str">
        <f>Etiquettes!$J$5</f>
        <v>2023-24</v>
      </c>
      <c r="H26" t="str">
        <f>Etiquettes!$C$4</f>
        <v>France entière</v>
      </c>
      <c r="I26" s="101" t="s">
        <v>1009</v>
      </c>
      <c r="J26" s="101" t="s">
        <v>1179</v>
      </c>
      <c r="K26" s="21" t="s">
        <v>1056</v>
      </c>
      <c r="L26" s="101" t="s">
        <v>1491</v>
      </c>
      <c r="M26" s="21" t="str">
        <f>Etiquettes!$H$11</f>
        <v>Volume</v>
      </c>
      <c r="N26" s="21" t="str">
        <f t="shared" si="0"/>
        <v>Consommation de graines par la Trituration = 31 kt (FEDIOL)</v>
      </c>
      <c r="O26" t="str">
        <f>Etiquettes!$J$15</f>
        <v>Probable</v>
      </c>
      <c r="P26" s="976" t="s">
        <v>1468</v>
      </c>
      <c r="Q26" s="976" t="str">
        <f>Etiquettes!$H$17</f>
        <v>Donnée collectée (valeur du flux ou coefficient)</v>
      </c>
    </row>
  </sheetData>
  <phoneticPr fontId="114" type="noConversion"/>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2542-7ECA-4CA4-98EB-C896FC597222}">
  <sheetPr>
    <tabColor rgb="FF92D050"/>
  </sheetPr>
  <dimension ref="A1:U7"/>
  <sheetViews>
    <sheetView workbookViewId="0">
      <pane xSplit="3" ySplit="1" topLeftCell="D2" activePane="bottomRight" state="frozen"/>
      <selection activeCell="B15" sqref="B15"/>
      <selection pane="topRight" activeCell="B15" sqref="B15"/>
      <selection pane="bottomLeft" activeCell="B15" sqref="B15"/>
      <selection pane="bottomRight" activeCell="R3" sqref="R3:S3"/>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  '!A38+1</f>
        <v>41</v>
      </c>
      <c r="B2" t="str">
        <f>Produits!$B$11</f>
        <v>Graines collectées</v>
      </c>
      <c r="C2" t="str">
        <f>Secteurs!$B$5</f>
        <v>Trituration</v>
      </c>
      <c r="D2" s="888">
        <f>AVERAGE('Huiles et tourteaux - FEDIOL'!U81/('Huiles et tourteaux - FEDIOL'!U81+'Huiles et tourteaux - FEDIOL'!U109),'Huiles et tourteaux - FEDIOL'!U142/('Huiles et tourteaux - FEDIOL'!U142+'Huiles et tourteaux - FEDIOL'!U170))</f>
        <v>0.36333333333333329</v>
      </c>
      <c r="G2" t="str">
        <f>Etiquettes!$C$3</f>
        <v>kt</v>
      </c>
      <c r="H2" s="21" t="str">
        <f>Etiquettes!$K$6</f>
        <v>Lin</v>
      </c>
      <c r="I2" s="913" t="str">
        <f>Etiquettes!$C$5</f>
        <v>2015-16:2019-20:2023-24</v>
      </c>
      <c r="J2" t="str">
        <f>Etiquettes!$C$4</f>
        <v>France entière</v>
      </c>
      <c r="P2" s="10"/>
      <c r="U2" s="1028" t="s">
        <v>1070</v>
      </c>
    </row>
    <row r="3" spans="1:21">
      <c r="A3" s="10">
        <f>'Contraintes  '!A39+1</f>
        <v>41</v>
      </c>
      <c r="B3" t="str">
        <f>Secteurs!$B$5</f>
        <v>Trituration</v>
      </c>
      <c r="C3" t="str">
        <f>Produits!$B$13</f>
        <v>Huile</v>
      </c>
      <c r="D3">
        <v>-1</v>
      </c>
      <c r="G3" t="str">
        <f>Etiquettes!$C$3</f>
        <v>kt</v>
      </c>
      <c r="H3" s="21" t="str">
        <f>Etiquettes!$K$6</f>
        <v>Lin</v>
      </c>
      <c r="I3" s="913" t="str">
        <f>Etiquettes!$C$5</f>
        <v>2015-16:2019-20:2023-24</v>
      </c>
      <c r="J3" t="str">
        <f>Etiquettes!$C$4</f>
        <v>France entière</v>
      </c>
      <c r="K3" s="31" t="s">
        <v>1067</v>
      </c>
      <c r="L3" s="31" t="s">
        <v>1069</v>
      </c>
      <c r="M3" s="21" t="s">
        <v>1056</v>
      </c>
      <c r="N3" s="101" t="s">
        <v>1491</v>
      </c>
      <c r="O3" t="str">
        <f>Etiquettes!$I$11</f>
        <v>Rendement</v>
      </c>
      <c r="P3" t="str">
        <f>_xlfn.CONCAT(K3," = ",MROUND(D2*100,0.01)," % (",M3,")")</f>
        <v>Rendement de production d'huile brute = 36,33 % (FEDIOL)</v>
      </c>
      <c r="Q3" t="str">
        <f>Etiquettes!$K$15</f>
        <v>Approximative</v>
      </c>
      <c r="R3" s="976" t="s">
        <v>1509</v>
      </c>
      <c r="S3" s="976" t="s">
        <v>1475</v>
      </c>
      <c r="U3" s="1027"/>
    </row>
    <row r="4" spans="1:21">
      <c r="A4" s="10">
        <f>A2+1</f>
        <v>42</v>
      </c>
      <c r="B4" t="str">
        <f>Produits!$B$11</f>
        <v>Graines collectées</v>
      </c>
      <c r="C4" t="str">
        <f>Secteurs!$B$5</f>
        <v>Trituration</v>
      </c>
      <c r="D4" s="888">
        <f>1-D2</f>
        <v>0.63666666666666671</v>
      </c>
      <c r="G4" t="str">
        <f>Etiquettes!$C$3</f>
        <v>kt</v>
      </c>
      <c r="H4" s="21" t="str">
        <f>Etiquettes!$K$6</f>
        <v>Lin</v>
      </c>
      <c r="I4" s="913" t="str">
        <f>Etiquettes!$C$5</f>
        <v>2015-16:2019-20:2023-24</v>
      </c>
      <c r="J4" t="str">
        <f>Etiquettes!$C$4</f>
        <v>France entière</v>
      </c>
      <c r="K4" s="31"/>
      <c r="M4" s="31"/>
      <c r="P4" s="10"/>
      <c r="U4" s="1027"/>
    </row>
    <row r="5" spans="1:21">
      <c r="A5" s="10">
        <f t="shared" ref="A5" si="0">A3+1</f>
        <v>42</v>
      </c>
      <c r="B5" t="str">
        <f>Secteurs!$B$5</f>
        <v>Trituration</v>
      </c>
      <c r="C5" t="str">
        <f>Produits!$B$14</f>
        <v>Tourteaux</v>
      </c>
      <c r="D5">
        <v>-1</v>
      </c>
      <c r="G5" t="str">
        <f>Etiquettes!$C$3</f>
        <v>kt</v>
      </c>
      <c r="H5" s="21" t="str">
        <f>Etiquettes!$K$6</f>
        <v>Lin</v>
      </c>
      <c r="I5" s="913" t="str">
        <f>Etiquettes!$C$5</f>
        <v>2015-16:2019-20:2023-24</v>
      </c>
      <c r="J5" t="str">
        <f>Etiquettes!$C$4</f>
        <v>France entière</v>
      </c>
      <c r="K5" s="31" t="s">
        <v>1068</v>
      </c>
      <c r="L5" s="31" t="s">
        <v>1069</v>
      </c>
      <c r="M5" s="21" t="s">
        <v>1056</v>
      </c>
      <c r="N5" s="101" t="s">
        <v>1491</v>
      </c>
      <c r="O5" t="str">
        <f>Etiquettes!$I$11</f>
        <v>Rendement</v>
      </c>
      <c r="P5" t="str">
        <f>_xlfn.CONCAT(K5," = ",MROUND(D4*100,0.01)," % (",M5,")")</f>
        <v>Rendement de production de tourteaux = 63,67 % (FEDIOL)</v>
      </c>
      <c r="Q5" t="str">
        <f>Etiquettes!$K$15</f>
        <v>Approximative</v>
      </c>
      <c r="R5" s="976" t="s">
        <v>1509</v>
      </c>
      <c r="S5" s="976" t="s">
        <v>1475</v>
      </c>
      <c r="U5" s="1027"/>
    </row>
    <row r="7" spans="1:21">
      <c r="D7" s="937"/>
    </row>
  </sheetData>
  <mergeCells count="1">
    <mergeCell ref="U2:U5"/>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56908-8FE2-46C8-BBFE-9F2592A57BAB}">
  <sheetPr>
    <tabColor theme="1"/>
  </sheetPr>
  <dimension ref="A1:Q52"/>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3">_xlfn._xlws.FILTER('Contraintes   '!G1:S200,ISTEXT('Contraintes   '!O1:O200))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3">_xlfn._xlws.FILTER('Contraintes   '!B2:C200,ISTEXT('Contraintes   '!O2:O200))</f>
        <v>Trituration</v>
      </c>
      <c r="B2" t="str">
        <v>Huile</v>
      </c>
      <c r="E2" t="str">
        <v>kt</v>
      </c>
      <c r="F2" t="str">
        <v>Lin</v>
      </c>
      <c r="G2" t="str">
        <v>2015-16:2019-20:2023-24</v>
      </c>
      <c r="H2" t="str">
        <v>France entière</v>
      </c>
      <c r="I2" t="str">
        <v>Rendement de production d'huile brute</v>
      </c>
      <c r="J2" t="str">
        <v>Moyenne des rendements de 2019 et 2023</v>
      </c>
      <c r="K2" t="str">
        <v>FEDIOL</v>
      </c>
      <c r="L2" t="str">
        <v>Huiles et tourteaux - FEDIOL</v>
      </c>
      <c r="M2" t="str">
        <v>Rendement</v>
      </c>
      <c r="N2" t="str">
        <v>Rendement de production d'huile brute = 36,33 % (FEDIOL)</v>
      </c>
      <c r="O2" t="str">
        <v>Approximative</v>
      </c>
      <c r="P2" t="str">
        <v>Données collectées:Données déterminées</v>
      </c>
      <c r="Q2" t="str">
        <v>Donnée collectée (valeur du flux ou coefficient)</v>
      </c>
    </row>
    <row r="3" spans="1:17">
      <c r="A3" t="str">
        <v>Trituration</v>
      </c>
      <c r="B3" t="str">
        <v>Tourteaux</v>
      </c>
      <c r="E3" t="str">
        <v>kt</v>
      </c>
      <c r="F3" t="str">
        <v>Lin</v>
      </c>
      <c r="G3" t="str">
        <v>2015-16:2019-20:2023-24</v>
      </c>
      <c r="H3" t="str">
        <v>France entière</v>
      </c>
      <c r="I3" t="str">
        <v>Rendement de production de tourteaux</v>
      </c>
      <c r="J3" t="str">
        <v>Moyenne des rendements de 2019 et 2023</v>
      </c>
      <c r="K3" t="str">
        <v>FEDIOL</v>
      </c>
      <c r="L3" t="str">
        <v>Huiles et tourteaux - FEDIOL</v>
      </c>
      <c r="M3" t="str">
        <v>Rendement</v>
      </c>
      <c r="N3" t="str">
        <v>Rendement de production de tourteaux = 63,67 % (FEDIOL)</v>
      </c>
      <c r="O3" t="str">
        <v>Approximative</v>
      </c>
      <c r="P3" t="str">
        <v>Données collectées:Données déterminées</v>
      </c>
      <c r="Q3" t="str">
        <v>Donnée collectée (valeur du flux ou coefficient)</v>
      </c>
    </row>
    <row r="4" spans="1:17">
      <c r="I4"/>
      <c r="J4"/>
      <c r="K4"/>
      <c r="L4"/>
      <c r="M4"/>
    </row>
    <row r="5" spans="1:17">
      <c r="I5"/>
      <c r="J5"/>
      <c r="K5"/>
      <c r="L5"/>
      <c r="M5"/>
    </row>
    <row r="6" spans="1:17">
      <c r="I6"/>
      <c r="J6"/>
      <c r="K6"/>
      <c r="L6"/>
      <c r="M6"/>
    </row>
    <row r="7" spans="1:17">
      <c r="I7"/>
      <c r="J7"/>
      <c r="K7"/>
      <c r="L7"/>
      <c r="M7"/>
    </row>
    <row r="8" spans="1:17">
      <c r="I8"/>
      <c r="J8"/>
      <c r="K8"/>
      <c r="L8"/>
      <c r="M8"/>
    </row>
    <row r="9" spans="1:17">
      <c r="I9"/>
      <c r="J9"/>
      <c r="K9"/>
      <c r="L9"/>
      <c r="M9"/>
    </row>
    <row r="10" spans="1:17">
      <c r="I10"/>
      <c r="J10"/>
      <c r="K10"/>
      <c r="L10"/>
      <c r="M10"/>
    </row>
    <row r="11" spans="1:17">
      <c r="I11"/>
      <c r="J11"/>
      <c r="K11"/>
      <c r="L11"/>
      <c r="M11"/>
    </row>
    <row r="12" spans="1:17">
      <c r="I12"/>
      <c r="J12"/>
      <c r="K12"/>
      <c r="L12"/>
      <c r="M12"/>
    </row>
    <row r="13" spans="1:17">
      <c r="I13"/>
      <c r="J13"/>
      <c r="K13"/>
      <c r="L13"/>
      <c r="M13"/>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AAE11-664C-4291-9B7A-65174229AFEA}">
  <sheetPr>
    <tabColor rgb="FFFFC000"/>
  </sheetPr>
  <dimension ref="A1:U188"/>
  <sheetViews>
    <sheetView workbookViewId="0">
      <selection activeCell="U23" sqref="U23"/>
    </sheetView>
  </sheetViews>
  <sheetFormatPr baseColWidth="10" defaultRowHeight="14.4"/>
  <sheetData>
    <row r="1" spans="1:21">
      <c r="A1" s="894" t="s">
        <v>17</v>
      </c>
      <c r="B1" s="894" t="s">
        <v>1056</v>
      </c>
    </row>
    <row r="5" spans="1:21">
      <c r="T5">
        <v>2015</v>
      </c>
      <c r="U5" t="s">
        <v>720</v>
      </c>
    </row>
    <row r="6" spans="1:21">
      <c r="T6" t="s">
        <v>1018</v>
      </c>
      <c r="U6">
        <v>0</v>
      </c>
    </row>
    <row r="7" spans="1:21">
      <c r="T7" t="s">
        <v>82</v>
      </c>
      <c r="U7" s="912">
        <v>126</v>
      </c>
    </row>
    <row r="8" spans="1:21">
      <c r="T8" t="s">
        <v>80</v>
      </c>
      <c r="U8" s="912">
        <v>2024</v>
      </c>
    </row>
    <row r="9" spans="1:21">
      <c r="T9" t="s">
        <v>81</v>
      </c>
      <c r="U9" s="912">
        <v>554</v>
      </c>
    </row>
    <row r="10" spans="1:21">
      <c r="T10" t="s">
        <v>1019</v>
      </c>
      <c r="U10">
        <v>0</v>
      </c>
    </row>
    <row r="11" spans="1:21">
      <c r="T11" t="s">
        <v>1057</v>
      </c>
      <c r="U11">
        <v>0</v>
      </c>
    </row>
    <row r="12" spans="1:21">
      <c r="T12" t="s">
        <v>1058</v>
      </c>
      <c r="U12">
        <v>0</v>
      </c>
    </row>
    <row r="13" spans="1:21">
      <c r="T13" t="s">
        <v>1059</v>
      </c>
      <c r="U13">
        <v>0</v>
      </c>
    </row>
    <row r="14" spans="1:21">
      <c r="T14" t="s">
        <v>1060</v>
      </c>
      <c r="U14">
        <v>0</v>
      </c>
    </row>
    <row r="15" spans="1:21">
      <c r="T15" t="s">
        <v>1061</v>
      </c>
      <c r="U15">
        <v>0</v>
      </c>
    </row>
    <row r="16" spans="1:21">
      <c r="T16" t="s">
        <v>1062</v>
      </c>
      <c r="U16">
        <v>48</v>
      </c>
    </row>
    <row r="17" spans="20:21">
      <c r="T17" t="s">
        <v>1063</v>
      </c>
      <c r="U17">
        <v>10</v>
      </c>
    </row>
    <row r="18" spans="20:21">
      <c r="T18" t="s">
        <v>1064</v>
      </c>
      <c r="U18">
        <v>0</v>
      </c>
    </row>
    <row r="33" spans="20:21">
      <c r="T33">
        <v>2015</v>
      </c>
      <c r="U33" t="s">
        <v>1065</v>
      </c>
    </row>
    <row r="34" spans="20:21">
      <c r="T34" t="s">
        <v>1018</v>
      </c>
      <c r="U34">
        <v>0</v>
      </c>
    </row>
    <row r="35" spans="20:21">
      <c r="T35" t="s">
        <v>82</v>
      </c>
      <c r="U35" s="912">
        <v>541</v>
      </c>
    </row>
    <row r="36" spans="20:21">
      <c r="T36" t="s">
        <v>80</v>
      </c>
      <c r="U36" s="912">
        <v>2559</v>
      </c>
    </row>
    <row r="37" spans="20:21">
      <c r="T37" t="s">
        <v>81</v>
      </c>
      <c r="U37" s="912">
        <v>673</v>
      </c>
    </row>
    <row r="38" spans="20:21">
      <c r="T38" t="s">
        <v>1019</v>
      </c>
      <c r="U38">
        <v>0</v>
      </c>
    </row>
    <row r="39" spans="20:21">
      <c r="T39" t="s">
        <v>1057</v>
      </c>
      <c r="U39">
        <v>0</v>
      </c>
    </row>
    <row r="40" spans="20:21">
      <c r="T40" t="s">
        <v>1058</v>
      </c>
      <c r="U40">
        <v>0</v>
      </c>
    </row>
    <row r="41" spans="20:21">
      <c r="T41" t="s">
        <v>1059</v>
      </c>
      <c r="U41">
        <v>0</v>
      </c>
    </row>
    <row r="42" spans="20:21">
      <c r="T42" t="s">
        <v>946</v>
      </c>
      <c r="U42">
        <v>120</v>
      </c>
    </row>
    <row r="48" spans="20:21">
      <c r="T48">
        <v>2015</v>
      </c>
      <c r="U48" t="s">
        <v>1066</v>
      </c>
    </row>
    <row r="49" spans="20:21">
      <c r="T49" t="s">
        <v>1018</v>
      </c>
      <c r="U49">
        <v>0</v>
      </c>
    </row>
    <row r="50" spans="20:21">
      <c r="T50" t="s">
        <v>82</v>
      </c>
      <c r="U50">
        <v>683</v>
      </c>
    </row>
    <row r="51" spans="20:21">
      <c r="T51" t="s">
        <v>80</v>
      </c>
      <c r="U51">
        <v>4653</v>
      </c>
    </row>
    <row r="52" spans="20:21">
      <c r="T52" t="s">
        <v>81</v>
      </c>
      <c r="U52">
        <v>1246</v>
      </c>
    </row>
    <row r="53" spans="20:21">
      <c r="T53" t="s">
        <v>1019</v>
      </c>
      <c r="U53">
        <v>0</v>
      </c>
    </row>
    <row r="54" spans="20:21">
      <c r="T54" t="s">
        <v>1057</v>
      </c>
      <c r="U54">
        <v>0</v>
      </c>
    </row>
    <row r="55" spans="20:21">
      <c r="T55" t="s">
        <v>1058</v>
      </c>
      <c r="U55">
        <v>0</v>
      </c>
    </row>
    <row r="56" spans="20:21">
      <c r="T56" t="s">
        <v>1059</v>
      </c>
      <c r="U56" s="912">
        <v>12</v>
      </c>
    </row>
    <row r="57" spans="20:21">
      <c r="T57" t="s">
        <v>1061</v>
      </c>
      <c r="U57">
        <v>0</v>
      </c>
    </row>
    <row r="58" spans="20:21">
      <c r="T58" t="s">
        <v>1062</v>
      </c>
      <c r="U58">
        <v>100</v>
      </c>
    </row>
    <row r="59" spans="20:21">
      <c r="T59" t="s">
        <v>1063</v>
      </c>
      <c r="U59">
        <v>10</v>
      </c>
    </row>
    <row r="73" spans="20:21">
      <c r="T73">
        <v>2019</v>
      </c>
      <c r="U73" t="s">
        <v>720</v>
      </c>
    </row>
    <row r="74" spans="20:21">
      <c r="T74" t="s">
        <v>1018</v>
      </c>
      <c r="U74">
        <v>0</v>
      </c>
    </row>
    <row r="75" spans="20:21">
      <c r="T75" t="s">
        <v>82</v>
      </c>
      <c r="U75" s="912">
        <v>141</v>
      </c>
    </row>
    <row r="76" spans="20:21">
      <c r="T76" t="s">
        <v>80</v>
      </c>
      <c r="U76" s="912">
        <v>1685</v>
      </c>
    </row>
    <row r="77" spans="20:21">
      <c r="T77" t="s">
        <v>81</v>
      </c>
      <c r="U77" s="912">
        <v>521</v>
      </c>
    </row>
    <row r="78" spans="20:21">
      <c r="T78" t="s">
        <v>1019</v>
      </c>
      <c r="U78">
        <v>0</v>
      </c>
    </row>
    <row r="79" spans="20:21">
      <c r="T79" t="s">
        <v>1057</v>
      </c>
      <c r="U79">
        <v>0</v>
      </c>
    </row>
    <row r="80" spans="20:21">
      <c r="T80" t="s">
        <v>1058</v>
      </c>
      <c r="U80">
        <v>0</v>
      </c>
    </row>
    <row r="81" spans="20:21">
      <c r="T81" t="s">
        <v>1059</v>
      </c>
      <c r="U81" s="912">
        <v>9</v>
      </c>
    </row>
    <row r="82" spans="20:21">
      <c r="T82" t="s">
        <v>1060</v>
      </c>
      <c r="U82">
        <v>0</v>
      </c>
    </row>
    <row r="83" spans="20:21">
      <c r="T83" t="s">
        <v>1061</v>
      </c>
      <c r="U83">
        <v>0</v>
      </c>
    </row>
    <row r="84" spans="20:21">
      <c r="T84" t="s">
        <v>1062</v>
      </c>
      <c r="U84">
        <v>53</v>
      </c>
    </row>
    <row r="85" spans="20:21">
      <c r="T85" t="s">
        <v>1063</v>
      </c>
      <c r="U85">
        <v>9</v>
      </c>
    </row>
    <row r="86" spans="20:21">
      <c r="T86" t="s">
        <v>1064</v>
      </c>
      <c r="U86">
        <v>0</v>
      </c>
    </row>
    <row r="101" spans="20:21">
      <c r="T101">
        <v>2019</v>
      </c>
      <c r="U101" t="s">
        <v>1065</v>
      </c>
    </row>
    <row r="102" spans="20:21">
      <c r="T102" t="s">
        <v>1018</v>
      </c>
      <c r="U102">
        <v>0</v>
      </c>
    </row>
    <row r="103" spans="20:21">
      <c r="T103" t="s">
        <v>82</v>
      </c>
      <c r="U103" s="912">
        <v>596</v>
      </c>
    </row>
    <row r="104" spans="20:21">
      <c r="T104" t="s">
        <v>80</v>
      </c>
      <c r="U104" s="912">
        <v>2280</v>
      </c>
    </row>
    <row r="105" spans="20:21">
      <c r="T105" t="s">
        <v>81</v>
      </c>
      <c r="U105" s="912">
        <v>677</v>
      </c>
    </row>
    <row r="106" spans="20:21">
      <c r="T106" t="s">
        <v>1019</v>
      </c>
      <c r="U106">
        <v>0</v>
      </c>
    </row>
    <row r="107" spans="20:21">
      <c r="T107" t="s">
        <v>1057</v>
      </c>
      <c r="U107">
        <v>0</v>
      </c>
    </row>
    <row r="108" spans="20:21">
      <c r="T108" t="s">
        <v>1058</v>
      </c>
      <c r="U108">
        <v>0</v>
      </c>
    </row>
    <row r="109" spans="20:21">
      <c r="T109" t="s">
        <v>1059</v>
      </c>
      <c r="U109" s="912">
        <v>16</v>
      </c>
    </row>
    <row r="110" spans="20:21">
      <c r="T110" t="s">
        <v>946</v>
      </c>
      <c r="U110">
        <v>142</v>
      </c>
    </row>
    <row r="116" spans="20:21">
      <c r="T116">
        <v>2019</v>
      </c>
      <c r="U116" t="s">
        <v>1066</v>
      </c>
    </row>
    <row r="117" spans="20:21">
      <c r="T117" t="s">
        <v>1018</v>
      </c>
      <c r="U117">
        <v>0</v>
      </c>
    </row>
    <row r="118" spans="20:21">
      <c r="T118" t="s">
        <v>82</v>
      </c>
      <c r="U118">
        <v>752</v>
      </c>
    </row>
    <row r="119" spans="20:21">
      <c r="T119" t="s">
        <v>80</v>
      </c>
      <c r="U119">
        <v>3965</v>
      </c>
    </row>
    <row r="120" spans="20:21">
      <c r="T120" t="s">
        <v>81</v>
      </c>
      <c r="U120">
        <v>1198</v>
      </c>
    </row>
    <row r="121" spans="20:21">
      <c r="T121" t="s">
        <v>1019</v>
      </c>
      <c r="U121">
        <v>0</v>
      </c>
    </row>
    <row r="122" spans="20:21">
      <c r="T122" t="s">
        <v>1057</v>
      </c>
      <c r="U122">
        <v>0</v>
      </c>
    </row>
    <row r="123" spans="20:21">
      <c r="T123" t="s">
        <v>1058</v>
      </c>
      <c r="U123">
        <v>0</v>
      </c>
    </row>
    <row r="124" spans="20:21">
      <c r="T124" t="s">
        <v>1059</v>
      </c>
      <c r="U124" s="912">
        <v>25</v>
      </c>
    </row>
    <row r="125" spans="20:21">
      <c r="T125" t="s">
        <v>1061</v>
      </c>
      <c r="U125">
        <v>0</v>
      </c>
    </row>
    <row r="126" spans="20:21">
      <c r="T126" t="s">
        <v>1062</v>
      </c>
      <c r="U126">
        <v>110</v>
      </c>
    </row>
    <row r="127" spans="20:21">
      <c r="T127" t="s">
        <v>1063</v>
      </c>
      <c r="U127">
        <v>50</v>
      </c>
    </row>
    <row r="134" spans="20:21">
      <c r="T134">
        <v>2023</v>
      </c>
      <c r="U134" t="s">
        <v>720</v>
      </c>
    </row>
    <row r="135" spans="20:21">
      <c r="T135" t="s">
        <v>1018</v>
      </c>
      <c r="U135">
        <v>0</v>
      </c>
    </row>
    <row r="136" spans="20:21">
      <c r="T136" t="s">
        <v>82</v>
      </c>
      <c r="U136" s="912">
        <v>99</v>
      </c>
    </row>
    <row r="137" spans="20:21">
      <c r="T137" t="s">
        <v>80</v>
      </c>
      <c r="U137" s="912">
        <v>1865</v>
      </c>
    </row>
    <row r="138" spans="20:21">
      <c r="T138" t="s">
        <v>81</v>
      </c>
      <c r="U138" s="912">
        <v>598</v>
      </c>
    </row>
    <row r="139" spans="20:21">
      <c r="T139" t="s">
        <v>1019</v>
      </c>
      <c r="U139">
        <v>0</v>
      </c>
    </row>
    <row r="140" spans="20:21">
      <c r="T140" t="s">
        <v>1057</v>
      </c>
      <c r="U140">
        <v>0</v>
      </c>
    </row>
    <row r="141" spans="20:21">
      <c r="T141" t="s">
        <v>1058</v>
      </c>
      <c r="U141">
        <v>0</v>
      </c>
    </row>
    <row r="142" spans="20:21">
      <c r="T142" t="s">
        <v>1059</v>
      </c>
      <c r="U142" s="912">
        <v>11</v>
      </c>
    </row>
    <row r="143" spans="20:21">
      <c r="T143" t="s">
        <v>1060</v>
      </c>
      <c r="U143">
        <v>0</v>
      </c>
    </row>
    <row r="144" spans="20:21">
      <c r="T144" t="s">
        <v>1061</v>
      </c>
      <c r="U144">
        <v>0</v>
      </c>
    </row>
    <row r="145" spans="20:21">
      <c r="T145" t="s">
        <v>1062</v>
      </c>
      <c r="U145">
        <v>66</v>
      </c>
    </row>
    <row r="146" spans="20:21">
      <c r="T146" t="s">
        <v>1063</v>
      </c>
      <c r="U146">
        <v>10</v>
      </c>
    </row>
    <row r="147" spans="20:21">
      <c r="T147" t="s">
        <v>1064</v>
      </c>
      <c r="U147">
        <v>0</v>
      </c>
    </row>
    <row r="162" spans="20:21">
      <c r="T162">
        <v>2023</v>
      </c>
      <c r="U162" t="s">
        <v>1065</v>
      </c>
    </row>
    <row r="163" spans="20:21">
      <c r="T163" t="s">
        <v>1018</v>
      </c>
      <c r="U163">
        <v>0</v>
      </c>
    </row>
    <row r="164" spans="20:21">
      <c r="T164" t="s">
        <v>82</v>
      </c>
      <c r="U164" s="912">
        <v>420</v>
      </c>
    </row>
    <row r="165" spans="20:21">
      <c r="T165" t="s">
        <v>80</v>
      </c>
      <c r="U165" s="912">
        <v>2479</v>
      </c>
    </row>
    <row r="166" spans="20:21">
      <c r="T166" t="s">
        <v>81</v>
      </c>
      <c r="U166" s="912">
        <v>737</v>
      </c>
    </row>
    <row r="167" spans="20:21">
      <c r="T167" t="s">
        <v>1019</v>
      </c>
      <c r="U167">
        <v>0</v>
      </c>
    </row>
    <row r="168" spans="20:21">
      <c r="T168" t="s">
        <v>1057</v>
      </c>
      <c r="U168">
        <v>0</v>
      </c>
    </row>
    <row r="169" spans="20:21">
      <c r="T169" t="s">
        <v>1058</v>
      </c>
      <c r="U169">
        <v>0</v>
      </c>
    </row>
    <row r="170" spans="20:21">
      <c r="T170" t="s">
        <v>1059</v>
      </c>
      <c r="U170" s="912">
        <v>19</v>
      </c>
    </row>
    <row r="171" spans="20:21">
      <c r="T171" t="s">
        <v>946</v>
      </c>
      <c r="U171">
        <v>105</v>
      </c>
    </row>
    <row r="177" spans="20:21">
      <c r="T177">
        <v>2023</v>
      </c>
      <c r="U177" t="s">
        <v>1066</v>
      </c>
    </row>
    <row r="178" spans="20:21">
      <c r="T178" t="s">
        <v>1018</v>
      </c>
      <c r="U178">
        <v>0</v>
      </c>
    </row>
    <row r="179" spans="20:21">
      <c r="T179" t="s">
        <v>82</v>
      </c>
      <c r="U179" s="912">
        <v>530</v>
      </c>
    </row>
    <row r="180" spans="20:21">
      <c r="T180" t="s">
        <v>80</v>
      </c>
      <c r="U180" s="912">
        <v>4388</v>
      </c>
    </row>
    <row r="181" spans="20:21">
      <c r="T181" t="s">
        <v>81</v>
      </c>
      <c r="U181" s="912">
        <v>1391</v>
      </c>
    </row>
    <row r="182" spans="20:21">
      <c r="T182" t="s">
        <v>1019</v>
      </c>
      <c r="U182">
        <v>0</v>
      </c>
    </row>
    <row r="183" spans="20:21">
      <c r="T183" t="s">
        <v>1057</v>
      </c>
      <c r="U183">
        <v>0</v>
      </c>
    </row>
    <row r="184" spans="20:21">
      <c r="T184" t="s">
        <v>1058</v>
      </c>
      <c r="U184">
        <v>0</v>
      </c>
    </row>
    <row r="185" spans="20:21">
      <c r="T185" t="s">
        <v>1059</v>
      </c>
      <c r="U185" s="912">
        <v>31</v>
      </c>
    </row>
    <row r="186" spans="20:21">
      <c r="T186" t="s">
        <v>1061</v>
      </c>
      <c r="U186">
        <v>0</v>
      </c>
    </row>
    <row r="187" spans="20:21">
      <c r="T187" t="s">
        <v>1062</v>
      </c>
      <c r="U187">
        <v>140</v>
      </c>
    </row>
    <row r="188" spans="20:21">
      <c r="T188" t="s">
        <v>1063</v>
      </c>
      <c r="U188">
        <v>65</v>
      </c>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A98C9-8E20-4F3A-9F03-6E6097C093A9}">
  <sheetPr>
    <tabColor rgb="FF92D050"/>
  </sheetPr>
  <dimension ref="A1:U13"/>
  <sheetViews>
    <sheetView workbookViewId="0">
      <pane xSplit="3" ySplit="1" topLeftCell="D2" activePane="bottomRight" state="frozen"/>
      <selection activeCell="B15" sqref="B15"/>
      <selection pane="topRight" activeCell="B15" sqref="B15"/>
      <selection pane="bottomLeft" activeCell="B15" sqref="B15"/>
      <selection pane="bottomRight" activeCell="R3" sqref="R3:S13"/>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   '!A4+1</f>
        <v>43</v>
      </c>
      <c r="B2" t="str">
        <f>Produits!$B$14</f>
        <v>Tourteaux</v>
      </c>
      <c r="C2" t="str">
        <f>Secteurs!$B$23</f>
        <v>Alimentation animale rente</v>
      </c>
      <c r="D2" s="888">
        <f>'Usages tourteaux - ONRB'!C4</f>
        <v>0.66659999999999997</v>
      </c>
      <c r="G2" t="str">
        <f>Etiquettes!$C$3</f>
        <v>kt</v>
      </c>
      <c r="H2" s="21" t="s">
        <v>1168</v>
      </c>
      <c r="I2" s="913">
        <v>0</v>
      </c>
      <c r="J2" t="str">
        <f>Etiquettes!$C$4</f>
        <v>France entière</v>
      </c>
      <c r="P2" s="10"/>
      <c r="U2" s="1028" t="s">
        <v>1165</v>
      </c>
    </row>
    <row r="3" spans="1:21">
      <c r="A3" s="10">
        <f>'Contraintes   '!A5+1</f>
        <v>43</v>
      </c>
      <c r="B3" t="str">
        <f>Produits!$B$14</f>
        <v>Tourteaux</v>
      </c>
      <c r="C3" t="str">
        <f>Secteurs!$B$24</f>
        <v>FAB</v>
      </c>
      <c r="D3">
        <v>-1</v>
      </c>
      <c r="G3" t="str">
        <f>Etiquettes!$C$3</f>
        <v>kt</v>
      </c>
      <c r="H3" s="21" t="s">
        <v>1168</v>
      </c>
      <c r="I3" s="913">
        <v>0</v>
      </c>
      <c r="J3" t="str">
        <f>Etiquettes!$C$4</f>
        <v>France entière</v>
      </c>
      <c r="K3" s="31" t="s">
        <v>1167</v>
      </c>
      <c r="M3" s="21" t="s">
        <v>1166</v>
      </c>
      <c r="N3" s="101" t="s">
        <v>1492</v>
      </c>
      <c r="O3" t="str">
        <f>Etiquettes!$J$11</f>
        <v>Répartition</v>
      </c>
      <c r="P3" t="str">
        <f>_xlfn.CONCAT(K3," = ",MROUND(D2*100,0.01)," % (",M3,")")</f>
        <v>Part de tourteaux consommés par les FAB = 66,66 % (ONRB - FranceAgriMer)</v>
      </c>
      <c r="Q3" t="str">
        <f>Etiquettes!$K$15</f>
        <v>Approximative</v>
      </c>
      <c r="R3" s="976"/>
      <c r="S3" s="976"/>
      <c r="U3" s="1027"/>
    </row>
    <row r="4" spans="1:21">
      <c r="A4" s="10">
        <f>A2+1</f>
        <v>44</v>
      </c>
      <c r="B4" t="str">
        <f>Produits!$B$14</f>
        <v>Tourteaux</v>
      </c>
      <c r="C4" t="str">
        <f>Secteurs!$B$23</f>
        <v>Alimentation animale rente</v>
      </c>
      <c r="D4" s="888">
        <f>'Usages tourteaux - ONRB'!C5</f>
        <v>0.75</v>
      </c>
      <c r="G4" t="str">
        <f>Etiquettes!$C$3</f>
        <v>kt</v>
      </c>
      <c r="H4" s="21" t="str">
        <f>Etiquettes!$H$6</f>
        <v>Colza</v>
      </c>
      <c r="I4" s="913">
        <v>0</v>
      </c>
      <c r="J4" t="str">
        <f>Etiquettes!$C$4</f>
        <v>France entière</v>
      </c>
      <c r="K4" s="31"/>
      <c r="M4" s="31"/>
      <c r="P4" s="10"/>
      <c r="U4" s="1027"/>
    </row>
    <row r="5" spans="1:21">
      <c r="A5" s="10">
        <f t="shared" ref="A5:A13" si="0">A3+1</f>
        <v>44</v>
      </c>
      <c r="B5" t="str">
        <f>Produits!$B$14</f>
        <v>Tourteaux</v>
      </c>
      <c r="C5" t="str">
        <f>Secteurs!$B$24</f>
        <v>FAB</v>
      </c>
      <c r="D5">
        <v>-1</v>
      </c>
      <c r="G5" t="str">
        <f>Etiquettes!$C$3</f>
        <v>kt</v>
      </c>
      <c r="H5" s="21" t="str">
        <f>Etiquettes!$H$6</f>
        <v>Colza</v>
      </c>
      <c r="I5" s="913">
        <v>0</v>
      </c>
      <c r="J5" t="str">
        <f>Etiquettes!$C$4</f>
        <v>France entière</v>
      </c>
      <c r="K5" s="31" t="s">
        <v>1167</v>
      </c>
      <c r="M5" s="21" t="s">
        <v>1166</v>
      </c>
      <c r="N5" s="101" t="s">
        <v>1492</v>
      </c>
      <c r="O5" t="str">
        <f>Etiquettes!$J$11</f>
        <v>Répartition</v>
      </c>
      <c r="P5" t="str">
        <f>_xlfn.CONCAT(K5," = ",MROUND(D4*100,0.01)," % (",M5,")")</f>
        <v>Part de tourteaux consommés par les FAB = 75 % (ONRB - FranceAgriMer)</v>
      </c>
      <c r="Q5" t="str">
        <f>Etiquettes!$K$15</f>
        <v>Approximative</v>
      </c>
      <c r="R5" s="976"/>
      <c r="S5" s="976"/>
      <c r="U5" s="1027"/>
    </row>
    <row r="6" spans="1:21">
      <c r="A6" s="10">
        <f t="shared" si="0"/>
        <v>45</v>
      </c>
      <c r="B6" t="str">
        <f>Produits!$B$14</f>
        <v>Tourteaux</v>
      </c>
      <c r="C6" t="str">
        <f>Secteurs!$B$23</f>
        <v>Alimentation animale rente</v>
      </c>
      <c r="D6" s="888">
        <f>'Usages tourteaux - ONRB'!C4</f>
        <v>0.66659999999999997</v>
      </c>
      <c r="G6" t="str">
        <f>Etiquettes!$C$3</f>
        <v>kt</v>
      </c>
      <c r="H6" s="21" t="str">
        <f>Etiquettes!$K$6</f>
        <v>Lin</v>
      </c>
      <c r="I6" s="913">
        <v>0</v>
      </c>
      <c r="J6" t="str">
        <f>Etiquettes!$C$4</f>
        <v>France entière</v>
      </c>
      <c r="K6" s="31"/>
      <c r="P6" s="10"/>
      <c r="U6" s="1027"/>
    </row>
    <row r="7" spans="1:21">
      <c r="A7" s="10">
        <f t="shared" si="0"/>
        <v>45</v>
      </c>
      <c r="B7" t="str">
        <f>Produits!$B$14</f>
        <v>Tourteaux</v>
      </c>
      <c r="C7" t="str">
        <f>Secteurs!$B$24</f>
        <v>FAB</v>
      </c>
      <c r="D7">
        <v>-1</v>
      </c>
      <c r="G7" t="str">
        <f>Etiquettes!$C$3</f>
        <v>kt</v>
      </c>
      <c r="H7" s="21" t="str">
        <f>Etiquettes!$K$6</f>
        <v>Lin</v>
      </c>
      <c r="I7" s="913">
        <v>0</v>
      </c>
      <c r="J7" t="str">
        <f>Etiquettes!$C$4</f>
        <v>France entière</v>
      </c>
      <c r="K7" s="31" t="s">
        <v>1167</v>
      </c>
      <c r="L7" s="31" t="s">
        <v>1169</v>
      </c>
      <c r="M7" s="21" t="s">
        <v>1166</v>
      </c>
      <c r="N7" s="101" t="s">
        <v>1492</v>
      </c>
      <c r="O7" t="str">
        <f>Etiquettes!$J$11</f>
        <v>Répartition</v>
      </c>
      <c r="P7" t="str">
        <f>_xlfn.CONCAT(K7," = ",MROUND(D6*100,0.01)," % (",M7,")")</f>
        <v>Part de tourteaux consommés par les FAB = 66,66 % (ONRB - FranceAgriMer)</v>
      </c>
      <c r="Q7" t="str">
        <f>Etiquettes!$K$15</f>
        <v>Approximative</v>
      </c>
      <c r="R7" s="976"/>
      <c r="S7" s="976"/>
      <c r="U7" s="1027"/>
    </row>
    <row r="8" spans="1:21">
      <c r="A8" s="10">
        <f t="shared" si="0"/>
        <v>46</v>
      </c>
      <c r="B8" t="str">
        <f>Produits!$B$14</f>
        <v>Tourteaux</v>
      </c>
      <c r="C8" t="str">
        <f>Secteurs!$B$23</f>
        <v>Alimentation animale rente</v>
      </c>
      <c r="D8" s="888">
        <f>'Usages tourteaux - ONRB'!D4</f>
        <v>0.33339999999999997</v>
      </c>
      <c r="G8" t="str">
        <f>Etiquettes!$C$3</f>
        <v>kt</v>
      </c>
      <c r="H8" s="21" t="s">
        <v>1168</v>
      </c>
      <c r="I8" s="913">
        <v>0</v>
      </c>
      <c r="J8" t="str">
        <f>Etiquettes!$C$4</f>
        <v>France entière</v>
      </c>
      <c r="P8" s="10"/>
      <c r="U8" s="1027"/>
    </row>
    <row r="9" spans="1:21">
      <c r="A9" s="10">
        <f t="shared" si="0"/>
        <v>46</v>
      </c>
      <c r="B9" t="str">
        <f>Produits!$B$14</f>
        <v>Tourteaux</v>
      </c>
      <c r="C9" t="str">
        <f>Secteurs!$B$26</f>
        <v>FAF</v>
      </c>
      <c r="D9">
        <v>-1</v>
      </c>
      <c r="G9" t="str">
        <f>Etiquettes!$C$3</f>
        <v>kt</v>
      </c>
      <c r="H9" s="21" t="s">
        <v>1168</v>
      </c>
      <c r="I9" s="913">
        <v>0</v>
      </c>
      <c r="J9" t="str">
        <f>Etiquettes!$C$4</f>
        <v>France entière</v>
      </c>
      <c r="K9" s="31" t="s">
        <v>1167</v>
      </c>
      <c r="M9" s="21" t="s">
        <v>1166</v>
      </c>
      <c r="N9" s="101" t="s">
        <v>1492</v>
      </c>
      <c r="O9" t="str">
        <f>Etiquettes!$J$11</f>
        <v>Répartition</v>
      </c>
      <c r="P9" t="str">
        <f>_xlfn.CONCAT(K9," = ",MROUND(D8*100,0.01)," % (",M9,")")</f>
        <v>Part de tourteaux consommés par les FAB = 33,34 % (ONRB - FranceAgriMer)</v>
      </c>
      <c r="Q9" t="str">
        <f>Etiquettes!$K$15</f>
        <v>Approximative</v>
      </c>
      <c r="R9" s="976"/>
      <c r="S9" s="976"/>
      <c r="U9" s="1027"/>
    </row>
    <row r="10" spans="1:21">
      <c r="A10" s="10">
        <f t="shared" si="0"/>
        <v>47</v>
      </c>
      <c r="B10" t="str">
        <f>Produits!$B$14</f>
        <v>Tourteaux</v>
      </c>
      <c r="C10" t="str">
        <f>Secteurs!$B$23</f>
        <v>Alimentation animale rente</v>
      </c>
      <c r="D10" s="888">
        <f>'Usages tourteaux - ONRB'!D5</f>
        <v>0.25</v>
      </c>
      <c r="G10" t="str">
        <f>Etiquettes!$C$3</f>
        <v>kt</v>
      </c>
      <c r="H10" s="21" t="str">
        <f>Etiquettes!$H$6</f>
        <v>Colza</v>
      </c>
      <c r="I10" s="913">
        <v>0</v>
      </c>
      <c r="J10" t="str">
        <f>Etiquettes!$C$4</f>
        <v>France entière</v>
      </c>
      <c r="K10" s="31"/>
      <c r="M10" s="31"/>
      <c r="P10" s="10"/>
      <c r="U10" s="1027"/>
    </row>
    <row r="11" spans="1:21">
      <c r="A11" s="10">
        <f t="shared" si="0"/>
        <v>47</v>
      </c>
      <c r="B11" t="str">
        <f>Produits!$B$14</f>
        <v>Tourteaux</v>
      </c>
      <c r="C11" t="str">
        <f>Secteurs!$B$26</f>
        <v>FAF</v>
      </c>
      <c r="D11">
        <v>-1</v>
      </c>
      <c r="G11" t="str">
        <f>Etiquettes!$C$3</f>
        <v>kt</v>
      </c>
      <c r="H11" s="21" t="str">
        <f>Etiquettes!$H$6</f>
        <v>Colza</v>
      </c>
      <c r="I11" s="913">
        <v>0</v>
      </c>
      <c r="J11" t="str">
        <f>Etiquettes!$C$4</f>
        <v>France entière</v>
      </c>
      <c r="K11" s="31" t="s">
        <v>1167</v>
      </c>
      <c r="M11" s="21" t="s">
        <v>1166</v>
      </c>
      <c r="N11" s="101" t="s">
        <v>1492</v>
      </c>
      <c r="O11" t="str">
        <f>Etiquettes!$J$11</f>
        <v>Répartition</v>
      </c>
      <c r="P11" t="str">
        <f>_xlfn.CONCAT(K11," = ",MROUND(D10*100,0.01)," % (",M11,")")</f>
        <v>Part de tourteaux consommés par les FAB = 25 % (ONRB - FranceAgriMer)</v>
      </c>
      <c r="Q11" t="str">
        <f>Etiquettes!$K$15</f>
        <v>Approximative</v>
      </c>
      <c r="R11" s="976"/>
      <c r="S11" s="976"/>
      <c r="U11" s="1027"/>
    </row>
    <row r="12" spans="1:21">
      <c r="A12" s="10">
        <f t="shared" si="0"/>
        <v>48</v>
      </c>
      <c r="B12" t="str">
        <f>Produits!$B$14</f>
        <v>Tourteaux</v>
      </c>
      <c r="C12" t="str">
        <f>Secteurs!$B$23</f>
        <v>Alimentation animale rente</v>
      </c>
      <c r="D12" s="888">
        <f>'Usages tourteaux - ONRB'!D4</f>
        <v>0.33339999999999997</v>
      </c>
      <c r="G12" t="str">
        <f>Etiquettes!$C$3</f>
        <v>kt</v>
      </c>
      <c r="H12" s="21" t="str">
        <f>Etiquettes!$K$6</f>
        <v>Lin</v>
      </c>
      <c r="I12" s="913">
        <v>0</v>
      </c>
      <c r="J12" t="str">
        <f>Etiquettes!$C$4</f>
        <v>France entière</v>
      </c>
      <c r="K12" s="31"/>
      <c r="P12" s="10"/>
      <c r="U12" s="1027"/>
    </row>
    <row r="13" spans="1:21">
      <c r="A13" s="10">
        <f t="shared" si="0"/>
        <v>48</v>
      </c>
      <c r="B13" t="str">
        <f>Produits!$B$14</f>
        <v>Tourteaux</v>
      </c>
      <c r="C13" t="str">
        <f>Secteurs!$B$26</f>
        <v>FAF</v>
      </c>
      <c r="D13">
        <v>-1</v>
      </c>
      <c r="G13" t="str">
        <f>Etiquettes!$C$3</f>
        <v>kt</v>
      </c>
      <c r="H13" s="21" t="str">
        <f>Etiquettes!$K$6</f>
        <v>Lin</v>
      </c>
      <c r="I13" s="913">
        <v>0</v>
      </c>
      <c r="J13" t="str">
        <f>Etiquettes!$C$4</f>
        <v>France entière</v>
      </c>
      <c r="K13" s="31" t="s">
        <v>1167</v>
      </c>
      <c r="L13" s="31" t="s">
        <v>1169</v>
      </c>
      <c r="M13" s="21" t="s">
        <v>1166</v>
      </c>
      <c r="N13" s="101" t="s">
        <v>1492</v>
      </c>
      <c r="O13" t="str">
        <f>Etiquettes!$J$11</f>
        <v>Répartition</v>
      </c>
      <c r="P13" t="str">
        <f>_xlfn.CONCAT(K13," = ",MROUND(D12*100,0.01)," % (",M13,")")</f>
        <v>Part de tourteaux consommés par les FAB = 33,34 % (ONRB - FranceAgriMer)</v>
      </c>
      <c r="Q13" t="str">
        <f>Etiquettes!$K$15</f>
        <v>Approximative</v>
      </c>
      <c r="R13" s="976"/>
      <c r="S13" s="976"/>
      <c r="U13" s="1027"/>
    </row>
  </sheetData>
  <mergeCells count="1">
    <mergeCell ref="U2:U13"/>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CAFF6-637C-4080-A504-4D2C79180DBB}">
  <sheetPr>
    <tabColor theme="1"/>
  </sheetPr>
  <dimension ref="A1:Q52"/>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7">_xlfn._xlws.FILTER('Contraintes    '!G1:S200,ISTEXT('Contraintes    '!O1:O200))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7">_xlfn._xlws.FILTER('Contraintes    '!B2:C200,ISTEXT('Contraintes    '!O2:O200))</f>
        <v>Tourteaux</v>
      </c>
      <c r="B2" t="str">
        <v>FAB</v>
      </c>
      <c r="E2" t="str">
        <v>kt</v>
      </c>
      <c r="F2" t="str">
        <v>Tournesol:Soja</v>
      </c>
      <c r="G2">
        <v>0</v>
      </c>
      <c r="H2" t="str">
        <v>France entière</v>
      </c>
      <c r="I2" t="str">
        <v>Part de tourteaux consommés par les FAB</v>
      </c>
      <c r="J2">
        <v>0</v>
      </c>
      <c r="K2" t="str">
        <v>ONRB - FranceAgriMer</v>
      </c>
      <c r="L2" t="str">
        <v>Usages tourteaux - ONRB</v>
      </c>
      <c r="M2" t="str">
        <v>Répartition</v>
      </c>
      <c r="N2" t="str">
        <v>Part de tourteaux consommés par les FAB = 66,66 % (ONRB - FranceAgriMer)</v>
      </c>
      <c r="O2" t="str">
        <v>Approximative</v>
      </c>
      <c r="P2">
        <v>0</v>
      </c>
      <c r="Q2">
        <v>0</v>
      </c>
    </row>
    <row r="3" spans="1:17">
      <c r="A3" t="str">
        <v>Tourteaux</v>
      </c>
      <c r="B3" t="str">
        <v>FAB</v>
      </c>
      <c r="E3" t="str">
        <v>kt</v>
      </c>
      <c r="F3" t="str">
        <v>Colza</v>
      </c>
      <c r="G3">
        <v>0</v>
      </c>
      <c r="H3" t="str">
        <v>France entière</v>
      </c>
      <c r="I3" t="str">
        <v>Part de tourteaux consommés par les FAB</v>
      </c>
      <c r="J3">
        <v>0</v>
      </c>
      <c r="K3" t="str">
        <v>ONRB - FranceAgriMer</v>
      </c>
      <c r="L3" t="str">
        <v>Usages tourteaux - ONRB</v>
      </c>
      <c r="M3" t="str">
        <v>Répartition</v>
      </c>
      <c r="N3" t="str">
        <v>Part de tourteaux consommés par les FAB = 75 % (ONRB - FranceAgriMer)</v>
      </c>
      <c r="O3" t="str">
        <v>Approximative</v>
      </c>
      <c r="P3">
        <v>0</v>
      </c>
      <c r="Q3">
        <v>0</v>
      </c>
    </row>
    <row r="4" spans="1:17">
      <c r="A4" t="str">
        <v>Tourteaux</v>
      </c>
      <c r="B4" t="str">
        <v>FAB</v>
      </c>
      <c r="E4" t="str">
        <v>kt</v>
      </c>
      <c r="F4" t="str">
        <v>Lin</v>
      </c>
      <c r="G4">
        <v>0</v>
      </c>
      <c r="H4" t="str">
        <v>France entière</v>
      </c>
      <c r="I4" t="str">
        <v>Part de tourteaux consommés par les FAB</v>
      </c>
      <c r="J4" t="str">
        <v>Mêmes usages que les tourteaux de tournesol et de soja</v>
      </c>
      <c r="K4" t="str">
        <v>ONRB - FranceAgriMer</v>
      </c>
      <c r="L4" t="str">
        <v>Usages tourteaux - ONRB</v>
      </c>
      <c r="M4" t="str">
        <v>Répartition</v>
      </c>
      <c r="N4" t="str">
        <v>Part de tourteaux consommés par les FAB = 66,66 % (ONRB - FranceAgriMer)</v>
      </c>
      <c r="O4" t="str">
        <v>Approximative</v>
      </c>
      <c r="P4">
        <v>0</v>
      </c>
      <c r="Q4">
        <v>0</v>
      </c>
    </row>
    <row r="5" spans="1:17">
      <c r="A5" t="str">
        <v>Tourteaux</v>
      </c>
      <c r="B5" t="str">
        <v>FAF</v>
      </c>
      <c r="E5" t="str">
        <v>kt</v>
      </c>
      <c r="F5" t="str">
        <v>Tournesol:Soja</v>
      </c>
      <c r="G5">
        <v>0</v>
      </c>
      <c r="H5" t="str">
        <v>France entière</v>
      </c>
      <c r="I5" t="str">
        <v>Part de tourteaux consommés par les FAB</v>
      </c>
      <c r="J5">
        <v>0</v>
      </c>
      <c r="K5" t="str">
        <v>ONRB - FranceAgriMer</v>
      </c>
      <c r="L5" t="str">
        <v>Usages tourteaux - ONRB</v>
      </c>
      <c r="M5" t="str">
        <v>Répartition</v>
      </c>
      <c r="N5" t="str">
        <v>Part de tourteaux consommés par les FAB = 33,34 % (ONRB - FranceAgriMer)</v>
      </c>
      <c r="O5" t="str">
        <v>Approximative</v>
      </c>
      <c r="P5">
        <v>0</v>
      </c>
      <c r="Q5">
        <v>0</v>
      </c>
    </row>
    <row r="6" spans="1:17">
      <c r="A6" t="str">
        <v>Tourteaux</v>
      </c>
      <c r="B6" t="str">
        <v>FAF</v>
      </c>
      <c r="E6" t="str">
        <v>kt</v>
      </c>
      <c r="F6" t="str">
        <v>Colza</v>
      </c>
      <c r="G6">
        <v>0</v>
      </c>
      <c r="H6" t="str">
        <v>France entière</v>
      </c>
      <c r="I6" t="str">
        <v>Part de tourteaux consommés par les FAB</v>
      </c>
      <c r="J6">
        <v>0</v>
      </c>
      <c r="K6" t="str">
        <v>ONRB - FranceAgriMer</v>
      </c>
      <c r="L6" t="str">
        <v>Usages tourteaux - ONRB</v>
      </c>
      <c r="M6" t="str">
        <v>Répartition</v>
      </c>
      <c r="N6" t="str">
        <v>Part de tourteaux consommés par les FAB = 25 % (ONRB - FranceAgriMer)</v>
      </c>
      <c r="O6" t="str">
        <v>Approximative</v>
      </c>
      <c r="P6">
        <v>0</v>
      </c>
      <c r="Q6">
        <v>0</v>
      </c>
    </row>
    <row r="7" spans="1:17">
      <c r="A7" t="str">
        <v>Tourteaux</v>
      </c>
      <c r="B7" t="str">
        <v>FAF</v>
      </c>
      <c r="E7" t="str">
        <v>kt</v>
      </c>
      <c r="F7" t="str">
        <v>Lin</v>
      </c>
      <c r="G7">
        <v>0</v>
      </c>
      <c r="H7" t="str">
        <v>France entière</v>
      </c>
      <c r="I7" t="str">
        <v>Part de tourteaux consommés par les FAB</v>
      </c>
      <c r="J7" t="str">
        <v>Mêmes usages que les tourteaux de tournesol et de soja</v>
      </c>
      <c r="K7" t="str">
        <v>ONRB - FranceAgriMer</v>
      </c>
      <c r="L7" t="str">
        <v>Usages tourteaux - ONRB</v>
      </c>
      <c r="M7" t="str">
        <v>Répartition</v>
      </c>
      <c r="N7" t="str">
        <v>Part de tourteaux consommés par les FAB = 33,34 % (ONRB - FranceAgriMer)</v>
      </c>
      <c r="O7" t="str">
        <v>Approximative</v>
      </c>
      <c r="P7">
        <v>0</v>
      </c>
      <c r="Q7">
        <v>0</v>
      </c>
    </row>
    <row r="8" spans="1:17">
      <c r="I8"/>
      <c r="J8"/>
      <c r="K8"/>
      <c r="L8"/>
      <c r="M8"/>
    </row>
    <row r="9" spans="1:17">
      <c r="I9"/>
      <c r="J9"/>
      <c r="K9"/>
      <c r="L9"/>
      <c r="M9"/>
    </row>
    <row r="10" spans="1:17">
      <c r="I10"/>
      <c r="J10"/>
      <c r="K10"/>
      <c r="L10"/>
      <c r="M10"/>
    </row>
    <row r="11" spans="1:17">
      <c r="I11"/>
      <c r="J11"/>
      <c r="K11"/>
      <c r="L11"/>
      <c r="M11"/>
    </row>
    <row r="12" spans="1:17">
      <c r="I12"/>
      <c r="J12"/>
      <c r="K12"/>
      <c r="L12"/>
      <c r="M12"/>
    </row>
    <row r="13" spans="1:17">
      <c r="I13"/>
      <c r="J13"/>
      <c r="K13"/>
      <c r="L13"/>
      <c r="M13"/>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A6107-F7BA-44CE-B9B4-0A0A17EAB838}">
  <sheetPr>
    <tabColor rgb="FFFFC000"/>
  </sheetPr>
  <dimension ref="B3:D7"/>
  <sheetViews>
    <sheetView workbookViewId="0"/>
  </sheetViews>
  <sheetFormatPr baseColWidth="10" defaultRowHeight="14.4"/>
  <cols>
    <col min="2" max="2" width="16" bestFit="1" customWidth="1"/>
    <col min="3" max="4" width="25.44140625" customWidth="1"/>
  </cols>
  <sheetData>
    <row r="3" spans="2:4" ht="76.8" customHeight="1">
      <c r="C3" s="923" t="s">
        <v>1161</v>
      </c>
      <c r="D3" s="922" t="s">
        <v>1163</v>
      </c>
    </row>
    <row r="4" spans="2:4">
      <c r="B4" t="s">
        <v>1164</v>
      </c>
      <c r="C4" s="924">
        <v>0.66659999999999997</v>
      </c>
      <c r="D4" s="925">
        <v>0.33339999999999997</v>
      </c>
    </row>
    <row r="5" spans="2:4">
      <c r="B5" t="s">
        <v>80</v>
      </c>
      <c r="C5" s="926">
        <v>0.75</v>
      </c>
      <c r="D5" s="926">
        <v>0.25</v>
      </c>
    </row>
    <row r="7" spans="2:4">
      <c r="C7" s="1071" t="s">
        <v>1162</v>
      </c>
      <c r="D7" s="1071"/>
    </row>
  </sheetData>
  <mergeCells count="1">
    <mergeCell ref="C7: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9EEC-3FC9-412A-9859-6E1EA9967F0E}">
  <sheetPr>
    <tabColor rgb="FFFF0000"/>
  </sheetPr>
  <dimension ref="A1:CJ17"/>
  <sheetViews>
    <sheetView workbookViewId="0">
      <pane xSplit="3" ySplit="1" topLeftCell="H2" activePane="bottomRight" state="frozen"/>
      <selection pane="topRight" activeCell="D1" sqref="D1"/>
      <selection pane="bottomLeft" activeCell="A2" sqref="A2"/>
      <selection pane="bottomRight" activeCell="L20" sqref="L20"/>
    </sheetView>
  </sheetViews>
  <sheetFormatPr baseColWidth="10" defaultColWidth="9.109375" defaultRowHeight="14.4"/>
  <cols>
    <col min="1" max="1" width="53.6640625" bestFit="1" customWidth="1"/>
    <col min="2" max="2" width="18.44140625" bestFit="1" customWidth="1"/>
    <col min="3" max="3" width="29.33203125" customWidth="1"/>
    <col min="4" max="4" width="8" bestFit="1" customWidth="1"/>
    <col min="5" max="5" width="9" bestFit="1" customWidth="1"/>
    <col min="6" max="6" width="9.33203125" bestFit="1" customWidth="1"/>
    <col min="7" max="7" width="25.21875" customWidth="1"/>
  </cols>
  <sheetData>
    <row r="1" spans="1:88" ht="38.4" thickBot="1">
      <c r="A1" s="23" t="s">
        <v>24</v>
      </c>
      <c r="B1" s="24" t="s">
        <v>25</v>
      </c>
      <c r="C1" s="24" t="s">
        <v>26</v>
      </c>
      <c r="D1" s="24" t="s">
        <v>27</v>
      </c>
      <c r="E1" s="24" t="s">
        <v>28</v>
      </c>
      <c r="F1" s="25" t="s">
        <v>29</v>
      </c>
      <c r="G1" s="24" t="s">
        <v>30</v>
      </c>
    </row>
    <row r="2" spans="1:88">
      <c r="A2" t="s">
        <v>32</v>
      </c>
      <c r="B2" s="26" t="s">
        <v>31</v>
      </c>
      <c r="C2" s="11" t="s">
        <v>1454</v>
      </c>
      <c r="F2" t="s">
        <v>1455</v>
      </c>
      <c r="G2" s="12" t="s">
        <v>1456</v>
      </c>
      <c r="H2" s="967" t="s">
        <v>695</v>
      </c>
      <c r="I2" s="968" t="s">
        <v>696</v>
      </c>
      <c r="J2" s="969" t="s">
        <v>697</v>
      </c>
      <c r="K2" s="970" t="s">
        <v>1457</v>
      </c>
      <c r="L2" s="37" t="s">
        <v>1458</v>
      </c>
    </row>
    <row r="3" spans="1:88">
      <c r="A3" t="s">
        <v>15</v>
      </c>
      <c r="B3" s="27" t="s">
        <v>33</v>
      </c>
      <c r="C3" t="s">
        <v>18</v>
      </c>
      <c r="G3" s="12"/>
    </row>
    <row r="4" spans="1:88">
      <c r="A4" t="s">
        <v>159</v>
      </c>
      <c r="B4" s="27" t="s">
        <v>33</v>
      </c>
      <c r="C4" s="937" t="s">
        <v>1510</v>
      </c>
      <c r="G4" s="12" t="s">
        <v>1674</v>
      </c>
    </row>
    <row r="5" spans="1:88">
      <c r="A5" s="11" t="s">
        <v>1302</v>
      </c>
      <c r="B5" s="27" t="s">
        <v>33</v>
      </c>
      <c r="C5" s="11" t="str">
        <f>_xlfn.TEXTJOIN(":",TRUE,H5:M5)</f>
        <v>2015-16:2019-20:2023-24</v>
      </c>
      <c r="F5" t="s">
        <v>1170</v>
      </c>
      <c r="G5" s="12" t="s">
        <v>34</v>
      </c>
      <c r="H5" t="s">
        <v>698</v>
      </c>
      <c r="I5" t="s">
        <v>699</v>
      </c>
      <c r="J5" t="s">
        <v>700</v>
      </c>
    </row>
    <row r="6" spans="1:88">
      <c r="A6" s="11" t="s">
        <v>1046</v>
      </c>
      <c r="B6" s="27" t="s">
        <v>33</v>
      </c>
      <c r="C6" s="11" t="str">
        <f>_xlfn.TEXTJOIN(":",TRUE,H6:S6)</f>
        <v>Colza:Tournesol:Soja:Lin:Pois:Féverole:Lupin:Lentille:Pois chiche:Haricot sec:Olive</v>
      </c>
      <c r="F6" t="s">
        <v>1045</v>
      </c>
      <c r="G6" s="947" t="s">
        <v>1352</v>
      </c>
      <c r="H6" s="84" t="s">
        <v>80</v>
      </c>
      <c r="I6" s="37" t="s">
        <v>81</v>
      </c>
      <c r="J6" s="82" t="s">
        <v>82</v>
      </c>
      <c r="K6" s="81" t="s">
        <v>83</v>
      </c>
      <c r="L6" s="87" t="s">
        <v>87</v>
      </c>
      <c r="M6" s="83" t="s">
        <v>84</v>
      </c>
      <c r="N6" s="33" t="s">
        <v>89</v>
      </c>
      <c r="O6" s="36" t="s">
        <v>1044</v>
      </c>
      <c r="P6" s="910" t="s">
        <v>127</v>
      </c>
      <c r="Q6" s="85" t="s">
        <v>1043</v>
      </c>
      <c r="R6" s="86" t="s">
        <v>1012</v>
      </c>
      <c r="U6" t="s">
        <v>1292</v>
      </c>
    </row>
    <row r="7" spans="1:88">
      <c r="A7" t="s">
        <v>690</v>
      </c>
      <c r="B7" s="34" t="s">
        <v>35</v>
      </c>
      <c r="C7" s="937" t="str">
        <f t="shared" ref="C7:C13" ca="1" si="0">_xlfn.TEXTJOIN(":",TRUE,H7:CS7)</f>
        <v>Récolte = 5334 kt (Bilans par campagne - FranceAgriMer):Autoconsommation à la ferme = 128 kt (Bilans par campagne - FranceAgriMer):Collecte = 5206 kt (Bilans par campagne - FranceAgriMer):Stock initial collecteurs = 61 kt (Bilans par campagne - FranceAgriMer):Stock final collecteurs = 115 kt (Bilans par campagne - FranceAgriMer):Consommation de graines par la Trituration = 4780 kt (Bilans par campagne - FranceAgriMer):Consommation de graines par les FAB = 56 kt (Bilans par campagne - FranceAgriMer):Production de semences certifiées = 10 kt (Bilans par campagne - FranceAgriMer):Récolte = 3523 kt (Bilans par campagne - FranceAgriMer):Autoconsommation à la ferme = 54 kt (Bilans par campagne - FranceAgriMer):Collecte = 3469 kt (Bilans par campagne - FranceAgriMer):Stock initial collecteurs = 191 kt (Bilans par campagne - FranceAgriMer):Stock final collecteurs = 146 kt (Bilans par campagne - FranceAgriMer):Consommation de graines par la Trituration = 3894 kt (Bilans par campagne - FranceAgriMer):Consommation de graines par les FAB = 21 kt (Bilans par campagne - FranceAgriMer):Production de semences certifiées = 5 kt (Bilans par campagne - FranceAgriMer):Récolte = 4277 kt (Bilans par campagne - FranceAgriMer):Autoconsommation à la ferme = 84 kt (Bilans par campagne - FranceAgriMer):Collecte = 4193 kt (Bilans par campagne - FranceAgriMer):Stock initial collecteurs = 173 kt (Bilans par campagne - FranceAgriMer):Stock final collecteurs = 225 kt (Bilans par campagne - FranceAgriMer):Consommation de graines par la Trituration = 4207 kt (Bilans par campagne - FranceAgriMer):Consommation de graines par les FAB = 19 kt (Bilans par campagne - FranceAgriMer):Récolte = 1187 kt (Bilans par campagne - FranceAgriMer):Autoconsommation à la ferme = 63 kt (Bilans par campagne - FranceAgriMer):Collecte = 1124 kt (Bilans par campagne - FranceAgriMer):Stock initial collecteurs = 79 kt (Bilans par campagne - FranceAgriMer):Stock final collecteurs = 82 kt (Bilans par campagne - FranceAgriMer):Consommation de graines par la Trituration = 1080 kt (Bilans par campagne - FranceAgriMer):Consommation de graines par les FAB = 7 kt (Bilans par campagne - FranceAgriMer):Consommation de graines en alimentation humaine = 10 kt (Bilans par campagne - FranceAgriMer):Production de semences certifiées = 10 kt (Bilans par campagne - FranceAgriMer):Récolte = 1298 kt (Bilans par campagne - FranceAgriMer):Autoconsommation à la ferme = 123 kt (Bilans par campagne - FranceAgriMer):Collecte = 1175 kt (Bilans par campagne - FranceAgriMer):Stock initial collecteurs = 80 kt (Bilans par campagne - FranceAgriMer):Stock final collecteurs = 118 kt (Bilans par campagne - FranceAgriMer):Consommation de graines par la Trituration = 914 kt (Bilans par campagne - FranceAgriMer):Consommation de graines par les FAB = 12 kt (Bilans par campagne - FranceAgriMer):Production de semences certifiées = 6 kt (Bilans par campagne - FranceAgriMer):Récolte = 2061 kt (Bilans par campagne - FranceAgriMer):Autoconsommation à la ferme = 169 kt (Bilans par campagne - FranceAgriMer):Collecte = 1892 kt (Bilans par campagne - FranceAgriMer):Stock initial collecteurs = 243 kt (Bilans par campagne - FranceAgriMer):Stock final collecteurs = 214 kt (Bilans par campagne - FranceAgriMer):Consommation de graines par la Trituration = 1491 kt (Bilans par campagne - FranceAgriMer):Consommation de graines par les FAB = 10 kt (Bilans par campagne - FranceAgriMer):Production de semences certifiées = 8 kt (Bilans par campagne - FranceAgriMer):Récolte = 337 kt (Bilans par campagne - FranceAgriMer):Autoconsommation à la ferme = 68 kt (Bilans par campagne - FranceAgriMer):Collecte = 269 kt (Bilans par campagne - FranceAgriMer):Stock initial collecteurs = 44 kt (Bilans par campagne - FranceAgriMer):Stock final collecteurs = 41 kt (Bilans par campagne - FranceAgriMer):Consommation de graines par la Trituration = 678 kt (Bilans par campagne - FranceAgriMer):Consommation de graines par les FAB = 150 kt (Bilans par campagne - FranceAgriMer):Consommation de graines en alimentation humaine = 50 kt (Bilans par campagne - FranceAgriMer):Production de semences certifiées = 8 kt (Bilans par campagne - FranceAgriMer):Récolte = 429 kt (Bilans par campagne - FranceAgriMer):Autoconsommation à la ferme = 67 kt (Bilans par campagne - FranceAgriMer):Collecte = 362 kt (Bilans par campagne - FranceAgriMer):Stock initial collecteurs = 92 kt (Bilans par campagne - FranceAgriMer):Stock final collecteurs = 72 kt (Bilans par campagne - FranceAgriMer):Consommation de graines par la Trituration = 670 kt (Bilans par campagne - FranceAgriMer):Consommation de graines par les FAB = 155 kt (Bilans par campagne - FranceAgriMer):Consommation de graines en alimentation humaine = 45 kt (Bilans par campagne - FranceAgriMer):Production de semences certifiées = 9 kt (Bilans par campagne - FranceAgriMer):Récolte = 388 kt (Bilans par campagne - FranceAgriMer):Collecte = 320 kt (Bilans par campagne - FranceAgriMer):Stock initial collecteurs = 103 kt (Bilans par campagne - FranceAgriMer):Stock final collecteurs = 65 kt (Bilans par campagne - FranceAgriMer):Consommation de graines par la Trituration = 510 kt (Bilans par campagne - FranceAgriMer):Consommation de graines par les FAB = 78 kt (Bilans par campagne - FranceAgriMer):Production de semences certifiées = 12 kt (Bilans par campagne - FranceAgriMer):Récolte de pois (hors mélanges de pois) = 557 kt (Statistique Agricole Annuelle - SSP):Collecte = 507 kt (Bilans par campagne - FranceAgriMer):Stock initial collecteurs = 57 kt (Bilans par campagne - FranceAgriMer):Stock final collecteurs = 65 kt (Bilans par campagne - FranceAgriMer):Consommation de graines par les FAB = 27 kt (Bilans par campagne - FranceAgriMer):Consommation de graines en alimentation humaine = 120 kt (Bilans par campagne - FranceAgriMer):Production de semences certifiées = 25 kt (Bilans par campagne - FranceAgriMer):Récolte de pois (hors mélanges de pois) = 595 kt (Statistique Agricole Annuelle - SSP):Collecte = 540 kt (Bilans par campagne - FranceAgriMer):Stock initial collecteurs = 82 kt (Bilans par campagne - FranceAgriMer):Stock final collecteurs = 53 kt (Bilans par campagne - FranceAgriMer):Consommation de graines par les FAB = 100 kt (Bilans par campagne - FranceAgriMer):Consommation de graines en alimentation humaine = 140 kt (Bilans par campagne - FranceAgriMer):Production de semences certifiées = 21 kt (Bilans par campagne - FranceAgriMer):Récolte de pois (hors mélanges de pois) = 485 kt (Statistique Agricole Annuelle - SSP):Collecte = 413 kt (Bilans par campagne - FranceAgriMer):Stock initial collecteurs = 54 kt (Bilans par campagne - FranceAgriMer):Stock final collecteurs = 57 kt (Bilans par campagne - FranceAgriMer):Consommation de graines par les FAB = 84 kt (Bilans par campagne - FranceAgriMer):Production de semences certifiées = 18 kt (Bilans par campagne - FranceAgriMer):Récolte = 253 kt (Bilans par campagne - FranceAgriMer):Autoconsommation à la ferme = 62 kt (Bilans par campagne - FranceAgriMer):Collecte = 191 kt (Bilans par campagne - FranceAgriMer):Stock initial collecteurs = 34 kt (Bilans par campagne - FranceAgriMer):Stock final collecteurs = 59 kt (Bilans par campagne - FranceAgriMer):Consommation de graines par les FAB = 29 kt (Bilans par campagne - FranceAgriMer):Consommation de graines en alimentation humaine = 10 kt (Bilans par campagne - FranceAgriMer):Production de semences certifiées = 8 kt (Bilans par campagne - FranceAgriMer):Récolte = 177 kt (Bilans par campagne - FranceAgriMer):Autoconsommation à la ferme = 81 kt (Bilans par campagne - FranceAgriMer):Collecte = 96 kt (Bilans par campagne - FranceAgriMer):Stock initial collecteurs = 13 kt (Bilans par campagne - FranceAgriMer):Stock final collecteurs = 14 kt (Bilans par campagne - FranceAgriMer):Consommation de graines par les FAB = 22 kt (Bilans par campagne - FranceAgriMer):Consommation de graines en alimentation humaine = 12 kt (Bilans par campagne - FranceAgriMer):Production de semences certifiées = 6 kt (Bilans par campagne - FranceAgriMer):Récolte = 216 kt (Bilans par campagne - FranceAgriMer):Autoconsommation à la ferme = 70 kt (Bilans par campagne - FranceAgriMer):Collecte = 146 kt (Bilans par campagne - FranceAgriMer):Stock initial collecteurs = 14 kt (Bilans par campagne - FranceAgriMer):Stock final collecteurs = 18 kt (Bilans par campagne - FranceAgriMer):Consommation de graines par les FAB = 33 kt (Bilans par campagne - FranceAgriMer):Production de semences certifiées = 7 kt (Bilans par campagne - FranceAgriMer):Consommation de grains en Petfood = 20 kt (ORIFLAAM):Production d'huile brute = 126 kt (FEDIOL):Production d'huile brute = 2024 kt (FEDIOL):Production d'huile brute = 554 kt (FEDIOL):Production d'huile brute = 141 kt (FEDIOL):Production d'huile brute = 1685 kt (FEDIOL):Production d'huile brute = 521 kt (FEDIOL):Production d'huile brute = 9 kt (FEDIOL):Production d'huile brute = 99 kt (FEDIOL):Production d'huile brute = 1865 kt (FEDIOL):Production d'huile brute = 598 kt (FEDIOL):Production d'huile brute = 11 kt (FEDIOL):Production de tourteaux = 541 kt (FEDIOL):Production de tourteaux = 2559 kt (FEDIOL):Production de tourteaux = 673 kt (FEDIOL):Production de tourteaux = 596 kt (FEDIOL):Production de tourteaux = 2280 kt (FEDIOL):Production de tourteaux = 677 kt (FEDIOL):Production de tourteaux = 16 kt (FEDIOL):Production de tourteaux = 420 kt (FEDIOL):Production de tourteaux = 2479 kt (FEDIOL):Production de tourteaux = 737 kt (FEDIOL):Production de tourteaux = 19 kt (FEDIOL):Consommation de graines par la Trituration = 12 kt (FEDIOL):Consommation de graines par la Trituration = 25 kt (FEDIOL):Consommation de graines par la Trituration = 31 kt (FEDIOL):Consommation d'huile pour la fabrication de biodiesel = 1985 kt (Carbure):Consommation d'huile pour la fabrication de biodiesel = 0 kt (Carbure):Consommation d'huile pour la fabrication de biodiesel = 1460 kt (Carbure):Consommation d'huile pour la fabrication de biodiesel = 531 kt (Carbure):Consommation d'huile pour la fabrication de biodiesel = 2176 kt (Carbure):Consommation d'huile pour la fabrication de biodiesel = 90 kt (Carbure):Consommation d'huile par les GMS = 27 kt (Nielsen):Consommation d'huile par les GMS = 120 kt (Nielsen):Consommation d'huile par les GMS = 102 kt (Nielsen):Consommation d'huile par les GMS = 30 kt (Nielsen):Consommation d'huile par les GMS = 89 kt (Nielsen):Récolte = 35 kt (Statistique Agricole Annuelle - SSP):Récolte = 25 kt (Statistique Agricole Annuelle - SSP):Récolte = 30 kt (Statistique Agricole Annuelle - SSP):Consommation d'olives par les moulins = 37 kt (FranceAgriMer):Consommation d'olives par les moulins = 22 kt (FranceAgriMer):Consommation d'olives par les moulins = 41 kt (FranceAgriMer):Production d'huile d'olive = 6 kt (FranceAgriMer):Production d'huile d'olive = 3 kt (FranceAgriMer):Production d'huile d'olive = 7 kt (FranceAgriMer):Consommation d'huile d'olive par les GMS = 66 kt (Nielsen):Consommation d'huile d'olive par les GMS = 63 kt (Nielsen):Consommation totale d'huile d'olive = 99 kt (AFIDOL):Consommation totale d'huile d'olive = 114 kt (AFIDOL):Consommation totale d'huile d'olive = 100 kt (AFIDOL):Production d'olives de table = 2 kt (FranceAgriMer):Production d'olives de table = 1 kt (FranceAgriMer):Consommation d'olives de table par les GMS = 28 kt (Nielsen):Consommation d'olives de table par les GMS = 32 kt (Nielsen):Consommation totale d'olives de table = 67 kt (AFIDOL):Consommation totale d'olives de table = 87 kt (AFIDOL):Consommation totale d'olives de table = 91 kt (AFIDOL):Récolte = 43 kt (Statistique Agricole Annuelle - SSP):Collecte = 32 kt (Collectes, stocks - FranceAgriMer):Stock initial collecteurs = 2 kt (Collectes, stocks - FranceAgriMer):Stock final collecteurs = 6 kt (Collectes, stocks - FranceAgriMer):Production de semences certifiées = 1 kt (Collectes, stocks - FranceAgriMer):Consommation de graines par les FAB = 0 kt (Etat 13 - FranceAgriMer):Récolte = 46 kt (Statistique Agricole Annuelle - SSP):Collecte = 31 kt (Collectes, stocks - FranceAgriMer):Stock initial collecteurs = 6 kt (Collectes, stocks - FranceAgriMer):Stock final collecteurs = 4 kt (Collectes, stocks - FranceAgriMer):Production de semences certifiées = 2 kt (Collectes, stocks - FranceAgriMer):Consommation de graines par les FAB = 4 kt (Etat 13 - FranceAgriMer):Récolte = 52 kt (Statistique Agricole Annuelle - SSP):Collecte = 35 kt (Collectes, stocks - FranceAgriMer):Stock final collecteurs = 7 kt (Collectes, stocks - FranceAgriMer):Consommation de graines par les FAB = 6 kt (Etat 13 - FranceAgriMer):Récolte = 16 kt (Statistique Agricole Annuelle - SSP):Collecte = 12 kt (Collectes, stocks - FranceAgriMer):Stock initial collecteurs = 3 kt (Collectes, stocks - FranceAgriMer):Stock final collecteurs = 11 kt (Collectes, stocks - FranceAgriMer):Récolte = 7 kt (Statistique Agricole Annuelle - SSP):Collecte = 4 kt (Collectes, stocks - FranceAgriMer):Stock initial collecteurs = 9 kt (Collectes, stocks - FranceAgriMer):Stock final collecteurs = 2 kt (Collectes, stocks - FranceAgriMer):Production de semences certifiées = 0 kt (Collectes, stocks - FranceAgriMer):Récolte = 11 kt (Statistique Agricole Annuelle - SSP):Collecte = 5 kt (Collectes, stocks - FranceAgriMer):Récolte = 23 kt (Statistique Agricole Annuelle - SSP):Récolte = 48 kt (Statistique Agricole Annuelle - SSP):Récolte = 33 kt (Statistique Agricole Annuelle - SSP):Collecte = 16 kt (Collectes, stocks - FranceAgriMer):Stock final collecteurs = 3 kt (Collectes, stocks - FranceAgriMer):Récolte = 51 kt (Statistique Agricole Annuelle - SSP):Récolte = 44 kt (Statistique Agricole Annuelle - SSP):Collecte = 20 kt (Collectes, stocks - FranceAgriMer):Production de semences certifiées = 5 kt (Collectes, stocks - FranceAgriMer):Récolte = 13 kt (Statistique Agricole Annuelle - SSP):Consommation de graines autoconsommées en hors FAB = 56 kt (Estimation - Terres Univia):Consommation de graines autoconsommées en hors FAB = 29 kt (Estimation - Terres Univia):Consommation de produits alimentaires par les GMS (en volume de matière première) = 2 kt (OléoProtéines - Terres Univia):Consommation de produits alimentaires par les circuits spécialisés (en volume de matière première) = 0 kt (OléoProtéines - Terres Univia):Consommation de produits alimentaires par la RHD (en volume de matière première) = 1 kt (OléoProtéines - Terres Univia):Consommation de produits alimentaires par les autres IAA (en volume de matière première) = 2 kt (OléoProtéines - Terres Univia):Consommation de produits alimentaires par les GMS (en volume de matière première) = 52 kt (OléoProtéines - Terres Univia):Consommation de produits alimentaires par les circuits spécialisés (en volume de matière première) = 3 kt (OléoProtéines - Terres Univia):Consommation de produits alimentaires par la RHD (en volume de matière première) = 7 kt (OléoProtéines - Terres Univia):Consommation de produits alimentaires par les autres IAA (en volume de matière première) = 3 kt (OléoProtéines - Terres Univia):Consommation de produits alimentaires par les GMS (en volume de matière première) = 28 kt (OléoProtéines - Terres Univia):Consommation de produits alimentaires par les circuits spécialisés (en volume de matière première) = 1 kt (OléoProtéines - Terres Univia):Consommation de produits alimentaires par la RHD (en volume de matière première) = 5 kt (OléoProtéines - Terres Univia):Consommation de produits alimentaires par les GMS (en volume de matière première) = 55 kt (OléoProtéines - Terres Univia):Consommation de produits alimentaires par la RHD (en volume de matière première) = 11 kt (OléoProtéines - Terres Univia):Consommation de produits alimentaires par les autres IAA (en volume de matière première) = 7 kt (OléoProtéines - Terres Univia):Consommation de LS bruts par la RHD = 3 kt (OléoProtéines - Terres Univia):Consommation de LS appertisés et surgelés par la RHD = 4 kt (OléoProtéines - Terres Univia):Consommation de LS bruts par les ménages = 16 kt (OléoProtéines - Terres Univia):Consommation de LS appertisés et surgelés par les ménages = 36 kt (OléoProtéines - Terres Univia):Consommation de LS bruts par la RHD = 0 kt (OléoProtéines - Terres Univia):Consommation de LS bruts par les ménages = 1 kt (OléoProtéines - Terres Univia):Consommation de LS appertisés et surgelés par les ménages = 29 kt (OléoProtéines - Terres Univia):Consommation de LS bruts par les autres IAA = 0 kt (OléoProtéines - Terres Univia):Consommation de LS appertisés et surgelés par les autres IAA = 0 kt (OléoProtéines - Terres Univia):Consommation d'eau pour la fabrication de produits appertisés = 20 kt (OléoProtéines - Terres Univia):Consommation d'eau pour la fabrication de produits appertisés = 17 kt (OléoProtéines - Terres Univia):Stock initial collecteurs = 61 kt (Bilans par campagne - FranceAgriMer):Stock final collecteurs = 115 kt (Bilans par campagne - FranceAgriMer):Stock initial collecteurs = 79 kt (Bilans par campagne - FranceAgriMer):Stock final collecteurs = 82 kt (Bilans par campagne - FranceAgriMer):Stock initial collecteurs = 44 kt (Bilans par campagne - FranceAgriMer):Stock final collecteurs = 41 kt (Bilans par campagne - FranceAgriMer):Stock initial collecteurs = 57 kt (Bilans par campagne - FranceAgriMer):Stock final collecteurs = 65 kt (Bilans par campagne - FranceAgriMer):Stock initial collecteurs = 34 kt (Bilans par campagne - FranceAgriMer):Stock final collecteurs = 59 kt (Bilans par campagne - FranceAgriMer):Stock initial collecteurs = 2 kt (Collectes, stocks - FranceAgriMer):Stock final collecteurs = 6 kt (Collectes, stocks - FranceAgriMer):Stock initial collecteurs = 3 kt (Collectes, stocks - FranceAgriMer):Stock final collecteurs = 11 kt (Collectes, stocks - FranceAgriMer):Stock final collecteurs = 3 kt (Collectes, stocks - FranceAgriMer):Production de semences certifiées = 10 kt (Bilans par campagne - FranceAgriMer):Production de semences certifiées = 8 kt (Bilans par campagne - FranceAgriMer):Production de semences certifiées = 25 kt (Bilans par campagne - FranceAgriMer):Production de semences certifiées = 1 kt (Collectes, stocks - FranceAgriMer):Production de semences certifiées = 2 kt (Collectes, stocks - FranceAgriMer):Production de semences certifiées = 5 kt (Collectes, stocks - FranceAgriMer)</v>
      </c>
      <c r="G7" s="937" t="e" cm="1">
        <f t="array" aca="1" ref="G7" ca="1">IF(IF(INDIRECT("'"&amp;Etiquettes!G13&amp;"'"&amp;"!N1")=$A$7,_xlfn.TEXTJOIN(":",TRUE,_xlfn.UNIQUE(INDIRECT("'"&amp;Etiquettes!G13&amp;"'"&amp;"!N2:N1000"))),"")="0","",IF(INDIRECT("'"&amp;Etiquettes!G13&amp;"'"&amp;"!N1")=$A$7,_xlfn.TEXTJOIN(":",TRUE,_xlfn.UNIQUE(INDIRECT("'"&amp;Etiquettes!G13&amp;"'"&amp;"!N2:N1000"))),""))</f>
        <v>#REF!</v>
      </c>
      <c r="H7" s="937" t="str" cm="1">
        <f t="array" aca="1" ref="H7" ca="1">IF(IF(INDIRECT("'"&amp;Etiquettes!H13&amp;"'"&amp;"!N1")=$A$7,_xlfn.TEXTJOIN(":",TRUE,_xlfn.UNIQUE(INDIRECT("'"&amp;Etiquettes!H13&amp;"'"&amp;"!N2:N1000"))),"")="0","",IF(INDIRECT("'"&amp;Etiquettes!H13&amp;"'"&amp;"!N1")=$A$7,_xlfn.TEXTJOIN(":",TRUE,_xlfn.UNIQUE(INDIRECT("'"&amp;Etiquettes!H13&amp;"'"&amp;"!N2:N1000"))),""))</f>
        <v/>
      </c>
      <c r="I7" s="937" t="str" cm="1">
        <f t="array" aca="1" ref="I7" ca="1">IF(IF(INDIRECT("'"&amp;Etiquettes!I13&amp;"'"&amp;"!N1")=$A$7,_xlfn.TEXTJOIN(":",TRUE,_xlfn.UNIQUE(INDIRECT("'"&amp;Etiquettes!I13&amp;"'"&amp;"!N2:N1000"))),"")="0","",IF(INDIRECT("'"&amp;Etiquettes!I13&amp;"'"&amp;"!N1")=$A$7,_xlfn.TEXTJOIN(":",TRUE,_xlfn.UNIQUE(INDIRECT("'"&amp;Etiquettes!I13&amp;"'"&amp;"!N2:N1000"))),""))</f>
        <v/>
      </c>
      <c r="J7" s="937" t="str" cm="1">
        <f t="array" aca="1" ref="J7" ca="1">IF(IF(INDIRECT("'"&amp;Etiquettes!J13&amp;"'"&amp;"!N1")=$A$7,_xlfn.TEXTJOIN(":",TRUE,_xlfn.UNIQUE(INDIRECT("'"&amp;Etiquettes!J13&amp;"'"&amp;"!N2:N1000"))),"")="0","",IF(INDIRECT("'"&amp;Etiquettes!J13&amp;"'"&amp;"!N1")=$A$7,_xlfn.TEXTJOIN(":",TRUE,_xlfn.UNIQUE(INDIRECT("'"&amp;Etiquettes!J13&amp;"'"&amp;"!N2:N1000"))),""))</f>
        <v/>
      </c>
      <c r="K7" s="937" t="str" cm="1">
        <f t="array" aca="1" ref="K7" ca="1">IF(IF(INDIRECT("'"&amp;Etiquettes!K13&amp;"'"&amp;"!N1")=$A$7,_xlfn.TEXTJOIN(":",TRUE,_xlfn.UNIQUE(INDIRECT("'"&amp;Etiquettes!K13&amp;"'"&amp;"!N2:N1000"))),"")="0","",IF(INDIRECT("'"&amp;Etiquettes!K13&amp;"'"&amp;"!N1")=$A$7,_xlfn.TEXTJOIN(":",TRUE,_xlfn.UNIQUE(INDIRECT("'"&amp;Etiquettes!K13&amp;"'"&amp;"!N2:N1000"))),""))</f>
        <v/>
      </c>
      <c r="L7" s="937" t="str" cm="1">
        <f t="array" aca="1" ref="L7" ca="1">IF(IF(INDIRECT("'"&amp;Etiquettes!L13&amp;"'"&amp;"!N1")=$A$7,_xlfn.TEXTJOIN(":",TRUE,_xlfn.UNIQUE(INDIRECT("'"&amp;Etiquettes!L13&amp;"'"&amp;"!N2:N1000"))),"")="0","",IF(INDIRECT("'"&amp;Etiquettes!L13&amp;"'"&amp;"!N1")=$A$7,_xlfn.TEXTJOIN(":",TRUE,_xlfn.UNIQUE(INDIRECT("'"&amp;Etiquettes!L13&amp;"'"&amp;"!N2:N1000"))),""))</f>
        <v/>
      </c>
      <c r="M7" s="937" t="str" cm="1">
        <f t="array" aca="1" ref="M7" ca="1">IF(IF(INDIRECT("'"&amp;Etiquettes!M13&amp;"'"&amp;"!N1")=$A$7,_xlfn.TEXTJOIN(":",TRUE,_xlfn.UNIQUE(INDIRECT("'"&amp;Etiquettes!M13&amp;"'"&amp;"!N2:N1000"))),"")="0","",IF(INDIRECT("'"&amp;Etiquettes!M13&amp;"'"&amp;"!N1")=$A$7,_xlfn.TEXTJOIN(":",TRUE,_xlfn.UNIQUE(INDIRECT("'"&amp;Etiquettes!M13&amp;"'"&amp;"!N2:N1000"))),""))</f>
        <v/>
      </c>
      <c r="N7" s="937" t="str" cm="1">
        <f t="array" aca="1" ref="N7" ca="1">IF(IF(INDIRECT("'"&amp;Etiquettes!N13&amp;"'"&amp;"!N1")=$A$7,_xlfn.TEXTJOIN(":",TRUE,_xlfn.UNIQUE(INDIRECT("'"&amp;Etiquettes!N13&amp;"'"&amp;"!N2:N1000"))),"")="0","",IF(INDIRECT("'"&amp;Etiquettes!N13&amp;"'"&amp;"!N1")=$A$7,_xlfn.TEXTJOIN(":",TRUE,_xlfn.UNIQUE(INDIRECT("'"&amp;Etiquettes!N13&amp;"'"&amp;"!N2:N1000"))),""))</f>
        <v/>
      </c>
      <c r="O7" s="937" t="str" cm="1">
        <f t="array" aca="1" ref="O7" ca="1">IF(IF(INDIRECT("'"&amp;Etiquettes!O13&amp;"'"&amp;"!N1")=$A$7,_xlfn.TEXTJOIN(":",TRUE,_xlfn.UNIQUE(INDIRECT("'"&amp;Etiquettes!O13&amp;"'"&amp;"!N2:N1000"))),"")="0","",IF(INDIRECT("'"&amp;Etiquettes!O13&amp;"'"&amp;"!N1")=$A$7,_xlfn.TEXTJOIN(":",TRUE,_xlfn.UNIQUE(INDIRECT("'"&amp;Etiquettes!O13&amp;"'"&amp;"!N2:N1000"))),""))</f>
        <v/>
      </c>
      <c r="P7" s="937" t="str" cm="1">
        <f t="array" aca="1" ref="P7" ca="1">IF(IF(INDIRECT("'"&amp;Etiquettes!P13&amp;"'"&amp;"!N1")=$A$7,_xlfn.TEXTJOIN(":",TRUE,_xlfn.UNIQUE(INDIRECT("'"&amp;Etiquettes!P13&amp;"'"&amp;"!N2:N1000"))),"")="0","",IF(INDIRECT("'"&amp;Etiquettes!P13&amp;"'"&amp;"!N1")=$A$7,_xlfn.TEXTJOIN(":",TRUE,_xlfn.UNIQUE(INDIRECT("'"&amp;Etiquettes!P13&amp;"'"&amp;"!N2:N1000"))),""))</f>
        <v>Récolte = 5334 kt (Bilans par campagne - FranceAgriMer):Autoconsommation à la ferme = 128 kt (Bilans par campagne - FranceAgriMer):Collecte = 5206 kt (Bilans par campagne - FranceAgriMer):Stock initial collecteurs = 61 kt (Bilans par campagne - FranceAgriMer):Stock final collecteurs = 115 kt (Bilans par campagne - FranceAgriMer):Consommation de graines par la Trituration = 4780 kt (Bilans par campagne - FranceAgriMer):Consommation de graines par les FAB = 56 kt (Bilans par campagne - FranceAgriMer):Production de semences certifiées = 10 kt (Bilans par campagne - FranceAgriMer):Récolte = 3523 kt (Bilans par campagne - FranceAgriMer):Autoconsommation à la ferme = 54 kt (Bilans par campagne - FranceAgriMer):Collecte = 3469 kt (Bilans par campagne - FranceAgriMer):Stock initial collecteurs = 191 kt (Bilans par campagne - FranceAgriMer):Stock final collecteurs = 146 kt (Bilans par campagne - FranceAgriMer):Consommation de graines par la Trituration = 3894 kt (Bilans par campagne - FranceAgriMer):Consommation de graines par les FAB = 21 kt (Bilans par campagne - FranceAgriMer):Production de semences certifiées = 5 kt (Bilans par campagne - FranceAgriMer):Récolte = 4277 kt (Bilans par campagne - FranceAgriMer):Autoconsommation à la ferme = 84 kt (Bilans par campagne - FranceAgriMer):Collecte = 4193 kt (Bilans par campagne - FranceAgriMer):Stock initial collecteurs = 173 kt (Bilans par campagne - FranceAgriMer):Stock final collecteurs = 225 kt (Bilans par campagne - FranceAgriMer):Consommation de graines par la Trituration = 4207 kt (Bilans par campagne - FranceAgriMer):Consommation de graines par les FAB = 19 kt (Bilans par campagne - FranceAgriMer)</v>
      </c>
      <c r="Q7" s="937" t="str" cm="1">
        <f t="array" aca="1" ref="Q7" ca="1">IF(IF(INDIRECT("'"&amp;Etiquettes!Q13&amp;"'"&amp;"!N1")=$A$7,_xlfn.TEXTJOIN(":",TRUE,_xlfn.UNIQUE(INDIRECT("'"&amp;Etiquettes!Q13&amp;"'"&amp;"!N2:N1000"))),"")="0","",IF(INDIRECT("'"&amp;Etiquettes!Q13&amp;"'"&amp;"!N1")=$A$7,_xlfn.TEXTJOIN(":",TRUE,_xlfn.UNIQUE(INDIRECT("'"&amp;Etiquettes!Q13&amp;"'"&amp;"!N2:N1000"))),""))</f>
        <v/>
      </c>
      <c r="R7" s="937" t="str" cm="1">
        <f t="array" aca="1" ref="R7" ca="1">IF(IF(INDIRECT("'"&amp;Etiquettes!R13&amp;"'"&amp;"!N1")=$A$7,_xlfn.TEXTJOIN(":",TRUE,_xlfn.UNIQUE(INDIRECT("'"&amp;Etiquettes!R13&amp;"'"&amp;"!N2:N1000"))),"")="0","",IF(INDIRECT("'"&amp;Etiquettes!R13&amp;"'"&amp;"!N1")=$A$7,_xlfn.TEXTJOIN(":",TRUE,_xlfn.UNIQUE(INDIRECT("'"&amp;Etiquettes!R13&amp;"'"&amp;"!N2:N1000"))),""))</f>
        <v>Récolte = 1187 kt (Bilans par campagne - FranceAgriMer):Autoconsommation à la ferme = 63 kt (Bilans par campagne - FranceAgriMer):Collecte = 1124 kt (Bilans par campagne - FranceAgriMer):Stock initial collecteurs = 79 kt (Bilans par campagne - FranceAgriMer):Stock final collecteurs = 82 kt (Bilans par campagne - FranceAgriMer):Consommation de graines par la Trituration = 1080 kt (Bilans par campagne - FranceAgriMer):Consommation de graines par les FAB = 7 kt (Bilans par campagne - FranceAgriMer):Consommation de graines en alimentation humaine = 10 kt (Bilans par campagne - FranceAgriMer):Production de semences certifiées = 10 kt (Bilans par campagne - FranceAgriMer):Récolte = 1298 kt (Bilans par campagne - FranceAgriMer):Autoconsommation à la ferme = 123 kt (Bilans par campagne - FranceAgriMer):Collecte = 1175 kt (Bilans par campagne - FranceAgriMer):Stock initial collecteurs = 80 kt (Bilans par campagne - FranceAgriMer):Stock final collecteurs = 118 kt (Bilans par campagne - FranceAgriMer):Consommation de graines par la Trituration = 914 kt (Bilans par campagne - FranceAgriMer):Consommation de graines par les FAB = 12 kt (Bilans par campagne - FranceAgriMer):Production de semences certifiées = 6 kt (Bilans par campagne - FranceAgriMer):Récolte = 2061 kt (Bilans par campagne - FranceAgriMer):Autoconsommation à la ferme = 169 kt (Bilans par campagne - FranceAgriMer):Collecte = 1892 kt (Bilans par campagne - FranceAgriMer):Stock initial collecteurs = 243 kt (Bilans par campagne - FranceAgriMer):Stock final collecteurs = 214 kt (Bilans par campagne - FranceAgriMer):Consommation de graines par la Trituration = 1491 kt (Bilans par campagne - FranceAgriMer):Consommation de graines par les FAB = 10 kt (Bilans par campagne - FranceAgriMer):Production de semences certifiées = 8 kt (Bilans par campagne - FranceAgriMer)</v>
      </c>
      <c r="S7" s="937" t="str" cm="1">
        <f t="array" aca="1" ref="S7" ca="1">IF(IF(INDIRECT("'"&amp;Etiquettes!S13&amp;"'"&amp;"!N1")=$A$7,_xlfn.TEXTJOIN(":",TRUE,_xlfn.UNIQUE(INDIRECT("'"&amp;Etiquettes!S13&amp;"'"&amp;"!N2:N1000"))),"")="0","",IF(INDIRECT("'"&amp;Etiquettes!S13&amp;"'"&amp;"!N1")=$A$7,_xlfn.TEXTJOIN(":",TRUE,_xlfn.UNIQUE(INDIRECT("'"&amp;Etiquettes!S13&amp;"'"&amp;"!N2:N1000"))),""))</f>
        <v/>
      </c>
      <c r="T7" s="937" t="str" cm="1">
        <f t="array" aca="1" ref="T7" ca="1">IF(IF(INDIRECT("'"&amp;Etiquettes!T13&amp;"'"&amp;"!N1")=$A$7,_xlfn.TEXTJOIN(":",TRUE,_xlfn.UNIQUE(INDIRECT("'"&amp;Etiquettes!T13&amp;"'"&amp;"!N2:N1000"))),"")="0","",IF(INDIRECT("'"&amp;Etiquettes!T13&amp;"'"&amp;"!N1")=$A$7,_xlfn.TEXTJOIN(":",TRUE,_xlfn.UNIQUE(INDIRECT("'"&amp;Etiquettes!T13&amp;"'"&amp;"!N2:N1000"))),""))</f>
        <v>Récolte = 337 kt (Bilans par campagne - FranceAgriMer):Autoconsommation à la ferme = 68 kt (Bilans par campagne - FranceAgriMer):Collecte = 269 kt (Bilans par campagne - FranceAgriMer):Stock initial collecteurs = 44 kt (Bilans par campagne - FranceAgriMer):Stock final collecteurs = 41 kt (Bilans par campagne - FranceAgriMer):Consommation de graines par la Trituration = 678 kt (Bilans par campagne - FranceAgriMer):Consommation de graines par les FAB = 150 kt (Bilans par campagne - FranceAgriMer):Consommation de graines en alimentation humaine = 50 kt (Bilans par campagne - FranceAgriMer):Production de semences certifiées = 8 kt (Bilans par campagne - FranceAgriMer):Récolte = 429 kt (Bilans par campagne - FranceAgriMer):Autoconsommation à la ferme = 67 kt (Bilans par campagne - FranceAgriMer):Collecte = 362 kt (Bilans par campagne - FranceAgriMer):Stock initial collecteurs = 92 kt (Bilans par campagne - FranceAgriMer):Stock final collecteurs = 72 kt (Bilans par campagne - FranceAgriMer):Consommation de graines par la Trituration = 670 kt (Bilans par campagne - FranceAgriMer):Consommation de graines par les FAB = 155 kt (Bilans par campagne - FranceAgriMer):Consommation de graines en alimentation humaine = 45 kt (Bilans par campagne - FranceAgriMer):Production de semences certifiées = 9 kt (Bilans par campagne - FranceAgriMer):Récolte = 388 kt (Bilans par campagne - FranceAgriMer):Collecte = 320 kt (Bilans par campagne - FranceAgriMer):Stock initial collecteurs = 103 kt (Bilans par campagne - FranceAgriMer):Stock final collecteurs = 65 kt (Bilans par campagne - FranceAgriMer):Consommation de graines par la Trituration = 510 kt (Bilans par campagne - FranceAgriMer):Consommation de graines par les FAB = 78 kt (Bilans par campagne - FranceAgriMer):Production de semences certifiées = 12 kt (Bilans par campagne - FranceAgriMer)</v>
      </c>
      <c r="U7" s="937" t="str" cm="1">
        <f t="array" aca="1" ref="U7" ca="1">IF(IF(INDIRECT("'"&amp;Etiquettes!U13&amp;"'"&amp;"!N1")=$A$7,_xlfn.TEXTJOIN(":",TRUE,_xlfn.UNIQUE(INDIRECT("'"&amp;Etiquettes!U13&amp;"'"&amp;"!N2:N1000"))),"")="0","",IF(INDIRECT("'"&amp;Etiquettes!U13&amp;"'"&amp;"!N1")=$A$7,_xlfn.TEXTJOIN(":",TRUE,_xlfn.UNIQUE(INDIRECT("'"&amp;Etiquettes!U13&amp;"'"&amp;"!N2:N1000"))),""))</f>
        <v/>
      </c>
      <c r="V7" s="937" t="str" cm="1">
        <f t="array" aca="1" ref="V7" ca="1">IF(IF(INDIRECT("'"&amp;Etiquettes!V13&amp;"'"&amp;"!N1")=$A$7,_xlfn.TEXTJOIN(":",TRUE,_xlfn.UNIQUE(INDIRECT("'"&amp;Etiquettes!V13&amp;"'"&amp;"!N2:N1000"))),"")="0","",IF(INDIRECT("'"&amp;Etiquettes!V13&amp;"'"&amp;"!N1")=$A$7,_xlfn.TEXTJOIN(":",TRUE,_xlfn.UNIQUE(INDIRECT("'"&amp;Etiquettes!V13&amp;"'"&amp;"!N2:N1000"))),""))</f>
        <v>Récolte de pois (hors mélanges de pois) = 557 kt (Statistique Agricole Annuelle - SSP):Collecte = 507 kt (Bilans par campagne - FranceAgriMer):Stock initial collecteurs = 57 kt (Bilans par campagne - FranceAgriMer):Stock final collecteurs = 65 kt (Bilans par campagne - FranceAgriMer):Consommation de graines par les FAB = 27 kt (Bilans par campagne - FranceAgriMer):Consommation de graines en alimentation humaine = 120 kt (Bilans par campagne - FranceAgriMer):Production de semences certifiées = 25 kt (Bilans par campagne - FranceAgriMer):Récolte de pois (hors mélanges de pois) = 595 kt (Statistique Agricole Annuelle - SSP):Collecte = 540 kt (Bilans par campagne - FranceAgriMer):Stock initial collecteurs = 82 kt (Bilans par campagne - FranceAgriMer):Stock final collecteurs = 53 kt (Bilans par campagne - FranceAgriMer):Consommation de graines par les FAB = 100 kt (Bilans par campagne - FranceAgriMer):Consommation de graines en alimentation humaine = 140 kt (Bilans par campagne - FranceAgriMer):Production de semences certifiées = 21 kt (Bilans par campagne - FranceAgriMer):Récolte de pois (hors mélanges de pois) = 485 kt (Statistique Agricole Annuelle - SSP):Collecte = 413 kt (Bilans par campagne - FranceAgriMer):Stock initial collecteurs = 54 kt (Bilans par campagne - FranceAgriMer):Stock final collecteurs = 57 kt (Bilans par campagne - FranceAgriMer):Consommation de graines par les FAB = 84 kt (Bilans par campagne - FranceAgriMer):Production de semences certifiées = 18 kt (Bilans par campagne - FranceAgriMer)</v>
      </c>
      <c r="W7" s="937" t="str" cm="1">
        <f t="array" aca="1" ref="W7" ca="1">IF(IF(INDIRECT("'"&amp;Etiquettes!W13&amp;"'"&amp;"!N1")=$A$7,_xlfn.TEXTJOIN(":",TRUE,_xlfn.UNIQUE(INDIRECT("'"&amp;Etiquettes!W13&amp;"'"&amp;"!N2:N1000"))),"")="0","",IF(INDIRECT("'"&amp;Etiquettes!W13&amp;"'"&amp;"!N1")=$A$7,_xlfn.TEXTJOIN(":",TRUE,_xlfn.UNIQUE(INDIRECT("'"&amp;Etiquettes!W13&amp;"'"&amp;"!N2:N1000"))),""))</f>
        <v/>
      </c>
      <c r="X7" s="937" t="str" cm="1">
        <f t="array" aca="1" ref="X7" ca="1">IF(IF(INDIRECT("'"&amp;Etiquettes!X13&amp;"'"&amp;"!N1")=$A$7,_xlfn.TEXTJOIN(":",TRUE,_xlfn.UNIQUE(INDIRECT("'"&amp;Etiquettes!X13&amp;"'"&amp;"!N2:N1000"))),"")="0","",IF(INDIRECT("'"&amp;Etiquettes!X13&amp;"'"&amp;"!N1")=$A$7,_xlfn.TEXTJOIN(":",TRUE,_xlfn.UNIQUE(INDIRECT("'"&amp;Etiquettes!X13&amp;"'"&amp;"!N2:N1000"))),""))</f>
        <v>Récolte = 253 kt (Bilans par campagne - FranceAgriMer):Autoconsommation à la ferme = 62 kt (Bilans par campagne - FranceAgriMer):Collecte = 191 kt (Bilans par campagne - FranceAgriMer):Stock initial collecteurs = 34 kt (Bilans par campagne - FranceAgriMer):Stock final collecteurs = 59 kt (Bilans par campagne - FranceAgriMer):Consommation de graines par les FAB = 29 kt (Bilans par campagne - FranceAgriMer):Consommation de graines en alimentation humaine = 10 kt (Bilans par campagne - FranceAgriMer):Production de semences certifiées = 8 kt (Bilans par campagne - FranceAgriMer):Récolte = 177 kt (Bilans par campagne - FranceAgriMer):Autoconsommation à la ferme = 81 kt (Bilans par campagne - FranceAgriMer):Collecte = 96 kt (Bilans par campagne - FranceAgriMer):Stock initial collecteurs = 13 kt (Bilans par campagne - FranceAgriMer):Stock final collecteurs = 14 kt (Bilans par campagne - FranceAgriMer):Consommation de graines par les FAB = 22 kt (Bilans par campagne - FranceAgriMer):Consommation de graines en alimentation humaine = 12 kt (Bilans par campagne - FranceAgriMer):Production de semences certifiées = 6 kt (Bilans par campagne - FranceAgriMer):Récolte = 216 kt (Bilans par campagne - FranceAgriMer):Autoconsommation à la ferme = 70 kt (Bilans par campagne - FranceAgriMer):Collecte = 146 kt (Bilans par campagne - FranceAgriMer):Stock initial collecteurs = 14 kt (Bilans par campagne - FranceAgriMer):Stock final collecteurs = 18 kt (Bilans par campagne - FranceAgriMer):Consommation de graines par les FAB = 33 kt (Bilans par campagne - FranceAgriMer):Production de semences certifiées = 7 kt (Bilans par campagne - FranceAgriMer):Consommation de grains en Petfood = 20 kt (ORIFLAAM)</v>
      </c>
      <c r="Y7" s="937" t="str" cm="1">
        <f t="array" aca="1" ref="Y7" ca="1">IF(IF(INDIRECT("'"&amp;Etiquettes!Y13&amp;"'"&amp;"!N1")=$A$7,_xlfn.TEXTJOIN(":",TRUE,_xlfn.UNIQUE(INDIRECT("'"&amp;Etiquettes!Y13&amp;"'"&amp;"!N2:N1000"))),"")="0","",IF(INDIRECT("'"&amp;Etiquettes!Y13&amp;"'"&amp;"!N1")=$A$7,_xlfn.TEXTJOIN(":",TRUE,_xlfn.UNIQUE(INDIRECT("'"&amp;Etiquettes!Y13&amp;"'"&amp;"!N2:N1000"))),""))</f>
        <v/>
      </c>
      <c r="Z7" s="937" t="str" cm="1">
        <f t="array" aca="1" ref="Z7" ca="1">IF(IF(INDIRECT("'"&amp;Etiquettes!Z13&amp;"'"&amp;"!N1")=$A$7,_xlfn.TEXTJOIN(":",TRUE,_xlfn.UNIQUE(INDIRECT("'"&amp;Etiquettes!Z13&amp;"'"&amp;"!N2:N1000"))),"")="0","",IF(INDIRECT("'"&amp;Etiquettes!Z13&amp;"'"&amp;"!N1")=$A$7,_xlfn.TEXTJOIN(":",TRUE,_xlfn.UNIQUE(INDIRECT("'"&amp;Etiquettes!Z13&amp;"'"&amp;"!N2:N1000"))),""))</f>
        <v/>
      </c>
      <c r="AA7" s="937" t="str" cm="1">
        <f t="array" aca="1" ref="AA7" ca="1">IF(IF(INDIRECT("'"&amp;Etiquettes!AA13&amp;"'"&amp;"!N1")=$A$7,_xlfn.TEXTJOIN(":",TRUE,_xlfn.UNIQUE(INDIRECT("'"&amp;Etiquettes!AA13&amp;"'"&amp;"!N2:N1000"))),"")="0","",IF(INDIRECT("'"&amp;Etiquettes!AA13&amp;"'"&amp;"!N1")=$A$7,_xlfn.TEXTJOIN(":",TRUE,_xlfn.UNIQUE(INDIRECT("'"&amp;Etiquettes!AA13&amp;"'"&amp;"!N2:N1000"))),""))</f>
        <v/>
      </c>
      <c r="AB7" s="937" t="str" cm="1">
        <f t="array" aca="1" ref="AB7" ca="1">IF(IF(INDIRECT("'"&amp;Etiquettes!AB13&amp;"'"&amp;"!N1")=$A$7,_xlfn.TEXTJOIN(":",TRUE,_xlfn.UNIQUE(INDIRECT("'"&amp;Etiquettes!AB13&amp;"'"&amp;"!N2:N1000"))),"")="0","",IF(INDIRECT("'"&amp;Etiquettes!AB13&amp;"'"&amp;"!N1")=$A$7,_xlfn.TEXTJOIN(":",TRUE,_xlfn.UNIQUE(INDIRECT("'"&amp;Etiquettes!AB13&amp;"'"&amp;"!N2:N1000"))),""))</f>
        <v/>
      </c>
      <c r="AC7" s="937" t="str" cm="1">
        <f t="array" aca="1" ref="AC7" ca="1">IF(IF(INDIRECT("'"&amp;Etiquettes!AC13&amp;"'"&amp;"!N1")=$A$7,_xlfn.TEXTJOIN(":",TRUE,_xlfn.UNIQUE(INDIRECT("'"&amp;Etiquettes!AC13&amp;"'"&amp;"!N2:N1000"))),"")="0","",IF(INDIRECT("'"&amp;Etiquettes!AC13&amp;"'"&amp;"!N1")=$A$7,_xlfn.TEXTJOIN(":",TRUE,_xlfn.UNIQUE(INDIRECT("'"&amp;Etiquettes!AC13&amp;"'"&amp;"!N2:N1000"))),""))</f>
        <v/>
      </c>
      <c r="AD7" s="937" t="str" cm="1">
        <f t="array" aca="1" ref="AD7" ca="1">IF(IF(INDIRECT("'"&amp;Etiquettes!AD13&amp;"'"&amp;"!N1")=$A$7,_xlfn.TEXTJOIN(":",TRUE,_xlfn.UNIQUE(INDIRECT("'"&amp;Etiquettes!AD13&amp;"'"&amp;"!N2:N1000"))),"")="0","",IF(INDIRECT("'"&amp;Etiquettes!AD13&amp;"'"&amp;"!N1")=$A$7,_xlfn.TEXTJOIN(":",TRUE,_xlfn.UNIQUE(INDIRECT("'"&amp;Etiquettes!AD13&amp;"'"&amp;"!N2:N1000"))),""))</f>
        <v/>
      </c>
      <c r="AE7" s="937" t="str" cm="1">
        <f t="array" aca="1" ref="AE7" ca="1">IF(IF(INDIRECT("'"&amp;Etiquettes!AE13&amp;"'"&amp;"!N1")=$A$7,_xlfn.TEXTJOIN(":",TRUE,_xlfn.UNIQUE(INDIRECT("'"&amp;Etiquettes!AE13&amp;"'"&amp;"!N2:N1000"))),"")="0","",IF(INDIRECT("'"&amp;Etiquettes!AE13&amp;"'"&amp;"!N1")=$A$7,_xlfn.TEXTJOIN(":",TRUE,_xlfn.UNIQUE(INDIRECT("'"&amp;Etiquettes!AE13&amp;"'"&amp;"!N2:N1000"))),""))</f>
        <v/>
      </c>
      <c r="AF7" s="937" t="str" cm="1">
        <f t="array" aca="1" ref="AF7" ca="1">IF(IF(INDIRECT("'"&amp;Etiquettes!AF13&amp;"'"&amp;"!N1")=$A$7,_xlfn.TEXTJOIN(":",TRUE,_xlfn.UNIQUE(INDIRECT("'"&amp;Etiquettes!AF13&amp;"'"&amp;"!N2:N1000"))),"")="0","",IF(INDIRECT("'"&amp;Etiquettes!AF13&amp;"'"&amp;"!N1")=$A$7,_xlfn.TEXTJOIN(":",TRUE,_xlfn.UNIQUE(INDIRECT("'"&amp;Etiquettes!AF13&amp;"'"&amp;"!N2:N1000"))),""))</f>
        <v/>
      </c>
      <c r="AG7" s="937" t="str" cm="1">
        <f t="array" aca="1" ref="AG7" ca="1">IF(IF(INDIRECT("'"&amp;Etiquettes!AG13&amp;"'"&amp;"!N1")=$A$7,_xlfn.TEXTJOIN(":",TRUE,_xlfn.UNIQUE(INDIRECT("'"&amp;Etiquettes!AG13&amp;"'"&amp;"!N2:N1000"))),"")="0","",IF(INDIRECT("'"&amp;Etiquettes!AG13&amp;"'"&amp;"!N1")=$A$7,_xlfn.TEXTJOIN(":",TRUE,_xlfn.UNIQUE(INDIRECT("'"&amp;Etiquettes!AG13&amp;"'"&amp;"!N2:N1000"))),""))</f>
        <v/>
      </c>
      <c r="AH7" s="937" t="str" cm="1">
        <f t="array" aca="1" ref="AH7" ca="1">IF(IF(INDIRECT("'"&amp;Etiquettes!AH13&amp;"'"&amp;"!N1")=$A$7,_xlfn.TEXTJOIN(":",TRUE,_xlfn.UNIQUE(INDIRECT("'"&amp;Etiquettes!AH13&amp;"'"&amp;"!N2:N1000"))),"")="0","",IF(INDIRECT("'"&amp;Etiquettes!AH13&amp;"'"&amp;"!N1")=$A$7,_xlfn.TEXTJOIN(":",TRUE,_xlfn.UNIQUE(INDIRECT("'"&amp;Etiquettes!AH13&amp;"'"&amp;"!N2:N1000"))),""))</f>
        <v/>
      </c>
      <c r="AI7" s="937" t="str" cm="1">
        <f t="array" aca="1" ref="AI7" ca="1">IF(IF(INDIRECT("'"&amp;Etiquettes!AI13&amp;"'"&amp;"!N1")=$A$7,_xlfn.TEXTJOIN(":",TRUE,_xlfn.UNIQUE(INDIRECT("'"&amp;Etiquettes!AI13&amp;"'"&amp;"!N2:N1000"))),"")="0","",IF(INDIRECT("'"&amp;Etiquettes!AI13&amp;"'"&amp;"!N1")=$A$7,_xlfn.TEXTJOIN(":",TRUE,_xlfn.UNIQUE(INDIRECT("'"&amp;Etiquettes!AI13&amp;"'"&amp;"!N2:N1000"))),""))</f>
        <v/>
      </c>
      <c r="AJ7" s="937" t="str" cm="1">
        <f t="array" aca="1" ref="AJ7" ca="1">IF(IF(INDIRECT("'"&amp;Etiquettes!AJ13&amp;"'"&amp;"!N1")=$A$7,_xlfn.TEXTJOIN(":",TRUE,_xlfn.UNIQUE(INDIRECT("'"&amp;Etiquettes!AJ13&amp;"'"&amp;"!N2:N1000"))),"")="0","",IF(INDIRECT("'"&amp;Etiquettes!AJ13&amp;"'"&amp;"!N1")=$A$7,_xlfn.TEXTJOIN(":",TRUE,_xlfn.UNIQUE(INDIRECT("'"&amp;Etiquettes!AJ13&amp;"'"&amp;"!N2:N1000"))),""))</f>
        <v/>
      </c>
      <c r="AK7" s="937" t="str" cm="1">
        <f t="array" aca="1" ref="AK7" ca="1">IF(IF(INDIRECT("'"&amp;Etiquettes!AK13&amp;"'"&amp;"!N1")=$A$7,_xlfn.TEXTJOIN(":",TRUE,_xlfn.UNIQUE(INDIRECT("'"&amp;Etiquettes!AK13&amp;"'"&amp;"!N2:N1000"))),"")="0","",IF(INDIRECT("'"&amp;Etiquettes!AK13&amp;"'"&amp;"!N1")=$A$7,_xlfn.TEXTJOIN(":",TRUE,_xlfn.UNIQUE(INDIRECT("'"&amp;Etiquettes!AK13&amp;"'"&amp;"!N2:N1000"))),""))</f>
        <v/>
      </c>
      <c r="AL7" s="937" t="str" cm="1">
        <f t="array" aca="1" ref="AL7" ca="1">IF(IF(INDIRECT("'"&amp;Etiquettes!AL13&amp;"'"&amp;"!N1")=$A$7,_xlfn.TEXTJOIN(":",TRUE,_xlfn.UNIQUE(INDIRECT("'"&amp;Etiquettes!AL13&amp;"'"&amp;"!N2:N1000"))),"")="0","",IF(INDIRECT("'"&amp;Etiquettes!AL13&amp;"'"&amp;"!N1")=$A$7,_xlfn.TEXTJOIN(":",TRUE,_xlfn.UNIQUE(INDIRECT("'"&amp;Etiquettes!AL13&amp;"'"&amp;"!N2:N1000"))),""))</f>
        <v/>
      </c>
      <c r="AM7" s="937" t="str" cm="1">
        <f t="array" aca="1" ref="AM7" ca="1">IF(IF(INDIRECT("'"&amp;Etiquettes!AM13&amp;"'"&amp;"!N1")=$A$7,_xlfn.TEXTJOIN(":",TRUE,_xlfn.UNIQUE(INDIRECT("'"&amp;Etiquettes!AM13&amp;"'"&amp;"!N2:N1000"))),"")="0","",IF(INDIRECT("'"&amp;Etiquettes!AM13&amp;"'"&amp;"!N1")=$A$7,_xlfn.TEXTJOIN(":",TRUE,_xlfn.UNIQUE(INDIRECT("'"&amp;Etiquettes!AM13&amp;"'"&amp;"!N2:N1000"))),""))</f>
        <v/>
      </c>
      <c r="AN7" s="937" t="str" cm="1">
        <f t="array" aca="1" ref="AN7" ca="1">IF(IF(INDIRECT("'"&amp;Etiquettes!AN13&amp;"'"&amp;"!N1")=$A$7,_xlfn.TEXTJOIN(":",TRUE,_xlfn.UNIQUE(INDIRECT("'"&amp;Etiquettes!AN13&amp;"'"&amp;"!N2:N1000"))),"")="0","",IF(INDIRECT("'"&amp;Etiquettes!AN13&amp;"'"&amp;"!N1")=$A$7,_xlfn.TEXTJOIN(":",TRUE,_xlfn.UNIQUE(INDIRECT("'"&amp;Etiquettes!AN13&amp;"'"&amp;"!N2:N1000"))),""))</f>
        <v>Production d'huile brute = 126 kt (FEDIOL):Production d'huile brute = 2024 kt (FEDIOL):Production d'huile brute = 554 kt (FEDIOL):Production d'huile brute = 141 kt (FEDIOL):Production d'huile brute = 1685 kt (FEDIOL):Production d'huile brute = 521 kt (FEDIOL):Production d'huile brute = 9 kt (FEDIOL):Production d'huile brute = 99 kt (FEDIOL):Production d'huile brute = 1865 kt (FEDIOL):Production d'huile brute = 598 kt (FEDIOL):Production d'huile brute = 11 kt (FEDIOL):Production de tourteaux = 541 kt (FEDIOL):Production de tourteaux = 2559 kt (FEDIOL):Production de tourteaux = 673 kt (FEDIOL):Production de tourteaux = 596 kt (FEDIOL):Production de tourteaux = 2280 kt (FEDIOL):Production de tourteaux = 677 kt (FEDIOL):Production de tourteaux = 16 kt (FEDIOL):Production de tourteaux = 420 kt (FEDIOL):Production de tourteaux = 2479 kt (FEDIOL):Production de tourteaux = 737 kt (FEDIOL):Production de tourteaux = 19 kt (FEDIOL):Consommation de graines par la Trituration = 12 kt (FEDIOL):Consommation de graines par la Trituration = 25 kt (FEDIOL):Consommation de graines par la Trituration = 31 kt (FEDIOL)</v>
      </c>
      <c r="AO7" s="937" t="str" cm="1">
        <f t="array" aca="1" ref="AO7" ca="1">IF(IF(INDIRECT("'"&amp;Etiquettes!AO13&amp;"'"&amp;"!N1")=$A$7,_xlfn.TEXTJOIN(":",TRUE,_xlfn.UNIQUE(INDIRECT("'"&amp;Etiquettes!AO13&amp;"'"&amp;"!N2:N1000"))),"")="0","",IF(INDIRECT("'"&amp;Etiquettes!AO13&amp;"'"&amp;"!N1")=$A$7,_xlfn.TEXTJOIN(":",TRUE,_xlfn.UNIQUE(INDIRECT("'"&amp;Etiquettes!AO13&amp;"'"&amp;"!N2:N1000"))),""))</f>
        <v/>
      </c>
      <c r="AP7" s="937" t="str" cm="1">
        <f t="array" aca="1" ref="AP7" ca="1">IF(IF(INDIRECT("'"&amp;Etiquettes!AP13&amp;"'"&amp;"!N1")=$A$7,_xlfn.TEXTJOIN(":",TRUE,_xlfn.UNIQUE(INDIRECT("'"&amp;Etiquettes!AP13&amp;"'"&amp;"!N2:N1000"))),"")="0","",IF(INDIRECT("'"&amp;Etiquettes!AP13&amp;"'"&amp;"!N1")=$A$7,_xlfn.TEXTJOIN(":",TRUE,_xlfn.UNIQUE(INDIRECT("'"&amp;Etiquettes!AP13&amp;"'"&amp;"!N2:N1000"))),""))</f>
        <v/>
      </c>
      <c r="AQ7" s="937" t="str" cm="1">
        <f t="array" aca="1" ref="AQ7" ca="1">IF(IF(INDIRECT("'"&amp;Etiquettes!AQ13&amp;"'"&amp;"!N1")=$A$7,_xlfn.TEXTJOIN(":",TRUE,_xlfn.UNIQUE(INDIRECT("'"&amp;Etiquettes!AQ13&amp;"'"&amp;"!N2:N1000"))),"")="0","",IF(INDIRECT("'"&amp;Etiquettes!AQ13&amp;"'"&amp;"!N1")=$A$7,_xlfn.TEXTJOIN(":",TRUE,_xlfn.UNIQUE(INDIRECT("'"&amp;Etiquettes!AQ13&amp;"'"&amp;"!N2:N1000"))),""))</f>
        <v/>
      </c>
      <c r="AR7" s="937" t="str" cm="1">
        <f t="array" aca="1" ref="AR7" ca="1">IF(IF(INDIRECT("'"&amp;Etiquettes!AR13&amp;"'"&amp;"!N1")=$A$7,_xlfn.TEXTJOIN(":",TRUE,_xlfn.UNIQUE(INDIRECT("'"&amp;Etiquettes!AR13&amp;"'"&amp;"!N2:N1000"))),"")="0","",IF(INDIRECT("'"&amp;Etiquettes!AR13&amp;"'"&amp;"!N1")=$A$7,_xlfn.TEXTJOIN(":",TRUE,_xlfn.UNIQUE(INDIRECT("'"&amp;Etiquettes!AR13&amp;"'"&amp;"!N2:N1000"))),""))</f>
        <v/>
      </c>
      <c r="AS7" s="937" t="str" cm="1">
        <f t="array" aca="1" ref="AS7" ca="1">IF(IF(INDIRECT("'"&amp;Etiquettes!AS13&amp;"'"&amp;"!N1")=$A$7,_xlfn.TEXTJOIN(":",TRUE,_xlfn.UNIQUE(INDIRECT("'"&amp;Etiquettes!AS13&amp;"'"&amp;"!N2:N1000"))),"")="0","",IF(INDIRECT("'"&amp;Etiquettes!AS13&amp;"'"&amp;"!N1")=$A$7,_xlfn.TEXTJOIN(":",TRUE,_xlfn.UNIQUE(INDIRECT("'"&amp;Etiquettes!AS13&amp;"'"&amp;"!N2:N1000"))),""))</f>
        <v/>
      </c>
      <c r="AT7" s="937" t="str" cm="1">
        <f t="array" aca="1" ref="AT7" ca="1">IF(IF(INDIRECT("'"&amp;Etiquettes!AT13&amp;"'"&amp;"!N1")=$A$7,_xlfn.TEXTJOIN(":",TRUE,_xlfn.UNIQUE(INDIRECT("'"&amp;Etiquettes!AT13&amp;"'"&amp;"!N2:N1000"))),"")="0","",IF(INDIRECT("'"&amp;Etiquettes!AT13&amp;"'"&amp;"!N1")=$A$7,_xlfn.TEXTJOIN(":",TRUE,_xlfn.UNIQUE(INDIRECT("'"&amp;Etiquettes!AT13&amp;"'"&amp;"!N2:N1000"))),""))</f>
        <v/>
      </c>
      <c r="AU7" s="937" t="str" cm="1">
        <f t="array" aca="1" ref="AU7" ca="1">IF(IF(INDIRECT("'"&amp;Etiquettes!AU13&amp;"'"&amp;"!N1")=$A$7,_xlfn.TEXTJOIN(":",TRUE,_xlfn.UNIQUE(INDIRECT("'"&amp;Etiquettes!AU13&amp;"'"&amp;"!N2:N1000"))),"")="0","",IF(INDIRECT("'"&amp;Etiquettes!AU13&amp;"'"&amp;"!N1")=$A$7,_xlfn.TEXTJOIN(":",TRUE,_xlfn.UNIQUE(INDIRECT("'"&amp;Etiquettes!AU13&amp;"'"&amp;"!N2:N1000"))),""))</f>
        <v>Consommation d'huile pour la fabrication de biodiesel = 1985 kt (Carbure):Consommation d'huile pour la fabrication de biodiesel = 0 kt (Carbure):Consommation d'huile pour la fabrication de biodiesel = 1460 kt (Carbure):Consommation d'huile pour la fabrication de biodiesel = 531 kt (Carbure):Consommation d'huile pour la fabrication de biodiesel = 2176 kt (Carbure):Consommation d'huile pour la fabrication de biodiesel = 90 kt (Carbure)</v>
      </c>
      <c r="AV7" s="937" t="str" cm="1">
        <f t="array" aca="1" ref="AV7" ca="1">IF(IF(INDIRECT("'"&amp;Etiquettes!AV13&amp;"'"&amp;"!N1")=$A$7,_xlfn.TEXTJOIN(":",TRUE,_xlfn.UNIQUE(INDIRECT("'"&amp;Etiquettes!AV13&amp;"'"&amp;"!N2:N1000"))),"")="0","",IF(INDIRECT("'"&amp;Etiquettes!AV13&amp;"'"&amp;"!N1")=$A$7,_xlfn.TEXTJOIN(":",TRUE,_xlfn.UNIQUE(INDIRECT("'"&amp;Etiquettes!AV13&amp;"'"&amp;"!N2:N1000"))),""))</f>
        <v/>
      </c>
      <c r="AW7" s="937" t="str" cm="1">
        <f t="array" aca="1" ref="AW7" ca="1">IF(IF(INDIRECT("'"&amp;Etiquettes!AW13&amp;"'"&amp;"!N1")=$A$7,_xlfn.TEXTJOIN(":",TRUE,_xlfn.UNIQUE(INDIRECT("'"&amp;Etiquettes!AW13&amp;"'"&amp;"!N2:N1000"))),"")="0","",IF(INDIRECT("'"&amp;Etiquettes!AW13&amp;"'"&amp;"!N1")=$A$7,_xlfn.TEXTJOIN(":",TRUE,_xlfn.UNIQUE(INDIRECT("'"&amp;Etiquettes!AW13&amp;"'"&amp;"!N2:N1000"))),""))</f>
        <v>Consommation d'huile par les GMS = 27 kt (Nielsen):Consommation d'huile par les GMS = 120 kt (Nielsen):Consommation d'huile par les GMS = 102 kt (Nielsen):Consommation d'huile par les GMS = 30 kt (Nielsen):Consommation d'huile par les GMS = 89 kt (Nielsen)</v>
      </c>
      <c r="AX7" s="937" t="str" cm="1">
        <f t="array" aca="1" ref="AX7" ca="1">IF(IF(INDIRECT("'"&amp;Etiquettes!AX13&amp;"'"&amp;"!N1")=$A$7,_xlfn.TEXTJOIN(":",TRUE,_xlfn.UNIQUE(INDIRECT("'"&amp;Etiquettes!AX13&amp;"'"&amp;"!N2:N1000"))),"")="0","",IF(INDIRECT("'"&amp;Etiquettes!AX13&amp;"'"&amp;"!N1")=$A$7,_xlfn.TEXTJOIN(":",TRUE,_xlfn.UNIQUE(INDIRECT("'"&amp;Etiquettes!AX13&amp;"'"&amp;"!N2:N1000"))),""))</f>
        <v/>
      </c>
      <c r="AY7" s="937" t="str" cm="1">
        <f t="array" aca="1" ref="AY7" ca="1">IF(IF(INDIRECT("'"&amp;Etiquettes!AY13&amp;"'"&amp;"!N1")=$A$7,_xlfn.TEXTJOIN(":",TRUE,_xlfn.UNIQUE(INDIRECT("'"&amp;Etiquettes!AY13&amp;"'"&amp;"!N2:N1000"))),"")="0","",IF(INDIRECT("'"&amp;Etiquettes!AY13&amp;"'"&amp;"!N1")=$A$7,_xlfn.TEXTJOIN(":",TRUE,_xlfn.UNIQUE(INDIRECT("'"&amp;Etiquettes!AY13&amp;"'"&amp;"!N2:N1000"))),""))</f>
        <v>Récolte = 35 kt (Statistique Agricole Annuelle - SSP):Récolte = 25 kt (Statistique Agricole Annuelle - SSP):Récolte = 30 kt (Statistique Agricole Annuelle - SSP):Consommation d'olives par les moulins = 37 kt (FranceAgriMer):Consommation d'olives par les moulins = 22 kt (FranceAgriMer):Consommation d'olives par les moulins = 41 kt (FranceAgriMer):Production d'huile d'olive = 6 kt (FranceAgriMer):Production d'huile d'olive = 3 kt (FranceAgriMer):Production d'huile d'olive = 7 kt (FranceAgriMer):Consommation d'huile d'olive par les GMS = 66 kt (Nielsen):Consommation d'huile d'olive par les GMS = 63 kt (Nielsen):Consommation totale d'huile d'olive = 99 kt (AFIDOL):Consommation totale d'huile d'olive = 114 kt (AFIDOL):Consommation totale d'huile d'olive = 100 kt (AFIDOL):Production d'olives de table = 2 kt (FranceAgriMer):Production d'olives de table = 1 kt (FranceAgriMer):Consommation d'olives de table par les GMS = 28 kt (Nielsen):Consommation d'olives de table par les GMS = 32 kt (Nielsen):Consommation totale d'olives de table = 67 kt (AFIDOL):Consommation totale d'olives de table = 87 kt (AFIDOL):Consommation totale d'olives de table = 91 kt (AFIDOL)</v>
      </c>
      <c r="AZ7" s="937" t="str" cm="1">
        <f t="array" aca="1" ref="AZ7" ca="1">IF(IF(INDIRECT("'"&amp;Etiquettes!AZ13&amp;"'"&amp;"!N1")=$A$7,_xlfn.TEXTJOIN(":",TRUE,_xlfn.UNIQUE(INDIRECT("'"&amp;Etiquettes!AZ13&amp;"'"&amp;"!N2:N1000"))),"")="0","",IF(INDIRECT("'"&amp;Etiquettes!AZ13&amp;"'"&amp;"!N1")=$A$7,_xlfn.TEXTJOIN(":",TRUE,_xlfn.UNIQUE(INDIRECT("'"&amp;Etiquettes!AZ13&amp;"'"&amp;"!N2:N1000"))),""))</f>
        <v/>
      </c>
      <c r="BA7" s="937" t="str" cm="1">
        <f t="array" aca="1" ref="BA7" ca="1">IF(IF(INDIRECT("'"&amp;Etiquettes!BA13&amp;"'"&amp;"!N1")=$A$7,_xlfn.TEXTJOIN(":",TRUE,_xlfn.UNIQUE(INDIRECT("'"&amp;Etiquettes!BA13&amp;"'"&amp;"!N2:N1000"))),"")="0","",IF(INDIRECT("'"&amp;Etiquettes!BA13&amp;"'"&amp;"!N1")=$A$7,_xlfn.TEXTJOIN(":",TRUE,_xlfn.UNIQUE(INDIRECT("'"&amp;Etiquettes!BA13&amp;"'"&amp;"!N2:N1000"))),""))</f>
        <v/>
      </c>
      <c r="BB7" s="937" t="str" cm="1">
        <f t="array" aca="1" ref="BB7" ca="1">IF(IF(INDIRECT("'"&amp;Etiquettes!BB13&amp;"'"&amp;"!N1")=$A$7,_xlfn.TEXTJOIN(":",TRUE,_xlfn.UNIQUE(INDIRECT("'"&amp;Etiquettes!BB13&amp;"'"&amp;"!N2:N1000"))),"")="0","",IF(INDIRECT("'"&amp;Etiquettes!BB13&amp;"'"&amp;"!N1")=$A$7,_xlfn.TEXTJOIN(":",TRUE,_xlfn.UNIQUE(INDIRECT("'"&amp;Etiquettes!BB13&amp;"'"&amp;"!N2:N1000"))),""))</f>
        <v>Récolte = 43 kt (Statistique Agricole Annuelle - SSP):Collecte = 32 kt (Collectes, stocks - FranceAgriMer):Stock initial collecteurs = 2 kt (Collectes, stocks - FranceAgriMer):Stock final collecteurs = 6 kt (Collectes, stocks - FranceAgriMer):Production de semences certifiées = 1 kt (Collectes, stocks - FranceAgriMer):Consommation de graines par les FAB = 0 kt (Etat 13 - FranceAgriMer):Récolte = 46 kt (Statistique Agricole Annuelle - SSP):Collecte = 31 kt (Collectes, stocks - FranceAgriMer):Stock initial collecteurs = 6 kt (Collectes, stocks - FranceAgriMer):Stock final collecteurs = 4 kt (Collectes, stocks - FranceAgriMer):Production de semences certifiées = 2 kt (Collectes, stocks - FranceAgriMer):Consommation de graines par les FAB = 4 kt (Etat 13 - FranceAgriMer):Récolte = 52 kt (Statistique Agricole Annuelle - SSP):Collecte = 35 kt (Collectes, stocks - FranceAgriMer):Stock final collecteurs = 7 kt (Collectes, stocks - FranceAgriMer):Consommation de graines par les FAB = 6 kt (Etat 13 - FranceAgriMer):Récolte = 16 kt (Statistique Agricole Annuelle - SSP):Collecte = 12 kt (Collectes, stocks - FranceAgriMer):Stock initial collecteurs = 3 kt (Collectes, stocks - FranceAgriMer):Stock final collecteurs = 11 kt (Collectes, stocks - FranceAgriMer):Récolte = 7 kt (Statistique Agricole Annuelle - SSP):Collecte = 4 kt (Collectes, stocks - FranceAgriMer):Stock initial collecteurs = 9 kt (Collectes, stocks - FranceAgriMer):Stock final collecteurs = 2 kt (Collectes, stocks - FranceAgriMer):Production de semences certifiées = 0 kt (Collectes, stocks - FranceAgriMer):Récolte = 11 kt (Statistique Agricole Annuelle - SSP):Collecte = 5 kt (Collectes, stocks - FranceAgriMer):Récolte = 23 kt (Statistique Agricole Annuelle - SSP):Récolte = 48 kt (Statistique Agricole Annuelle - SSP):Récolte = 33 kt (Statistique Agricole Annuelle - SSP):Collecte = 16 kt (Collectes, stocks - FranceAgriMer):Stock final collecteurs = 3 kt (Collectes, stocks - FranceAgriMer):Récolte = 51 kt (Statistique Agricole Annuelle - SSP):Récolte = 44 kt (Statistique Agricole Annuelle - SSP):Collecte = 20 kt (Collectes, stocks - FranceAgriMer):Production de semences certifiées = 5 kt (Collectes, stocks - FranceAgriMer):Récolte = 13 kt (Statistique Agricole Annuelle - SSP):Consommation de graines autoconsommées en hors FAB = 56 kt (Estimation - Terres Univia):Consommation de graines autoconsommées en hors FAB = 29 kt (Estimation - Terres Univia)</v>
      </c>
      <c r="BC7" s="937" t="str" cm="1">
        <f t="array" aca="1" ref="BC7" ca="1">IF(IF(INDIRECT("'"&amp;Etiquettes!BC13&amp;"'"&amp;"!N1")=$A$7,_xlfn.TEXTJOIN(":",TRUE,_xlfn.UNIQUE(INDIRECT("'"&amp;Etiquettes!BC13&amp;"'"&amp;"!N2:N1000"))),"")="0","",IF(INDIRECT("'"&amp;Etiquettes!BC13&amp;"'"&amp;"!N1")=$A$7,_xlfn.TEXTJOIN(":",TRUE,_xlfn.UNIQUE(INDIRECT("'"&amp;Etiquettes!BC13&amp;"'"&amp;"!N2:N1000"))),""))</f>
        <v/>
      </c>
      <c r="BD7" s="937" t="str" cm="1">
        <f t="array" aca="1" ref="BD7" ca="1">IF(IF(INDIRECT("'"&amp;Etiquettes!BD13&amp;"'"&amp;"!N1")=$A$7,_xlfn.TEXTJOIN(":",TRUE,_xlfn.UNIQUE(INDIRECT("'"&amp;Etiquettes!BD13&amp;"'"&amp;"!N2:N1000"))),"")="0","",IF(INDIRECT("'"&amp;Etiquettes!BD13&amp;"'"&amp;"!N1")=$A$7,_xlfn.TEXTJOIN(":",TRUE,_xlfn.UNIQUE(INDIRECT("'"&amp;Etiquettes!BD13&amp;"'"&amp;"!N2:N1000"))),""))</f>
        <v/>
      </c>
      <c r="BE7" s="937" t="str" cm="1">
        <f t="array" aca="1" ref="BE7" ca="1">IF(IF(INDIRECT("'"&amp;Etiquettes!BE13&amp;"'"&amp;"!N1")=$A$7,_xlfn.TEXTJOIN(":",TRUE,_xlfn.UNIQUE(INDIRECT("'"&amp;Etiquettes!BE13&amp;"'"&amp;"!N2:N1000"))),"")="0","",IF(INDIRECT("'"&amp;Etiquettes!BE13&amp;"'"&amp;"!N1")=$A$7,_xlfn.TEXTJOIN(":",TRUE,_xlfn.UNIQUE(INDIRECT("'"&amp;Etiquettes!BE13&amp;"'"&amp;"!N2:N1000"))),""))</f>
        <v/>
      </c>
      <c r="BF7" s="937" t="str" cm="1">
        <f t="array" aca="1" ref="BF7" ca="1">IF(IF(INDIRECT("'"&amp;Etiquettes!BF13&amp;"'"&amp;"!N1")=$A$7,_xlfn.TEXTJOIN(":",TRUE,_xlfn.UNIQUE(INDIRECT("'"&amp;Etiquettes!BF13&amp;"'"&amp;"!N2:N1000"))),"")="0","",IF(INDIRECT("'"&amp;Etiquettes!BF13&amp;"'"&amp;"!N1")=$A$7,_xlfn.TEXTJOIN(":",TRUE,_xlfn.UNIQUE(INDIRECT("'"&amp;Etiquettes!BF13&amp;"'"&amp;"!N2:N1000"))),""))</f>
        <v/>
      </c>
      <c r="BG7" s="937" t="str" cm="1">
        <f t="array" aca="1" ref="BG7" ca="1">IF(IF(INDIRECT("'"&amp;Etiquettes!BG13&amp;"'"&amp;"!N1")=$A$7,_xlfn.TEXTJOIN(":",TRUE,_xlfn.UNIQUE(INDIRECT("'"&amp;Etiquettes!BG13&amp;"'"&amp;"!N2:N1000"))),"")="0","",IF(INDIRECT("'"&amp;Etiquettes!BG13&amp;"'"&amp;"!N1")=$A$7,_xlfn.TEXTJOIN(":",TRUE,_xlfn.UNIQUE(INDIRECT("'"&amp;Etiquettes!BG13&amp;"'"&amp;"!N2:N1000"))),""))</f>
        <v/>
      </c>
      <c r="BH7" s="937" t="str" cm="1">
        <f t="array" aca="1" ref="BH7" ca="1">IF(IF(INDIRECT("'"&amp;Etiquettes!BH13&amp;"'"&amp;"!N1")=$A$7,_xlfn.TEXTJOIN(":",TRUE,_xlfn.UNIQUE(INDIRECT("'"&amp;Etiquettes!BH13&amp;"'"&amp;"!N2:N1000"))),"")="0","",IF(INDIRECT("'"&amp;Etiquettes!BH13&amp;"'"&amp;"!N1")=$A$7,_xlfn.TEXTJOIN(":",TRUE,_xlfn.UNIQUE(INDIRECT("'"&amp;Etiquettes!BH13&amp;"'"&amp;"!N2:N1000"))),""))</f>
        <v/>
      </c>
      <c r="BI7" s="937" t="str" cm="1">
        <f t="array" aca="1" ref="BI7" ca="1">IF(IF(INDIRECT("'"&amp;Etiquettes!BI13&amp;"'"&amp;"!N1")=$A$7,_xlfn.TEXTJOIN(":",TRUE,_xlfn.UNIQUE(INDIRECT("'"&amp;Etiquettes!BI13&amp;"'"&amp;"!N2:N1000"))),"")="0","",IF(INDIRECT("'"&amp;Etiquettes!BI13&amp;"'"&amp;"!N1")=$A$7,_xlfn.TEXTJOIN(":",TRUE,_xlfn.UNIQUE(INDIRECT("'"&amp;Etiquettes!BI13&amp;"'"&amp;"!N2:N1000"))),""))</f>
        <v/>
      </c>
      <c r="BJ7" s="937" t="str" cm="1">
        <f t="array" aca="1" ref="BJ7" ca="1">IF(IF(INDIRECT("'"&amp;Etiquettes!BJ13&amp;"'"&amp;"!N1")=$A$7,_xlfn.TEXTJOIN(":",TRUE,_xlfn.UNIQUE(INDIRECT("'"&amp;Etiquettes!BJ13&amp;"'"&amp;"!N2:N1000"))),"")="0","",IF(INDIRECT("'"&amp;Etiquettes!BJ13&amp;"'"&amp;"!N1")=$A$7,_xlfn.TEXTJOIN(":",TRUE,_xlfn.UNIQUE(INDIRECT("'"&amp;Etiquettes!BJ13&amp;"'"&amp;"!N2:N1000"))),""))</f>
        <v/>
      </c>
      <c r="BK7" s="937" t="str" cm="1">
        <f t="array" aca="1" ref="BK7" ca="1">IF(IF(INDIRECT("'"&amp;Etiquettes!BK13&amp;"'"&amp;"!N1")=$A$7,_xlfn.TEXTJOIN(":",TRUE,_xlfn.UNIQUE(INDIRECT("'"&amp;Etiquettes!BK13&amp;"'"&amp;"!N2:N1000"))),"")="0","",IF(INDIRECT("'"&amp;Etiquettes!BK13&amp;"'"&amp;"!N1")=$A$7,_xlfn.TEXTJOIN(":",TRUE,_xlfn.UNIQUE(INDIRECT("'"&amp;Etiquettes!BK13&amp;"'"&amp;"!N2:N1000"))),""))</f>
        <v>Consommation de produits alimentaires par les GMS (en volume de matière première) = 2 kt (OléoProtéines - Terres Univia):Consommation de produits alimentaires par les circuits spécialisés (en volume de matière première) = 0 kt (OléoProtéines - Terres Univia):Consommation de produits alimentaires par la RHD (en volume de matière première) = 1 kt (OléoProtéines - Terres Univia):Consommation de produits alimentaires par les autres IAA (en volume de matière première) = 2 kt (OléoProtéines - Terres Univia):Consommation de produits alimentaires par les GMS (en volume de matière première) = 52 kt (OléoProtéines - Terres Univia):Consommation de produits alimentaires par les circuits spécialisés (en volume de matière première) = 3 kt (OléoProtéines - Terres Univia):Consommation de produits alimentaires par la RHD (en volume de matière première) = 7 kt (OléoProtéines - Terres Univia):Consommation de produits alimentaires par les autres IAA (en volume de matière première) = 3 kt (OléoProtéines - Terres Univia):Consommation de produits alimentaires par les GMS (en volume de matière première) = 28 kt (OléoProtéines - Terres Univia):Consommation de produits alimentaires par les circuits spécialisés (en volume de matière première) = 1 kt (OléoProtéines - Terres Univia):Consommation de produits alimentaires par la RHD (en volume de matière première) = 5 kt (OléoProtéines - Terres Univia):Consommation de produits alimentaires par les GMS (en volume de matière première) = 55 kt (OléoProtéines - Terres Univia):Consommation de produits alimentaires par la RHD (en volume de matière première) = 11 kt (OléoProtéines - Terres Univia):Consommation de produits alimentaires par les autres IAA (en volume de matière première) = 7 kt (OléoProtéines - Terres Univia):Consommation de LS bruts par la RHD = 3 kt (OléoProtéines - Terres Univia):Consommation de LS appertisés et surgelés par la RHD = 4 kt (OléoProtéines - Terres Univia):Consommation de LS bruts par les ménages = 16 kt (OléoProtéines - Terres Univia):Consommation de LS appertisés et surgelés par les ménages = 36 kt (OléoProtéines - Terres Univia):Consommation de LS bruts par la RHD = 0 kt (OléoProtéines - Terres Univia):Consommation de LS bruts par les ménages = 1 kt (OléoProtéines - Terres Univia):Consommation de LS appertisés et surgelés par les ménages = 29 kt (OléoProtéines - Terres Univia):Consommation de LS bruts par les autres IAA = 0 kt (OléoProtéines - Terres Univia):Consommation de LS appertisés et surgelés par les autres IAA = 0 kt (OléoProtéines - Terres Univia):Consommation d'eau pour la fabrication de produits appertisés = 20 kt (OléoProtéines - Terres Univia):Consommation d'eau pour la fabrication de produits appertisés = 17 kt (OléoProtéines - Terres Univia)</v>
      </c>
      <c r="BL7" s="937" t="str" cm="1">
        <f t="array" aca="1" ref="BL7" ca="1">IF(IF(INDIRECT("'"&amp;Etiquettes!BL13&amp;"'"&amp;"!N1")=$A$7,_xlfn.TEXTJOIN(":",TRUE,_xlfn.UNIQUE(INDIRECT("'"&amp;Etiquettes!BL13&amp;"'"&amp;"!N2:N1000"))),"")="0","",IF(INDIRECT("'"&amp;Etiquettes!BL13&amp;"'"&amp;"!N1")=$A$7,_xlfn.TEXTJOIN(":",TRUE,_xlfn.UNIQUE(INDIRECT("'"&amp;Etiquettes!BL13&amp;"'"&amp;"!N2:N1000"))),""))</f>
        <v/>
      </c>
      <c r="BM7" s="937" t="str" cm="1">
        <f t="array" aca="1" ref="BM7" ca="1">IF(IF(INDIRECT("'"&amp;Etiquettes!BM13&amp;"'"&amp;"!N1")=$A$7,_xlfn.TEXTJOIN(":",TRUE,_xlfn.UNIQUE(INDIRECT("'"&amp;Etiquettes!BM13&amp;"'"&amp;"!N2:N1000"))),"")="0","",IF(INDIRECT("'"&amp;Etiquettes!BM13&amp;"'"&amp;"!N1")=$A$7,_xlfn.TEXTJOIN(":",TRUE,_xlfn.UNIQUE(INDIRECT("'"&amp;Etiquettes!BM13&amp;"'"&amp;"!N2:N1000"))),""))</f>
        <v/>
      </c>
      <c r="BN7" s="937" t="str" cm="1">
        <f t="array" aca="1" ref="BN7" ca="1">IF(IF(INDIRECT("'"&amp;Etiquettes!BN13&amp;"'"&amp;"!N1")=$A$7,_xlfn.TEXTJOIN(":",TRUE,_xlfn.UNIQUE(INDIRECT("'"&amp;Etiquettes!BN13&amp;"'"&amp;"!N2:N1000"))),"")="0","",IF(INDIRECT("'"&amp;Etiquettes!BN13&amp;"'"&amp;"!N1")=$A$7,_xlfn.TEXTJOIN(":",TRUE,_xlfn.UNIQUE(INDIRECT("'"&amp;Etiquettes!BN13&amp;"'"&amp;"!N2:N1000"))),""))</f>
        <v/>
      </c>
      <c r="BO7" s="937" t="str" cm="1">
        <f t="array" aca="1" ref="BO7" ca="1">IF(IF(INDIRECT("'"&amp;Etiquettes!BO13&amp;"'"&amp;"!N1")=$A$7,_xlfn.TEXTJOIN(":",TRUE,_xlfn.UNIQUE(INDIRECT("'"&amp;Etiquettes!BO13&amp;"'"&amp;"!N2:N1000"))),"")="0","",IF(INDIRECT("'"&amp;Etiquettes!BO13&amp;"'"&amp;"!N1")=$A$7,_xlfn.TEXTJOIN(":",TRUE,_xlfn.UNIQUE(INDIRECT("'"&amp;Etiquettes!BO13&amp;"'"&amp;"!N2:N1000"))),""))</f>
        <v/>
      </c>
      <c r="BP7" s="937" t="str" cm="1">
        <f t="array" aca="1" ref="BP7" ca="1">IF(IF(INDIRECT("'"&amp;Etiquettes!BP13&amp;"'"&amp;"!N1")=$A$7,_xlfn.TEXTJOIN(":",TRUE,_xlfn.UNIQUE(INDIRECT("'"&amp;Etiquettes!BP13&amp;"'"&amp;"!N2:N1000"))),"")="0","",IF(INDIRECT("'"&amp;Etiquettes!BP13&amp;"'"&amp;"!N1")=$A$7,_xlfn.TEXTJOIN(":",TRUE,_xlfn.UNIQUE(INDIRECT("'"&amp;Etiquettes!BP13&amp;"'"&amp;"!N2:N1000"))),""))</f>
        <v/>
      </c>
      <c r="BQ7" s="937" t="str" cm="1">
        <f t="array" aca="1" ref="BQ7" ca="1">IF(IF(INDIRECT("'"&amp;Etiquettes!BQ13&amp;"'"&amp;"!N1")=$A$7,_xlfn.TEXTJOIN(":",TRUE,_xlfn.UNIQUE(INDIRECT("'"&amp;Etiquettes!BQ13&amp;"'"&amp;"!N2:N1000"))),"")="0","",IF(INDIRECT("'"&amp;Etiquettes!BQ13&amp;"'"&amp;"!N1")=$A$7,_xlfn.TEXTJOIN(":",TRUE,_xlfn.UNIQUE(INDIRECT("'"&amp;Etiquettes!BQ13&amp;"'"&amp;"!N2:N1000"))),""))</f>
        <v/>
      </c>
      <c r="BR7" s="937" t="str" cm="1">
        <f t="array" aca="1" ref="BR7" ca="1">IF(IF(INDIRECT("'"&amp;Etiquettes!BR13&amp;"'"&amp;"!N1")=$A$7,_xlfn.TEXTJOIN(":",TRUE,_xlfn.UNIQUE(INDIRECT("'"&amp;Etiquettes!BR13&amp;"'"&amp;"!N2:N1000"))),"")="0","",IF(INDIRECT("'"&amp;Etiquettes!BR13&amp;"'"&amp;"!N1")=$A$7,_xlfn.TEXTJOIN(":",TRUE,_xlfn.UNIQUE(INDIRECT("'"&amp;Etiquettes!BR13&amp;"'"&amp;"!N2:N1000"))),""))</f>
        <v/>
      </c>
      <c r="BS7" s="937" t="str" cm="1">
        <f t="array" aca="1" ref="BS7" ca="1">IF(IF(INDIRECT("'"&amp;Etiquettes!BS13&amp;"'"&amp;"!N1")=$A$7,_xlfn.TEXTJOIN(":",TRUE,_xlfn.UNIQUE(INDIRECT("'"&amp;Etiquettes!BS13&amp;"'"&amp;"!N2:N1000"))),"")="0","",IF(INDIRECT("'"&amp;Etiquettes!BS13&amp;"'"&amp;"!N1")=$A$7,_xlfn.TEXTJOIN(":",TRUE,_xlfn.UNIQUE(INDIRECT("'"&amp;Etiquettes!BS13&amp;"'"&amp;"!N2:N1000"))),""))</f>
        <v/>
      </c>
      <c r="BT7" s="937" t="str" cm="1">
        <f t="array" aca="1" ref="BT7" ca="1">IF(IF(INDIRECT("'"&amp;Etiquettes!BT13&amp;"'"&amp;"!N1")=$A$7,_xlfn.TEXTJOIN(":",TRUE,_xlfn.UNIQUE(INDIRECT("'"&amp;Etiquettes!BT13&amp;"'"&amp;"!N2:N1000"))),"")="0","",IF(INDIRECT("'"&amp;Etiquettes!BT13&amp;"'"&amp;"!N1")=$A$7,_xlfn.TEXTJOIN(":",TRUE,_xlfn.UNIQUE(INDIRECT("'"&amp;Etiquettes!BT13&amp;"'"&amp;"!N2:N1000"))),""))</f>
        <v/>
      </c>
      <c r="BU7" s="937" t="str" cm="1">
        <f t="array" aca="1" ref="BU7" ca="1">IF(IF(INDIRECT("'"&amp;Etiquettes!BU13&amp;"'"&amp;"!N1")=$A$7,_xlfn.TEXTJOIN(":",TRUE,_xlfn.UNIQUE(INDIRECT("'"&amp;Etiquettes!BU13&amp;"'"&amp;"!N2:N1000"))),"")="0","",IF(INDIRECT("'"&amp;Etiquettes!BU13&amp;"'"&amp;"!N1")=$A$7,_xlfn.TEXTJOIN(":",TRUE,_xlfn.UNIQUE(INDIRECT("'"&amp;Etiquettes!BU13&amp;"'"&amp;"!N2:N1000"))),""))</f>
        <v/>
      </c>
      <c r="BV7" s="937" t="str" cm="1">
        <f t="array" aca="1" ref="BV7" ca="1">IF(IF(INDIRECT("'"&amp;Etiquettes!BV13&amp;"'"&amp;"!N1")=$A$7,_xlfn.TEXTJOIN(":",TRUE,_xlfn.UNIQUE(INDIRECT("'"&amp;Etiquettes!BV13&amp;"'"&amp;"!N2:N1000"))),"")="0","",IF(INDIRECT("'"&amp;Etiquettes!BV13&amp;"'"&amp;"!N1")=$A$7,_xlfn.TEXTJOIN(":",TRUE,_xlfn.UNIQUE(INDIRECT("'"&amp;Etiquettes!BV13&amp;"'"&amp;"!N2:N1000"))),""))</f>
        <v/>
      </c>
      <c r="BW7" s="937" t="str" cm="1">
        <f t="array" aca="1" ref="BW7" ca="1">IF(IF(INDIRECT("'"&amp;Etiquettes!BW13&amp;"'"&amp;"!N1")=$A$7,_xlfn.TEXTJOIN(":",TRUE,_xlfn.UNIQUE(INDIRECT("'"&amp;Etiquettes!BW13&amp;"'"&amp;"!N2:N1000"))),"")="0","",IF(INDIRECT("'"&amp;Etiquettes!BW13&amp;"'"&amp;"!N1")=$A$7,_xlfn.TEXTJOIN(":",TRUE,_xlfn.UNIQUE(INDIRECT("'"&amp;Etiquettes!BW13&amp;"'"&amp;"!N2:N1000"))),""))</f>
        <v/>
      </c>
      <c r="BX7" s="937" t="str" cm="1">
        <f t="array" aca="1" ref="BX7" ca="1">IF(IF(INDIRECT("'"&amp;Etiquettes!BX13&amp;"'"&amp;"!N1")=$A$7,_xlfn.TEXTJOIN(":",TRUE,_xlfn.UNIQUE(INDIRECT("'"&amp;Etiquettes!BX13&amp;"'"&amp;"!N2:N1000"))),"")="0","",IF(INDIRECT("'"&amp;Etiquettes!BX13&amp;"'"&amp;"!N1")=$A$7,_xlfn.TEXTJOIN(":",TRUE,_xlfn.UNIQUE(INDIRECT("'"&amp;Etiquettes!BX13&amp;"'"&amp;"!N2:N1000"))),""))</f>
        <v/>
      </c>
      <c r="BY7" s="937" t="str" cm="1">
        <f t="array" aca="1" ref="BY7" ca="1">IF(IF(INDIRECT("'"&amp;Etiquettes!BY13&amp;"'"&amp;"!N1")=$A$7,_xlfn.TEXTJOIN(":",TRUE,_xlfn.UNIQUE(INDIRECT("'"&amp;Etiquettes!BY13&amp;"'"&amp;"!N2:N1000"))),"")="0","",IF(INDIRECT("'"&amp;Etiquettes!BY13&amp;"'"&amp;"!N1")=$A$7,_xlfn.TEXTJOIN(":",TRUE,_xlfn.UNIQUE(INDIRECT("'"&amp;Etiquettes!BY13&amp;"'"&amp;"!N2:N1000"))),""))</f>
        <v/>
      </c>
      <c r="BZ7" s="937" t="str" cm="1">
        <f t="array" aca="1" ref="BZ7" ca="1">IF(IF(INDIRECT("'"&amp;Etiquettes!BZ13&amp;"'"&amp;"!N1")=$A$7,_xlfn.TEXTJOIN(":",TRUE,_xlfn.UNIQUE(INDIRECT("'"&amp;Etiquettes!BZ13&amp;"'"&amp;"!N2:N1000"))),"")="0","",IF(INDIRECT("'"&amp;Etiquettes!BZ13&amp;"'"&amp;"!N1")=$A$7,_xlfn.TEXTJOIN(":",TRUE,_xlfn.UNIQUE(INDIRECT("'"&amp;Etiquettes!BZ13&amp;"'"&amp;"!N2:N1000"))),""))</f>
        <v/>
      </c>
      <c r="CA7" s="937" t="str" cm="1">
        <f t="array" aca="1" ref="CA7" ca="1">IF(IF(INDIRECT("'"&amp;Etiquettes!CA13&amp;"'"&amp;"!N1")=$A$7,_xlfn.TEXTJOIN(":",TRUE,_xlfn.UNIQUE(INDIRECT("'"&amp;Etiquettes!CA13&amp;"'"&amp;"!N2:N1000"))),"")="0","",IF(INDIRECT("'"&amp;Etiquettes!CA13&amp;"'"&amp;"!N1")=$A$7,_xlfn.TEXTJOIN(":",TRUE,_xlfn.UNIQUE(INDIRECT("'"&amp;Etiquettes!CA13&amp;"'"&amp;"!N2:N1000"))),""))</f>
        <v/>
      </c>
      <c r="CB7" s="937" t="str" cm="1">
        <f t="array" aca="1" ref="CB7" ca="1">IF(IF(INDIRECT("'"&amp;Etiquettes!CB13&amp;"'"&amp;"!N1")=$A$7,_xlfn.TEXTJOIN(":",TRUE,_xlfn.UNIQUE(INDIRECT("'"&amp;Etiquettes!CB13&amp;"'"&amp;"!N2:N1000"))),"")="0","",IF(INDIRECT("'"&amp;Etiquettes!CB13&amp;"'"&amp;"!N1")=$A$7,_xlfn.TEXTJOIN(":",TRUE,_xlfn.UNIQUE(INDIRECT("'"&amp;Etiquettes!CB13&amp;"'"&amp;"!N2:N1000"))),""))</f>
        <v/>
      </c>
      <c r="CC7" s="937" t="str" cm="1">
        <f t="array" aca="1" ref="CC7" ca="1">IF(IF(INDIRECT("'"&amp;Etiquettes!CC13&amp;"'"&amp;"!N1")=$A$7,_xlfn.TEXTJOIN(":",TRUE,_xlfn.UNIQUE(INDIRECT("'"&amp;Etiquettes!CC13&amp;"'"&amp;"!N2:N1000"))),"")="0","",IF(INDIRECT("'"&amp;Etiquettes!CC13&amp;"'"&amp;"!N1")=$A$7,_xlfn.TEXTJOIN(":",TRUE,_xlfn.UNIQUE(INDIRECT("'"&amp;Etiquettes!CC13&amp;"'"&amp;"!N2:N1000"))),""))</f>
        <v/>
      </c>
      <c r="CD7" s="937" t="str" cm="1">
        <f t="array" aca="1" ref="CD7" ca="1">IF(IF(INDIRECT("'"&amp;Etiquettes!CD13&amp;"'"&amp;"!N1")=$A$7,_xlfn.TEXTJOIN(":",TRUE,_xlfn.UNIQUE(INDIRECT("'"&amp;Etiquettes!CD13&amp;"'"&amp;"!N2:N1000"))),"")="0","",IF(INDIRECT("'"&amp;Etiquettes!CD13&amp;"'"&amp;"!N1")=$A$7,_xlfn.TEXTJOIN(":",TRUE,_xlfn.UNIQUE(INDIRECT("'"&amp;Etiquettes!CD13&amp;"'"&amp;"!N2:N1000"))),""))</f>
        <v/>
      </c>
      <c r="CE7" s="937" t="str" cm="1">
        <f t="array" aca="1" ref="CE7" ca="1">IF(IF(INDIRECT("'"&amp;Etiquettes!CE13&amp;"'"&amp;"!N1")=$A$7,_xlfn.TEXTJOIN(":",TRUE,_xlfn.UNIQUE(INDIRECT("'"&amp;Etiquettes!CE13&amp;"'"&amp;"!N2:N1000"))),"")="0","",IF(INDIRECT("'"&amp;Etiquettes!CE13&amp;"'"&amp;"!N1")=$A$7,_xlfn.TEXTJOIN(":",TRUE,_xlfn.UNIQUE(INDIRECT("'"&amp;Etiquettes!CE13&amp;"'"&amp;"!N2:N1000"))),""))</f>
        <v/>
      </c>
      <c r="CF7" s="937" t="str" cm="1">
        <f t="array" aca="1" ref="CF7" ca="1">IF(IF(INDIRECT("'"&amp;Etiquettes!CF13&amp;"'"&amp;"!N1")=$A$7,_xlfn.TEXTJOIN(":",TRUE,_xlfn.UNIQUE(INDIRECT("'"&amp;Etiquettes!CF13&amp;"'"&amp;"!N2:N1000"))),"")="0","",IF(INDIRECT("'"&amp;Etiquettes!CF13&amp;"'"&amp;"!N1")=$A$7,_xlfn.TEXTJOIN(":",TRUE,_xlfn.UNIQUE(INDIRECT("'"&amp;Etiquettes!CF13&amp;"'"&amp;"!N2:N1000"))),""))</f>
        <v/>
      </c>
      <c r="CG7" s="937" t="str" cm="1">
        <f t="array" aca="1" ref="CG7" ca="1">IF(IF(INDIRECT("'"&amp;Etiquettes!CG13&amp;"'"&amp;"!N1")=$A$7,_xlfn.TEXTJOIN(":",TRUE,_xlfn.UNIQUE(INDIRECT("'"&amp;Etiquettes!CG13&amp;"'"&amp;"!N2:N1000"))),"")="0","",IF(INDIRECT("'"&amp;Etiquettes!CG13&amp;"'"&amp;"!N1")=$A$7,_xlfn.TEXTJOIN(":",TRUE,_xlfn.UNIQUE(INDIRECT("'"&amp;Etiquettes!CG13&amp;"'"&amp;"!N2:N1000"))),""))</f>
        <v/>
      </c>
      <c r="CH7" s="937" t="str" cm="1">
        <f t="array" aca="1" ref="CH7" ca="1">IF(IF(INDIRECT("'"&amp;Etiquettes!CH13&amp;"'"&amp;"!N1")=$A$7,_xlfn.TEXTJOIN(":",TRUE,_xlfn.UNIQUE(INDIRECT("'"&amp;Etiquettes!CH13&amp;"'"&amp;"!N2:N1000"))),"")="0","",IF(INDIRECT("'"&amp;Etiquettes!CH13&amp;"'"&amp;"!N1")=$A$7,_xlfn.TEXTJOIN(":",TRUE,_xlfn.UNIQUE(INDIRECT("'"&amp;Etiquettes!CH13&amp;"'"&amp;"!N2:N1000"))),""))</f>
        <v>Stock initial collecteurs = 61 kt (Bilans par campagne - FranceAgriMer):Stock final collecteurs = 115 kt (Bilans par campagne - FranceAgriMer):Stock initial collecteurs = 79 kt (Bilans par campagne - FranceAgriMer):Stock final collecteurs = 82 kt (Bilans par campagne - FranceAgriMer):Stock initial collecteurs = 44 kt (Bilans par campagne - FranceAgriMer):Stock final collecteurs = 41 kt (Bilans par campagne - FranceAgriMer):Stock initial collecteurs = 57 kt (Bilans par campagne - FranceAgriMer):Stock final collecteurs = 65 kt (Bilans par campagne - FranceAgriMer):Stock initial collecteurs = 34 kt (Bilans par campagne - FranceAgriMer):Stock final collecteurs = 59 kt (Bilans par campagne - FranceAgriMer):Stock initial collecteurs = 2 kt (Collectes, stocks - FranceAgriMer):Stock final collecteurs = 6 kt (Collectes, stocks - FranceAgriMer):Stock initial collecteurs = 3 kt (Collectes, stocks - FranceAgriMer):Stock final collecteurs = 11 kt (Collectes, stocks - FranceAgriMer):Stock final collecteurs = 3 kt (Collectes, stocks - FranceAgriMer):Production de semences certifiées = 10 kt (Bilans par campagne - FranceAgriMer):Production de semences certifiées = 8 kt (Bilans par campagne - FranceAgriMer):Production de semences certifiées = 25 kt (Bilans par campagne - FranceAgriMer):Production de semences certifiées = 1 kt (Collectes, stocks - FranceAgriMer):Production de semences certifiées = 2 kt (Collectes, stocks - FranceAgriMer):Production de semences certifiées = 5 kt (Collectes, stocks - FranceAgriMer)</v>
      </c>
      <c r="CI7" s="937" t="str" cm="1">
        <f t="array" aca="1" ref="CI7" ca="1">IF(IF(INDIRECT("'"&amp;Etiquettes!CI13&amp;"'"&amp;"!N1")=$A$7,_xlfn.TEXTJOIN(":",TRUE,_xlfn.UNIQUE(INDIRECT("'"&amp;Etiquettes!CI13&amp;"'"&amp;"!N2:N1000"))),"")="0","",IF(INDIRECT("'"&amp;Etiquettes!CI13&amp;"'"&amp;"!N1")=$A$7,_xlfn.TEXTJOIN(":",TRUE,_xlfn.UNIQUE(INDIRECT("'"&amp;Etiquettes!CI13&amp;"'"&amp;"!N2:N1000"))),""))</f>
        <v/>
      </c>
    </row>
    <row r="8" spans="1:88">
      <c r="A8" t="s">
        <v>691</v>
      </c>
      <c r="B8" s="34" t="s">
        <v>35</v>
      </c>
      <c r="C8" s="937" t="str">
        <f t="shared" ca="1" si="0"/>
        <v>Ratio d'issues de silo = 1,7 % (ONRB - FranceAgriMer):Ratio d'issues de silo = 1 % (ONRB - FranceAgriMer):Part d'issues de silo consommées par les FAF = 56,33 % (ONRB - FranceAgriMer):Part d'issues de silo consommées comme litière = 0,77 % (ONRB - FranceAgriMer):Part d'issues de silo compostées = 0 % (ONRB - FranceAgriMer):Part d'issues de silo consommées comme autres biomatériaux = 0,77 % (ONRB - FranceAgriMer):Part d'issues de silo consommées en méthanisation = 40,72 % (ONRB - FranceAgriMer):Part d'issues de silo brûlées = 1,03 % (ONRB - FranceAgriMer):0:Ratio de pertes à la ferme = 0,1 % (ORIFLAAM):Ratio de pertes à la ferme = 2 % (ORIFLAAM):Part de semences fermières (par rapport aux semences certifiées) = 20,51 % (Enquête Pratiques culturales en grandes cultures - SSP):Part de semences fermières (par rapport aux semences certifiées) = 0,7 % (Enquête Pratiques culturales en grandes cultures - SSP):Part de semences fermières (par rapport aux semences certifiées) = 180,11 % (Enquête Pratiques culturales en grandes cultures - SSP):Part de semences fermières (par rapport aux semences certifiées) = 143,31 % (Enquête Pratiques culturales en grandes cultures - SSP):Part de semences fermières (par rapport aux semences certifiées) = 150 % (Estimation - Terres Univia):Part de semences fermières (par rapport aux semences certifiées) = 428,57 % (Estimation - Terres Univia):Part de semences fermières (par rapport aux semences certifiées) = 17,07 % (Enquête Pratiques culturales en grandes cultures - SSP):Part de semences fermières (par rapport aux semences certifiées) = 140,06 % (Enquête Pratiques culturales en grandes cultures - SSP):Part de semences fermières (par rapport aux semences certifiées) = 76,3 % (Enquête Pratiques culturales en grandes cultures - SSP):Part de semences fermières (par rapport aux semences certifiées) = 13,64 % (Enquête Pratiques culturales en grandes cultures - SSP):Part de semences fermières (par rapport aux semences certifiées) = 100 % (Enquête Pratiques culturales en grandes cultures - SSP):Part de semences fermières (par rapport aux semences certifiées) = 9,29 % (Enquête Pratiques culturales en grandes cultures - SSP):0:Importation de graines = 9 kt (Douanes françaises - Eurostat):Exportation de graines = 334 kt (Douanes françaises - Eurostat):Importation de graines = 19 kt (Douanes françaises - Eurostat):Exportation de graines = 275 kt (Douanes françaises - Eurostat):Importation de graines = 21 kt (Douanes françaises - Eurostat):Exportation de graines = 219 kt (Bilans par campagne - FranceAgriMer):Importation de graines = 7 kt (Douanes françaises - Eurostat):Exportation de graines = 6 kt (Douanes françaises - Eurostat):Exportation de graines = 16 kt (Douanes françaises - Eurostat):Importation de graines = 13 kt (Douanes françaises - Eurostat):Exportation de graines = 17 kt (Douanes françaises - Eurostat):Importation de graines = 34 kt (Douanes françaises - Eurostat):Exportation de graines = 5 kt (Douanes françaises - Eurostat):Importation de graines = 35 kt (Douanes françaises - Eurostat):Exportation de graines = 8 kt (Douanes françaises - Eurostat):Importation de graines = 29 kt (Douanes françaises - Eurostat):Importation de graines = 28 kt (Douanes françaises - Eurostat):Importation de graines = 38 kt (Douanes françaises - Eurostat):Exportation de graines = 4 kt (Douanes françaises - Eurostat):Importation de graines = 15 kt (Douanes françaises - Eurostat):Exportation de graines = 93 kt (Douanes françaises - Eurostat):Importation de graines = 30 kt (Douanes françaises - Eurostat):Exportation de graines = 46 kt (Douanes françaises - Eurostat):Importation de graines = 36 kt (Douanes françaises - Eurostat):Exportation de graines = 75 kt (Douanes françaises - Eurostat):Importation de graines = 848 kt (Douanes françaises - Eurostat):Exportation de graines = 96 kt (Douanes françaises - Eurostat):Importation de graines = 658 kt (Douanes françaises - Eurostat):Exportation de graines = 164 kt (Douanes françaises - Eurostat):Importation de graines = 403 kt (Douanes françaises - Eurostat):Exportation de graines = 140 kt (Douanes françaises - Eurostat):Importation de graines = 25 kt (Douanes françaises - Eurostat):Exportation de graines = 10 kt (Douanes françaises - Eurostat):Exportation de graines = 13 kt (Douanes françaises - Eurostat):Importation de graines = 1215 kt (Douanes françaises - Eurostat):Exportation de graines = 1511 kt (Douanes françaises - Eurostat):Importation de graines = 1607 kt (Douanes françaises - Eurostat):Exportation de graines = 1157 kt (Douanes françaises - Eurostat):Importation de graines = 1286 kt (Douanes françaises - Eurostat):Exportation de graines = 1154 kt (Douanes françaises - Eurostat):Importation de graines = 236 kt (Douanes françaises - Eurostat):Exportation de graines = 328 kt (Douanes françaises - Eurostat):Importation de graines = 305 kt (Douanes françaises - Eurostat):Exportation de graines = 476 kt (Douanes françaises - Eurostat):Importation de graines = 204 kt (Douanes françaises - Eurostat):Exportation de graines = 569 kt (Douanes françaises - Eurostat):Importation de graines = 0 kt (Douanes françaises - Eurostat):Exportation de graines = 0 kt (Douanes françaises - Eurostat):Importation d'huile = 84 kt (Douanes françaises - Eurostat):Exportation d'huile = 133 kt (Douanes françaises - Eurostat):Importation d'huile = 66 kt (Douanes françaises - Eurostat):Exportation d'huile = 53 kt (Douanes françaises - Eurostat):Importation d'huile = 64 kt (Douanes françaises - Eurostat):Exportation d'huile = 69 kt (Douanes françaises - Eurostat):Importation d'huile = 268 kt (Douanes françaises - Eurostat):Exportation d'huile = 319 kt (Douanes françaises - Eurostat):Importation d'huile = 336 kt (Douanes françaises - Eurostat):Exportation d'huile = 357 kt (Douanes françaises - Eurostat):Importation d'huile = 408 kt (Douanes françaises - Eurostat):Exportation d'huile = 491 kt (Douanes françaises - Eurostat):Importation d'huile = 135 kt (Douanes françaises - Eurostat):Exportation d'huile = 330 kt (Douanes françaises - Eurostat):Importation d'huile = 104 kt (Douanes françaises - Eurostat):Exportation d'huile = 338 kt (Douanes françaises - Eurostat):Importation d'huile = 144 kt (Douanes françaises - Eurostat):Exportation d'huile = 626 kt (Douanes françaises - Eurostat):Importation d'huile = 4 kt (Douanes françaises - Eurostat):Exportation d'huile = 0 kt (Douanes françaises - Eurostat):Importation d'huile = 9 kt (Douanes françaises - Eurostat):Exportation d'huile = 1 kt (Douanes françaises - Eurostat):Importation d'huile = 6 kt (Douanes françaises - Eurostat):Importation de tourteaux = 3432 kt (Douanes françaises - Eurostat):Exportation de tourteaux = 19 kt (Douanes françaises - Eurostat):Importation de tourteaux = 2926 kt (Douanes françaises - Eurostat):Exportation de tourteaux = 62 kt (Douanes françaises - Eurostat):Importation de tourteaux = 2780 kt (Douanes françaises - Eurostat):Exportation de tourteaux = 57 kt (Douanes françaises - Eurostat):Importation de tourteaux = 882 kt (Douanes françaises - Eurostat):Exportation de tourteaux = 54 kt (Douanes françaises - Eurostat):Importation de tourteaux = 986 kt (Douanes françaises - Eurostat):Exportation de tourteaux = 105 kt (Douanes françaises - Eurostat):Importation de tourteaux = 870 kt (Douanes françaises - Eurostat):Exportation de tourteaux = 122 kt (Douanes françaises - Eurostat):Importation de tourteaux = 495 kt (Douanes françaises - Eurostat):Exportation de tourteaux = 552 kt (Douanes françaises - Eurostat):Importation de tourteaux = 526 kt (Douanes françaises - Eurostat):Exportation de tourteaux = 510 kt (Douanes françaises - Eurostat):Importation de tourteaux = 684 kt (Douanes françaises - Eurostat):Exportation de tourteaux = 377 kt (Douanes françaises - Eurostat):Importation de tourteaux = 90 kt (Douanes françaises - Eurostat):Exportation de tourteaux = 0 kt (Douanes françaises - Eurostat):Exportation de tourteaux = 1 kt (Douanes françaises - Eurostat):Importation de tourteaux = 76 kt (Douanes françaises - Eurostat):Importation d'olives = 2 kt (Douanes françaises - Eurostat):Exportation d'olives = 0 kt (Douanes françaises - Eurostat):Importation d'huile d'olive = 118 kt (Douanes françaises - Eurostat):Exportation d'huile d'olive = 10 kt (Douanes françaises - Eurostat):Importation d'huile d'olive = 134 kt (Douanes françaises - Eurostat):Importation d'huile d'olive = 119 kt (Douanes françaises - Eurostat):Exportation d'huile d'olive = 15 kt (Douanes françaises - Eurostat):Importation de grignons d'olive = 9 kt (Douanes françaises - Eurostat):Exportation de grignons d'olive = 0 kt (Douanes françaises - Eurostat):Importation de grignons d'olive = 25 kt (Douanes françaises - Eurostat):Exportation de grignons d'olive = 1 kt (Douanes françaises - Eurostat):Importation de grignons d'olive = 12 kt (Douanes françaises - Eurostat):Importation d'olives de table = 87 kt (Douanes françaises - Eurostat):Exportation d'olives de table = 4 kt (Douanes françaises - Eurostat):Importation d'olives de table = 92 kt (Douanes françaises - Eurostat):Exportation d'olives de table = 3 kt (Douanes françaises - Eurostat):Importation d'olives de table = 89 kt (Douanes françaises - Eurostat):Rendement de production d'huile brute = 36,33 % (FEDIOL):Rendement de production de tourteaux = 63,67 % (FEDIOL):Part de tourteaux consommés par les FAB = 66,66 % (ONRB - FranceAgriMer):Part de tourteaux consommés par les FAB = 75 % (ONRB - FranceAgriMer):Part de tourteaux consommés par les FAB = 33,34 % (ONRB - FranceAgriMer):Part de tourteaux consommés par les FAB = 25 % (ONRB - FranceAgriMer):Part de la collecte = 50 % ():Part du stock initial = 10 % ():Part du stock final = 10 % ():Part de la production de semences certifiées = 10 % ():Ecart statistique relatif = 18,06 % ():Ecart statistique relatif = 14,29 % ():Part de consommation de produits alimentaires par les GMS (en volume de matière première) = 79,82 % (OléoProtéines - Terres Univia):Part de consommation de produits alimentaires par les circuits spécialisés (en volume de matière première) = 3,99 % (OléoProtéines - Terres Univia):Part de consommation de produits alimentaires par la RHD (en volume de matière première) = 10,9 % (OléoProtéines - Terres Univia):Part de consommation de produits alimentaires par les autres IAA (en volume de matière première) = 5,29 % (OléoProtéines - Terres Univia):Part de consommation de produits alimentaires par les GMS (en volume de matière première) = 75,44 % (OléoProtéines - Terres Univia):Part de consommation de produits alimentaires par les circuits spécialisés (en volume de matière première) = 3,77 % (OléoProtéines - Terres Univia):Part de consommation de produits alimentaires par la RHD (en volume de matière première) = 12,53 % (OléoProtéines - Terres Univia):Part de consommation de produits alimentaires par les autres IAA (en volume de matière première) = 8,26 % (OléoProtéines - Terres Univia):Part de consommation de produits alimentaires par les GMS (en volume de matière première) = 73,11 % (OléoProtéines - Terres Univia):Part de consommation de produits alimentaires par les circuits spécialisés (en volume de matière première) = 3,66 % (OléoProtéines - Terres Univia):Part de consommation de produits alimentaires par la RHD (en volume de matière première) = 14,09 % (OléoProtéines - Terres Univia):Part de consommation de produits alimentaires par les autres IAA (en volume de matière première) = 9,15 % (OléoProtéines - Terres Univia):Rendement de production d'amidon = 40 % (Chiffres clés - USIPA):Rendement de production de protéine = 17 % (Composition - Feedtables):Rendement de production de farine = 76,92 % (ONRB - FranceAgriMer):Rendement de production de protéine = 30 % (Composition - Feedtables):Rendement de production d'huile = 42,4 % (Rapport méthodo Ademe calcul ACV - Terres Univia):Rendement de production de tourteau = 55,8 % (Rapport méthodo Ademe calcul ACV - Terres Univia):Rendement de production de coques (+ eau) = 1,8 % (Rapport méthodo Ademe calcul ACV - Terres Univia):Rendement de production d'huile = 44,3 % (Rapport méthodo Ademe calcul ACV - Terres Univia):Rendement de production de tourteau = 54 % (Rapport méthodo Ademe calcul ACV - Terres Univia):Rendement de production de coques (+ eau) = 1,7 % (Rapport méthodo Ademe calcul ACV - Terres Univia):Rendement de production d'huile = 18,8 % (Rapport méthodo Ademe calcul ACV - Terres Univia):Rendement de production de tourteau = 79,4 % (Rapport méthodo Ademe calcul ACV - Terres Univia):Part de la consommation des coques (+ eau) par les FAB = 100 % (Terres Univia):Part de la consommation des coques (+ eau) pour la combustion = 100 % (Terres Univia):Part de consommation d'huile par les ménages = 64,88 % (Terres Univia):Part de consommation d'huile par les autres IAA = 21,8 % (Terres Univia):Part de consommation d'huile par les autres industries = 7,96 % (Terres Univia):Part de consommation d'huile en biocarburants = 5,36 % (Veille concurrentielle biocarburants - FranceAgriMer):Part de consommation d'huile en alimentation humaine = 36,8 % (Terres Univia):Part de consommation d'huile en biocarburants = 61,12 % (Veille concurrentielle biocarburants - FranceAgriMer):Part de consommation d'huile pour des usages non-alimentaires = 2,08 % (Terres Univia):Part de consommation de tourteaux en FAB = 83,04 % (ORIFLAAM):Part de consommation de tourteaux en hors FAB = 16,96 % (ORIFLAAM):Part de consommation de tourteaux en FAB = 92,6 % (ORIFLAAM):Part de consommation de tourteaux en hors FAB = 7,4 % (ORIFLAAM):Part de consommation de tourteaux en FAB = 84,32 % (ORIFLAAM):Part de consommation de tourteaux en hors FAB = 15,68 % (ORIFLAAM):Part de consommation de tourteaux en FAB = 97,59 % (ORIFLAAM):Part de consommation de tourteaux en hors FAB = 2,41 % (ORIFLAAM):Part de consommation d'huile par les ménages = 64,88 % (Terres Univia):Consommation de graines en alimentation humaine = 45 kt (Bilans par campagne - FranceAgriMer):0:Consommation de LS bruts par les autres IAA = 0 kt (OléoProtéines - Terres Univia):Consommation de LS appertisés et surgelés par les autres IAA = 0 kt (OléoProtéines - Terres Univia)</v>
      </c>
      <c r="G8" s="937" t="e" cm="1">
        <f t="array" aca="1" ref="G8" ca="1">IF(IF(INDIRECT("'"&amp;Etiquettes!G13&amp;"'"&amp;"!N1")=$A$8,_xlfn.TEXTJOIN(":",TRUE,_xlfn.UNIQUE(INDIRECT("'"&amp;Etiquettes!G13&amp;"'"&amp;"!N2:N1000"))),"")="0","",IF(INDIRECT("'"&amp;Etiquettes!G13&amp;"'"&amp;"!N1")=$A$8,_xlfn.TEXTJOIN(":",TRUE,_xlfn.UNIQUE(INDIRECT("'"&amp;Etiquettes!G13&amp;"'"&amp;"!N2:N1000"))),""))</f>
        <v>#REF!</v>
      </c>
      <c r="H8" s="937" t="str" cm="1">
        <f t="array" aca="1" ref="H8" ca="1">IF(IF(INDIRECT("'"&amp;Etiquettes!H13&amp;"'"&amp;"!N1")=$A$8,_xlfn.TEXTJOIN(":",TRUE,_xlfn.UNIQUE(INDIRECT("'"&amp;Etiquettes!H13&amp;"'"&amp;"!N2:N1000"))),"")="0","",IF(INDIRECT("'"&amp;Etiquettes!H13&amp;"'"&amp;"!N1")=$A$8,_xlfn.TEXTJOIN(":",TRUE,_xlfn.UNIQUE(INDIRECT("'"&amp;Etiquettes!H13&amp;"'"&amp;"!N2:N1000"))),""))</f>
        <v/>
      </c>
      <c r="I8" s="937" t="str" cm="1">
        <f t="array" aca="1" ref="I8" ca="1">IF(IF(INDIRECT("'"&amp;Etiquettes!I13&amp;"'"&amp;"!N1")=$A$8,_xlfn.TEXTJOIN(":",TRUE,_xlfn.UNIQUE(INDIRECT("'"&amp;Etiquettes!I13&amp;"'"&amp;"!N2:N1000"))),"")="0","",IF(INDIRECT("'"&amp;Etiquettes!I13&amp;"'"&amp;"!N1")=$A$8,_xlfn.TEXTJOIN(":",TRUE,_xlfn.UNIQUE(INDIRECT("'"&amp;Etiquettes!I13&amp;"'"&amp;"!N2:N1000"))),""))</f>
        <v/>
      </c>
      <c r="J8" s="937" t="str" cm="1">
        <f t="array" aca="1" ref="J8" ca="1">IF(IF(INDIRECT("'"&amp;Etiquettes!J13&amp;"'"&amp;"!N1")=$A$8,_xlfn.TEXTJOIN(":",TRUE,_xlfn.UNIQUE(INDIRECT("'"&amp;Etiquettes!J13&amp;"'"&amp;"!N2:N1000"))),"")="0","",IF(INDIRECT("'"&amp;Etiquettes!J13&amp;"'"&amp;"!N1")=$A$8,_xlfn.TEXTJOIN(":",TRUE,_xlfn.UNIQUE(INDIRECT("'"&amp;Etiquettes!J13&amp;"'"&amp;"!N2:N1000"))),""))</f>
        <v/>
      </c>
      <c r="K8" s="937" t="str" cm="1">
        <f t="array" aca="1" ref="K8" ca="1">IF(IF(INDIRECT("'"&amp;Etiquettes!K13&amp;"'"&amp;"!N1")=$A$8,_xlfn.TEXTJOIN(":",TRUE,_xlfn.UNIQUE(INDIRECT("'"&amp;Etiquettes!K13&amp;"'"&amp;"!N2:N1000"))),"")="0","",IF(INDIRECT("'"&amp;Etiquettes!K13&amp;"'"&amp;"!N1")=$A$8,_xlfn.TEXTJOIN(":",TRUE,_xlfn.UNIQUE(INDIRECT("'"&amp;Etiquettes!K13&amp;"'"&amp;"!N2:N1000"))),""))</f>
        <v/>
      </c>
      <c r="L8" s="937" t="str" cm="1">
        <f t="array" aca="1" ref="L8" ca="1">IF(IF(INDIRECT("'"&amp;Etiquettes!L13&amp;"'"&amp;"!N1")=$A$8,_xlfn.TEXTJOIN(":",TRUE,_xlfn.UNIQUE(INDIRECT("'"&amp;Etiquettes!L13&amp;"'"&amp;"!N2:N1000"))),"")="0","",IF(INDIRECT("'"&amp;Etiquettes!L13&amp;"'"&amp;"!N1")=$A$8,_xlfn.TEXTJOIN(":",TRUE,_xlfn.UNIQUE(INDIRECT("'"&amp;Etiquettes!L13&amp;"'"&amp;"!N2:N1000"))),""))</f>
        <v/>
      </c>
      <c r="M8" s="937" t="str" cm="1">
        <f t="array" aca="1" ref="M8" ca="1">IF(IF(INDIRECT("'"&amp;Etiquettes!M13&amp;"'"&amp;"!N1")=$A$8,_xlfn.TEXTJOIN(":",TRUE,_xlfn.UNIQUE(INDIRECT("'"&amp;Etiquettes!M13&amp;"'"&amp;"!N2:N1000"))),"")="0","",IF(INDIRECT("'"&amp;Etiquettes!M13&amp;"'"&amp;"!N1")=$A$8,_xlfn.TEXTJOIN(":",TRUE,_xlfn.UNIQUE(INDIRECT("'"&amp;Etiquettes!M13&amp;"'"&amp;"!N2:N1000"))),""))</f>
        <v/>
      </c>
      <c r="N8" s="937" t="str" cm="1">
        <f t="array" aca="1" ref="N8" ca="1">IF(IF(INDIRECT("'"&amp;Etiquettes!N13&amp;"'"&amp;"!N1")=$A$8,_xlfn.TEXTJOIN(":",TRUE,_xlfn.UNIQUE(INDIRECT("'"&amp;Etiquettes!N13&amp;"'"&amp;"!N2:N1000"))),"")="0","",IF(INDIRECT("'"&amp;Etiquettes!N13&amp;"'"&amp;"!N1")=$A$8,_xlfn.TEXTJOIN(":",TRUE,_xlfn.UNIQUE(INDIRECT("'"&amp;Etiquettes!N13&amp;"'"&amp;"!N2:N1000"))),""))</f>
        <v/>
      </c>
      <c r="O8" s="937" t="str" cm="1">
        <f t="array" aca="1" ref="O8" ca="1">IF(IF(INDIRECT("'"&amp;Etiquettes!O13&amp;"'"&amp;"!N1")=$A$8,_xlfn.TEXTJOIN(":",TRUE,_xlfn.UNIQUE(INDIRECT("'"&amp;Etiquettes!O13&amp;"'"&amp;"!N2:N1000"))),"")="0","",IF(INDIRECT("'"&amp;Etiquettes!O13&amp;"'"&amp;"!N1")=$A$8,_xlfn.TEXTJOIN(":",TRUE,_xlfn.UNIQUE(INDIRECT("'"&amp;Etiquettes!O13&amp;"'"&amp;"!N2:N1000"))),""))</f>
        <v/>
      </c>
      <c r="P8" s="937" t="str" cm="1">
        <f t="array" aca="1" ref="P8" ca="1">IF(IF(INDIRECT("'"&amp;Etiquettes!P13&amp;"'"&amp;"!N1")=$A$8,_xlfn.TEXTJOIN(":",TRUE,_xlfn.UNIQUE(INDIRECT("'"&amp;Etiquettes!P13&amp;"'"&amp;"!N2:N1000"))),"")="0","",IF(INDIRECT("'"&amp;Etiquettes!P13&amp;"'"&amp;"!N1")=$A$8,_xlfn.TEXTJOIN(":",TRUE,_xlfn.UNIQUE(INDIRECT("'"&amp;Etiquettes!P13&amp;"'"&amp;"!N2:N1000"))),""))</f>
        <v/>
      </c>
      <c r="Q8" s="937" t="str" cm="1">
        <f t="array" aca="1" ref="Q8" ca="1">IF(IF(INDIRECT("'"&amp;Etiquettes!Q13&amp;"'"&amp;"!N1")=$A$8,_xlfn.TEXTJOIN(":",TRUE,_xlfn.UNIQUE(INDIRECT("'"&amp;Etiquettes!Q13&amp;"'"&amp;"!N2:N1000"))),"")="0","",IF(INDIRECT("'"&amp;Etiquettes!Q13&amp;"'"&amp;"!N1")=$A$8,_xlfn.TEXTJOIN(":",TRUE,_xlfn.UNIQUE(INDIRECT("'"&amp;Etiquettes!Q13&amp;"'"&amp;"!N2:N1000"))),""))</f>
        <v/>
      </c>
      <c r="R8" s="937" t="str" cm="1">
        <f t="array" aca="1" ref="R8" ca="1">IF(IF(INDIRECT("'"&amp;Etiquettes!R13&amp;"'"&amp;"!N1")=$A$8,_xlfn.TEXTJOIN(":",TRUE,_xlfn.UNIQUE(INDIRECT("'"&amp;Etiquettes!R13&amp;"'"&amp;"!N2:N1000"))),"")="0","",IF(INDIRECT("'"&amp;Etiquettes!R13&amp;"'"&amp;"!N1")=$A$8,_xlfn.TEXTJOIN(":",TRUE,_xlfn.UNIQUE(INDIRECT("'"&amp;Etiquettes!R13&amp;"'"&amp;"!N2:N1000"))),""))</f>
        <v/>
      </c>
      <c r="S8" s="937" t="str" cm="1">
        <f t="array" aca="1" ref="S8" ca="1">IF(IF(INDIRECT("'"&amp;Etiquettes!S13&amp;"'"&amp;"!N1")=$A$8,_xlfn.TEXTJOIN(":",TRUE,_xlfn.UNIQUE(INDIRECT("'"&amp;Etiquettes!S13&amp;"'"&amp;"!N2:N1000"))),"")="0","",IF(INDIRECT("'"&amp;Etiquettes!S13&amp;"'"&amp;"!N1")=$A$8,_xlfn.TEXTJOIN(":",TRUE,_xlfn.UNIQUE(INDIRECT("'"&amp;Etiquettes!S13&amp;"'"&amp;"!N2:N1000"))),""))</f>
        <v/>
      </c>
      <c r="T8" s="937" t="str" cm="1">
        <f t="array" aca="1" ref="T8" ca="1">IF(IF(INDIRECT("'"&amp;Etiquettes!T13&amp;"'"&amp;"!N1")=$A$8,_xlfn.TEXTJOIN(":",TRUE,_xlfn.UNIQUE(INDIRECT("'"&amp;Etiquettes!T13&amp;"'"&amp;"!N2:N1000"))),"")="0","",IF(INDIRECT("'"&amp;Etiquettes!T13&amp;"'"&amp;"!N1")=$A$8,_xlfn.TEXTJOIN(":",TRUE,_xlfn.UNIQUE(INDIRECT("'"&amp;Etiquettes!T13&amp;"'"&amp;"!N2:N1000"))),""))</f>
        <v/>
      </c>
      <c r="U8" s="937" t="str" cm="1">
        <f t="array" aca="1" ref="U8" ca="1">IF(IF(INDIRECT("'"&amp;Etiquettes!U13&amp;"'"&amp;"!N1")=$A$8,_xlfn.TEXTJOIN(":",TRUE,_xlfn.UNIQUE(INDIRECT("'"&amp;Etiquettes!U13&amp;"'"&amp;"!N2:N1000"))),"")="0","",IF(INDIRECT("'"&amp;Etiquettes!U13&amp;"'"&amp;"!N1")=$A$8,_xlfn.TEXTJOIN(":",TRUE,_xlfn.UNIQUE(INDIRECT("'"&amp;Etiquettes!U13&amp;"'"&amp;"!N2:N1000"))),""))</f>
        <v/>
      </c>
      <c r="V8" s="937" t="str" cm="1">
        <f t="array" aca="1" ref="V8" ca="1">IF(IF(INDIRECT("'"&amp;Etiquettes!V13&amp;"'"&amp;"!N1")=$A$8,_xlfn.TEXTJOIN(":",TRUE,_xlfn.UNIQUE(INDIRECT("'"&amp;Etiquettes!V13&amp;"'"&amp;"!N2:N1000"))),"")="0","",IF(INDIRECT("'"&amp;Etiquettes!V13&amp;"'"&amp;"!N1")=$A$8,_xlfn.TEXTJOIN(":",TRUE,_xlfn.UNIQUE(INDIRECT("'"&amp;Etiquettes!V13&amp;"'"&amp;"!N2:N1000"))),""))</f>
        <v/>
      </c>
      <c r="W8" s="937" t="str" cm="1">
        <f t="array" aca="1" ref="W8" ca="1">IF(IF(INDIRECT("'"&amp;Etiquettes!W13&amp;"'"&amp;"!N1")=$A$8,_xlfn.TEXTJOIN(":",TRUE,_xlfn.UNIQUE(INDIRECT("'"&amp;Etiquettes!W13&amp;"'"&amp;"!N2:N1000"))),"")="0","",IF(INDIRECT("'"&amp;Etiquettes!W13&amp;"'"&amp;"!N1")=$A$8,_xlfn.TEXTJOIN(":",TRUE,_xlfn.UNIQUE(INDIRECT("'"&amp;Etiquettes!W13&amp;"'"&amp;"!N2:N1000"))),""))</f>
        <v/>
      </c>
      <c r="X8" s="937" t="str" cm="1">
        <f t="array" aca="1" ref="X8" ca="1">IF(IF(INDIRECT("'"&amp;Etiquettes!X13&amp;"'"&amp;"!N1")=$A$8,_xlfn.TEXTJOIN(":",TRUE,_xlfn.UNIQUE(INDIRECT("'"&amp;Etiquettes!X13&amp;"'"&amp;"!N2:N1000"))),"")="0","",IF(INDIRECT("'"&amp;Etiquettes!X13&amp;"'"&amp;"!N1")=$A$8,_xlfn.TEXTJOIN(":",TRUE,_xlfn.UNIQUE(INDIRECT("'"&amp;Etiquettes!X13&amp;"'"&amp;"!N2:N1000"))),""))</f>
        <v/>
      </c>
      <c r="Y8" s="937" t="str" cm="1">
        <f t="array" aca="1" ref="Y8" ca="1">IF(IF(INDIRECT("'"&amp;Etiquettes!Y13&amp;"'"&amp;"!N1")=$A$8,_xlfn.TEXTJOIN(":",TRUE,_xlfn.UNIQUE(INDIRECT("'"&amp;Etiquettes!Y13&amp;"'"&amp;"!N2:N1000"))),"")="0","",IF(INDIRECT("'"&amp;Etiquettes!Y13&amp;"'"&amp;"!N1")=$A$8,_xlfn.TEXTJOIN(":",TRUE,_xlfn.UNIQUE(INDIRECT("'"&amp;Etiquettes!Y13&amp;"'"&amp;"!N2:N1000"))),""))</f>
        <v/>
      </c>
      <c r="Z8" s="937" t="str" cm="1">
        <f t="array" aca="1" ref="Z8" ca="1">IF(IF(INDIRECT("'"&amp;Etiquettes!Z13&amp;"'"&amp;"!N1")=$A$8,_xlfn.TEXTJOIN(":",TRUE,_xlfn.UNIQUE(INDIRECT("'"&amp;Etiquettes!Z13&amp;"'"&amp;"!N2:N1000"))),"")="0","",IF(INDIRECT("'"&amp;Etiquettes!Z13&amp;"'"&amp;"!N1")=$A$8,_xlfn.TEXTJOIN(":",TRUE,_xlfn.UNIQUE(INDIRECT("'"&amp;Etiquettes!Z13&amp;"'"&amp;"!N2:N1000"))),""))</f>
        <v/>
      </c>
      <c r="AA8" s="937" t="str" cm="1">
        <f t="array" aca="1" ref="AA8" ca="1">IF(IF(INDIRECT("'"&amp;Etiquettes!AA13&amp;"'"&amp;"!N1")=$A$8,_xlfn.TEXTJOIN(":",TRUE,_xlfn.UNIQUE(INDIRECT("'"&amp;Etiquettes!AA13&amp;"'"&amp;"!N2:N1000"))),"")="0","",IF(INDIRECT("'"&amp;Etiquettes!AA13&amp;"'"&amp;"!N1")=$A$8,_xlfn.TEXTJOIN(":",TRUE,_xlfn.UNIQUE(INDIRECT("'"&amp;Etiquettes!AA13&amp;"'"&amp;"!N2:N1000"))),""))</f>
        <v>Ratio d'issues de silo = 1,7 % (ONRB - FranceAgriMer):Ratio d'issues de silo = 1 % (ONRB - FranceAgriMer):Part d'issues de silo consommées par les FAF = 56,33 % (ONRB - FranceAgriMer):Part d'issues de silo consommées comme litière = 0,77 % (ONRB - FranceAgriMer):Part d'issues de silo compostées = 0 % (ONRB - FranceAgriMer):Part d'issues de silo consommées comme autres biomatériaux = 0,77 % (ONRB - FranceAgriMer):Part d'issues de silo consommées en méthanisation = 40,72 % (ONRB - FranceAgriMer):Part d'issues de silo brûlées = 1,03 % (ONRB - FranceAgriMer):0</v>
      </c>
      <c r="AB8" s="937" t="str" cm="1">
        <f t="array" aca="1" ref="AB8" ca="1">IF(IF(INDIRECT("'"&amp;Etiquettes!AB13&amp;"'"&amp;"!N1")=$A$8,_xlfn.TEXTJOIN(":",TRUE,_xlfn.UNIQUE(INDIRECT("'"&amp;Etiquettes!AB13&amp;"'"&amp;"!N2:N1000"))),"")="0","",IF(INDIRECT("'"&amp;Etiquettes!AB13&amp;"'"&amp;"!N1")=$A$8,_xlfn.TEXTJOIN(":",TRUE,_xlfn.UNIQUE(INDIRECT("'"&amp;Etiquettes!AB13&amp;"'"&amp;"!N2:N1000"))),""))</f>
        <v/>
      </c>
      <c r="AC8" s="937" t="str" cm="1">
        <f t="array" aca="1" ref="AC8" ca="1">IF(IF(INDIRECT("'"&amp;Etiquettes!AC13&amp;"'"&amp;"!N1")=$A$8,_xlfn.TEXTJOIN(":",TRUE,_xlfn.UNIQUE(INDIRECT("'"&amp;Etiquettes!AC13&amp;"'"&amp;"!N2:N1000"))),"")="0","",IF(INDIRECT("'"&amp;Etiquettes!AC13&amp;"'"&amp;"!N1")=$A$8,_xlfn.TEXTJOIN(":",TRUE,_xlfn.UNIQUE(INDIRECT("'"&amp;Etiquettes!AC13&amp;"'"&amp;"!N2:N1000"))),""))</f>
        <v/>
      </c>
      <c r="AD8" s="937" t="str" cm="1">
        <f t="array" aca="1" ref="AD8" ca="1">IF(IF(INDIRECT("'"&amp;Etiquettes!AD13&amp;"'"&amp;"!N1")=$A$8,_xlfn.TEXTJOIN(":",TRUE,_xlfn.UNIQUE(INDIRECT("'"&amp;Etiquettes!AD13&amp;"'"&amp;"!N2:N1000"))),"")="0","",IF(INDIRECT("'"&amp;Etiquettes!AD13&amp;"'"&amp;"!N1")=$A$8,_xlfn.TEXTJOIN(":",TRUE,_xlfn.UNIQUE(INDIRECT("'"&amp;Etiquettes!AD13&amp;"'"&amp;"!N2:N1000"))),""))</f>
        <v>Ratio de pertes à la ferme = 0,1 % (ORIFLAAM):Ratio de pertes à la ferme = 2 % (ORIFLAAM)</v>
      </c>
      <c r="AE8" s="937" t="str" cm="1">
        <f t="array" aca="1" ref="AE8" ca="1">IF(IF(INDIRECT("'"&amp;Etiquettes!AE13&amp;"'"&amp;"!N1")=$A$8,_xlfn.TEXTJOIN(":",TRUE,_xlfn.UNIQUE(INDIRECT("'"&amp;Etiquettes!AE13&amp;"'"&amp;"!N2:N1000"))),"")="0","",IF(INDIRECT("'"&amp;Etiquettes!AE13&amp;"'"&amp;"!N1")=$A$8,_xlfn.TEXTJOIN(":",TRUE,_xlfn.UNIQUE(INDIRECT("'"&amp;Etiquettes!AE13&amp;"'"&amp;"!N2:N1000"))),""))</f>
        <v/>
      </c>
      <c r="AF8" s="937" t="str" cm="1">
        <f t="array" aca="1" ref="AF8" ca="1">IF(IF(INDIRECT("'"&amp;Etiquettes!AF13&amp;"'"&amp;"!N1")=$A$8,_xlfn.TEXTJOIN(":",TRUE,_xlfn.UNIQUE(INDIRECT("'"&amp;Etiquettes!AF13&amp;"'"&amp;"!N2:N1000"))),"")="0","",IF(INDIRECT("'"&amp;Etiquettes!AF13&amp;"'"&amp;"!N1")=$A$8,_xlfn.TEXTJOIN(":",TRUE,_xlfn.UNIQUE(INDIRECT("'"&amp;Etiquettes!AF13&amp;"'"&amp;"!N2:N1000"))),""))</f>
        <v/>
      </c>
      <c r="AG8" s="937" t="str" cm="1">
        <f t="array" aca="1" ref="AG8" ca="1">IF(IF(INDIRECT("'"&amp;Etiquettes!AG13&amp;"'"&amp;"!N1")=$A$8,_xlfn.TEXTJOIN(":",TRUE,_xlfn.UNIQUE(INDIRECT("'"&amp;Etiquettes!AG13&amp;"'"&amp;"!N2:N1000"))),"")="0","",IF(INDIRECT("'"&amp;Etiquettes!AG13&amp;"'"&amp;"!N1")=$A$8,_xlfn.TEXTJOIN(":",TRUE,_xlfn.UNIQUE(INDIRECT("'"&amp;Etiquettes!AG13&amp;"'"&amp;"!N2:N1000"))),""))</f>
        <v>Part de semences fermières (par rapport aux semences certifiées) = 20,51 % (Enquête Pratiques culturales en grandes cultures - SSP):Part de semences fermières (par rapport aux semences certifiées) = 0,7 % (Enquête Pratiques culturales en grandes cultures - SSP):Part de semences fermières (par rapport aux semences certifiées) = 180,11 % (Enquête Pratiques culturales en grandes cultures - SSP):Part de semences fermières (par rapport aux semences certifiées) = 143,31 % (Enquête Pratiques culturales en grandes cultures - SSP):Part de semences fermières (par rapport aux semences certifiées) = 150 % (Estimation - Terres Univia):Part de semences fermières (par rapport aux semences certifiées) = 428,57 % (Estimation - Terres Univia):Part de semences fermières (par rapport aux semences certifiées) = 17,07 % (Enquête Pratiques culturales en grandes cultures - SSP):Part de semences fermières (par rapport aux semences certifiées) = 140,06 % (Enquête Pratiques culturales en grandes cultures - SSP):Part de semences fermières (par rapport aux semences certifiées) = 76,3 % (Enquête Pratiques culturales en grandes cultures - SSP):Part de semences fermières (par rapport aux semences certifiées) = 13,64 % (Enquête Pratiques culturales en grandes cultures - SSP):Part de semences fermières (par rapport aux semences certifiées) = 100 % (Enquête Pratiques culturales en grandes cultures - SSP):Part de semences fermières (par rapport aux semences certifiées) = 9,29 % (Enquête Pratiques culturales en grandes cultures - SSP):0</v>
      </c>
      <c r="AH8" s="937" t="str" cm="1">
        <f t="array" aca="1" ref="AH8" ca="1">IF(IF(INDIRECT("'"&amp;Etiquettes!AH13&amp;"'"&amp;"!N1")=$A$8,_xlfn.TEXTJOIN(":",TRUE,_xlfn.UNIQUE(INDIRECT("'"&amp;Etiquettes!AH13&amp;"'"&amp;"!N2:N1000"))),"")="0","",IF(INDIRECT("'"&amp;Etiquettes!AH13&amp;"'"&amp;"!N1")=$A$8,_xlfn.TEXTJOIN(":",TRUE,_xlfn.UNIQUE(INDIRECT("'"&amp;Etiquettes!AH13&amp;"'"&amp;"!N2:N1000"))),""))</f>
        <v/>
      </c>
      <c r="AI8" s="937" t="str" cm="1">
        <f t="array" aca="1" ref="AI8" ca="1">IF(IF(INDIRECT("'"&amp;Etiquettes!AI13&amp;"'"&amp;"!N1")=$A$8,_xlfn.TEXTJOIN(":",TRUE,_xlfn.UNIQUE(INDIRECT("'"&amp;Etiquettes!AI13&amp;"'"&amp;"!N2:N1000"))),"")="0","",IF(INDIRECT("'"&amp;Etiquettes!AI13&amp;"'"&amp;"!N1")=$A$8,_xlfn.TEXTJOIN(":",TRUE,_xlfn.UNIQUE(INDIRECT("'"&amp;Etiquettes!AI13&amp;"'"&amp;"!N2:N1000"))),""))</f>
        <v/>
      </c>
      <c r="AJ8" s="937" t="str" cm="1">
        <f t="array" aca="1" ref="AJ8" ca="1">IF(IF(INDIRECT("'"&amp;Etiquettes!AJ13&amp;"'"&amp;"!N1")=$A$8,_xlfn.TEXTJOIN(":",TRUE,_xlfn.UNIQUE(INDIRECT("'"&amp;Etiquettes!AJ13&amp;"'"&amp;"!N2:N1000"))),"")="0","",IF(INDIRECT("'"&amp;Etiquettes!AJ13&amp;"'"&amp;"!N1")=$A$8,_xlfn.TEXTJOIN(":",TRUE,_xlfn.UNIQUE(INDIRECT("'"&amp;Etiquettes!AJ13&amp;"'"&amp;"!N2:N1000"))),""))</f>
        <v>Importation de graines = 9 kt (Douanes françaises - Eurostat):Exportation de graines = 334 kt (Douanes françaises - Eurostat):Importation de graines = 19 kt (Douanes françaises - Eurostat):Exportation de graines = 275 kt (Douanes françaises - Eurostat):Importation de graines = 21 kt (Douanes françaises - Eurostat):Exportation de graines = 219 kt (Bilans par campagne - FranceAgriMer):Importation de graines = 7 kt (Douanes françaises - Eurostat):Exportation de graines = 6 kt (Douanes françaises - Eurostat):Exportation de graines = 16 kt (Douanes françaises - Eurostat):Importation de graines = 13 kt (Douanes françaises - Eurostat):Exportation de graines = 17 kt (Douanes françaises - Eurostat):Importation de graines = 34 kt (Douanes françaises - Eurostat):Exportation de graines = 5 kt (Douanes françaises - Eurostat):Importation de graines = 35 kt (Douanes françaises - Eurostat):Exportation de graines = 8 kt (Douanes françaises - Eurostat):Importation de graines = 29 kt (Douanes françaises - Eurostat):Importation de graines = 28 kt (Douanes françaises - Eurostat):Importation de graines = 38 kt (Douanes françaises - Eurostat):Exportation de graines = 4 kt (Douanes françaises - Eurostat):Importation de graines = 15 kt (Douanes françaises - Eurostat):Exportation de graines = 93 kt (Douanes françaises - Eurostat):Importation de graines = 30 kt (Douanes françaises - Eurostat):Exportation de graines = 46 kt (Douanes françaises - Eurostat):Importation de graines = 36 kt (Douanes françaises - Eurostat):Exportation de graines = 75 kt (Douanes françaises - Eurostat):Importation de graines = 848 kt (Douanes françaises - Eurostat):Exportation de graines = 96 kt (Douanes françaises - Eurostat):Importation de graines = 658 kt (Douanes françaises - Eurostat):Exportation de graines = 164 kt (Douanes françaises - Eurostat):Importation de graines = 403 kt (Douanes françaises - Eurostat):Exportation de graines = 140 kt (Douanes françaises - Eurostat):Importation de graines = 25 kt (Douanes françaises - Eurostat):Exportation de graines = 10 kt (Douanes françaises - Eurostat):Exportation de graines = 13 kt (Douanes françaises - Eurostat):Importation de graines = 1215 kt (Douanes françaises - Eurostat):Exportation de graines = 1511 kt (Douanes françaises - Eurostat):Importation de graines = 1607 kt (Douanes françaises - Eurostat):Exportation de graines = 1157 kt (Douanes françaises - Eurostat):Importation de graines = 1286 kt (Douanes françaises - Eurostat):Exportation de graines = 1154 kt (Douanes françaises - Eurostat):Importation de graines = 236 kt (Douanes françaises - Eurostat):Exportation de graines = 328 kt (Douanes françaises - Eurostat):Importation de graines = 305 kt (Douanes françaises - Eurostat):Exportation de graines = 476 kt (Douanes françaises - Eurostat):Importation de graines = 204 kt (Douanes françaises - Eurostat):Exportation de graines = 569 kt (Douanes françaises - Eurostat):Importation de graines = 0 kt (Douanes françaises - Eurostat):Exportation de graines = 0 kt (Douanes françaises - Eurostat):Importation d'huile = 84 kt (Douanes françaises - Eurostat):Exportation d'huile = 133 kt (Douanes françaises - Eurostat):Importation d'huile = 66 kt (Douanes françaises - Eurostat):Exportation d'huile = 53 kt (Douanes françaises - Eurostat):Importation d'huile = 64 kt (Douanes françaises - Eurostat):Exportation d'huile = 69 kt (Douanes françaises - Eurostat):Importation d'huile = 268 kt (Douanes françaises - Eurostat):Exportation d'huile = 319 kt (Douanes françaises - Eurostat):Importation d'huile = 336 kt (Douanes françaises - Eurostat):Exportation d'huile = 357 kt (Douanes françaises - Eurostat):Importation d'huile = 408 kt (Douanes françaises - Eurostat):Exportation d'huile = 491 kt (Douanes françaises - Eurostat):Importation d'huile = 135 kt (Douanes françaises - Eurostat):Exportation d'huile = 330 kt (Douanes françaises - Eurostat):Importation d'huile = 104 kt (Douanes françaises - Eurostat):Exportation d'huile = 338 kt (Douanes françaises - Eurostat):Importation d'huile = 144 kt (Douanes françaises - Eurostat):Exportation d'huile = 626 kt (Douanes françaises - Eurostat):Importation d'huile = 4 kt (Douanes françaises - Eurostat):Exportation d'huile = 0 kt (Douanes françaises - Eurostat):Importation d'huile = 9 kt (Douanes françaises - Eurostat):Exportation d'huile = 1 kt (Douanes françaises - Eurostat):Importation d'huile = 6 kt (Douanes françaises - Eurostat):Importation de tourteaux = 3432 kt (Douanes françaises - Eurostat):Exportation de tourteaux = 19 kt (Douanes françaises - Eurostat):Importation de tourteaux = 2926 kt (Douanes françaises - Eurostat):Exportation de tourteaux = 62 kt (Douanes françaises - Eurostat):Importation de tourteaux = 2780 kt (Douanes françaises - Eurostat):Exportation de tourteaux = 57 kt (Douanes françaises - Eurostat):Importation de tourteaux = 882 kt (Douanes françaises - Eurostat):Exportation de tourteaux = 54 kt (Douanes françaises - Eurostat):Importation de tourteaux = 986 kt (Douanes françaises - Eurostat):Exportation de tourteaux = 105 kt (Douanes françaises - Eurostat):Importation de tourteaux = 870 kt (Douanes françaises - Eurostat):Exportation de tourteaux = 122 kt (Douanes françaises - Eurostat):Importation de tourteaux = 495 kt (Douanes françaises - Eurostat):Exportation de tourteaux = 552 kt (Douanes françaises - Eurostat):Importation de tourteaux = 526 kt (Douanes françaises - Eurostat):Exportation de tourteaux = 510 kt (Douanes françaises - Eurostat):Importation de tourteaux = 684 kt (Douanes françaises - Eurostat):Exportation de tourteaux = 377 kt (Douanes françaises - Eurostat):Importation de tourteaux = 90 kt (Douanes françaises - Eurostat):Exportation de tourteaux = 0 kt (Douanes françaises - Eurostat):Exportation de tourteaux = 1 kt (Douanes françaises - Eurostat):Importation de tourteaux = 76 kt (Douanes françaises - Eurostat):Importation d'olives = 2 kt (Douanes françaises - Eurostat):Exportation d'olives = 0 kt (Douanes françaises - Eurostat):Importation d'huile d'olive = 118 kt (Douanes françaises - Eurostat):Exportation d'huile d'olive = 10 kt (Douanes françaises - Eurostat):Importation d'huile d'olive = 134 kt (Douanes françaises - Eurostat):Importation d'huile d'olive = 119 kt (Douanes françaises - Eurostat):Exportation d'huile d'olive = 15 kt (Douanes françaises - Eurostat):Importation de grignons d'olive = 9 kt (Douanes françaises - Eurostat):Exportation de grignons d'olive = 0 kt (Douanes françaises - Eurostat):Importation de grignons d'olive = 25 kt (Douanes françaises - Eurostat):Exportation de grignons d'olive = 1 kt (Douanes françaises - Eurostat):Importation de grignons d'olive = 12 kt (Douanes françaises - Eurostat):Importation d'olives de table = 87 kt (Douanes françaises - Eurostat):Exportation d'olives de table = 4 kt (Douanes françaises - Eurostat):Importation d'olives de table = 92 kt (Douanes françaises - Eurostat):Exportation d'olives de table = 3 kt (Douanes françaises - Eurostat):Importation d'olives de table = 89 kt (Douanes françaises - Eurostat)</v>
      </c>
      <c r="AK8" s="937" t="str" cm="1">
        <f t="array" aca="1" ref="AK8" ca="1">IF(IF(INDIRECT("'"&amp;Etiquettes!AK13&amp;"'"&amp;"!N1")=$A$8,_xlfn.TEXTJOIN(":",TRUE,_xlfn.UNIQUE(INDIRECT("'"&amp;Etiquettes!AK13&amp;"'"&amp;"!N2:N1000"))),"")="0","",IF(INDIRECT("'"&amp;Etiquettes!AK13&amp;"'"&amp;"!N1")=$A$8,_xlfn.TEXTJOIN(":",TRUE,_xlfn.UNIQUE(INDIRECT("'"&amp;Etiquettes!AK13&amp;"'"&amp;"!N2:N1000"))),""))</f>
        <v/>
      </c>
      <c r="AL8" s="937" t="str" cm="1">
        <f t="array" aca="1" ref="AL8" ca="1">IF(IF(INDIRECT("'"&amp;Etiquettes!AL13&amp;"'"&amp;"!N1")=$A$8,_xlfn.TEXTJOIN(":",TRUE,_xlfn.UNIQUE(INDIRECT("'"&amp;Etiquettes!AL13&amp;"'"&amp;"!N2:N1000"))),"")="0","",IF(INDIRECT("'"&amp;Etiquettes!AL13&amp;"'"&amp;"!N1")=$A$8,_xlfn.TEXTJOIN(":",TRUE,_xlfn.UNIQUE(INDIRECT("'"&amp;Etiquettes!AL13&amp;"'"&amp;"!N2:N1000"))),""))</f>
        <v/>
      </c>
      <c r="AM8" s="937" t="str" cm="1">
        <f t="array" aca="1" ref="AM8" ca="1">IF(IF(INDIRECT("'"&amp;Etiquettes!AM13&amp;"'"&amp;"!N1")=$A$8,_xlfn.TEXTJOIN(":",TRUE,_xlfn.UNIQUE(INDIRECT("'"&amp;Etiquettes!AM13&amp;"'"&amp;"!N2:N1000"))),"")="0","",IF(INDIRECT("'"&amp;Etiquettes!AM13&amp;"'"&amp;"!N1")=$A$8,_xlfn.TEXTJOIN(":",TRUE,_xlfn.UNIQUE(INDIRECT("'"&amp;Etiquettes!AM13&amp;"'"&amp;"!N2:N1000"))),""))</f>
        <v/>
      </c>
      <c r="AN8" s="937" t="str" cm="1">
        <f t="array" aca="1" ref="AN8" ca="1">IF(IF(INDIRECT("'"&amp;Etiquettes!AN13&amp;"'"&amp;"!N1")=$A$8,_xlfn.TEXTJOIN(":",TRUE,_xlfn.UNIQUE(INDIRECT("'"&amp;Etiquettes!AN13&amp;"'"&amp;"!N2:N1000"))),"")="0","",IF(INDIRECT("'"&amp;Etiquettes!AN13&amp;"'"&amp;"!N1")=$A$8,_xlfn.TEXTJOIN(":",TRUE,_xlfn.UNIQUE(INDIRECT("'"&amp;Etiquettes!AN13&amp;"'"&amp;"!N2:N1000"))),""))</f>
        <v/>
      </c>
      <c r="AO8" s="937" t="str" cm="1">
        <f t="array" aca="1" ref="AO8" ca="1">IF(IF(INDIRECT("'"&amp;Etiquettes!AO13&amp;"'"&amp;"!N1")=$A$8,_xlfn.TEXTJOIN(":",TRUE,_xlfn.UNIQUE(INDIRECT("'"&amp;Etiquettes!AO13&amp;"'"&amp;"!N2:N1000"))),"")="0","",IF(INDIRECT("'"&amp;Etiquettes!AO13&amp;"'"&amp;"!N1")=$A$8,_xlfn.TEXTJOIN(":",TRUE,_xlfn.UNIQUE(INDIRECT("'"&amp;Etiquettes!AO13&amp;"'"&amp;"!N2:N1000"))),""))</f>
        <v/>
      </c>
      <c r="AP8" s="937" t="str" cm="1">
        <f t="array" aca="1" ref="AP8" ca="1">IF(IF(INDIRECT("'"&amp;Etiquettes!AP13&amp;"'"&amp;"!N1")=$A$8,_xlfn.TEXTJOIN(":",TRUE,_xlfn.UNIQUE(INDIRECT("'"&amp;Etiquettes!AP13&amp;"'"&amp;"!N2:N1000"))),"")="0","",IF(INDIRECT("'"&amp;Etiquettes!AP13&amp;"'"&amp;"!N1")=$A$8,_xlfn.TEXTJOIN(":",TRUE,_xlfn.UNIQUE(INDIRECT("'"&amp;Etiquettes!AP13&amp;"'"&amp;"!N2:N1000"))),""))</f>
        <v>Rendement de production d'huile brute = 36,33 % (FEDIOL):Rendement de production de tourteaux = 63,67 % (FEDIOL)</v>
      </c>
      <c r="AQ8" s="937" t="str" cm="1">
        <f t="array" aca="1" ref="AQ8" ca="1">IF(IF(INDIRECT("'"&amp;Etiquettes!AQ13&amp;"'"&amp;"!N1")=$A$8,_xlfn.TEXTJOIN(":",TRUE,_xlfn.UNIQUE(INDIRECT("'"&amp;Etiquettes!AQ13&amp;"'"&amp;"!N2:N1000"))),"")="0","",IF(INDIRECT("'"&amp;Etiquettes!AQ13&amp;"'"&amp;"!N1")=$A$8,_xlfn.TEXTJOIN(":",TRUE,_xlfn.UNIQUE(INDIRECT("'"&amp;Etiquettes!AQ13&amp;"'"&amp;"!N2:N1000"))),""))</f>
        <v/>
      </c>
      <c r="AR8" s="937" t="str" cm="1">
        <f t="array" aca="1" ref="AR8" ca="1">IF(IF(INDIRECT("'"&amp;Etiquettes!AR13&amp;"'"&amp;"!N1")=$A$8,_xlfn.TEXTJOIN(":",TRUE,_xlfn.UNIQUE(INDIRECT("'"&amp;Etiquettes!AR13&amp;"'"&amp;"!N2:N1000"))),"")="0","",IF(INDIRECT("'"&amp;Etiquettes!AR13&amp;"'"&amp;"!N1")=$A$8,_xlfn.TEXTJOIN(":",TRUE,_xlfn.UNIQUE(INDIRECT("'"&amp;Etiquettes!AR13&amp;"'"&amp;"!N2:N1000"))),""))</f>
        <v/>
      </c>
      <c r="AS8" s="937" t="str" cm="1">
        <f t="array" aca="1" ref="AS8" ca="1">IF(IF(INDIRECT("'"&amp;Etiquettes!AS13&amp;"'"&amp;"!N1")=$A$8,_xlfn.TEXTJOIN(":",TRUE,_xlfn.UNIQUE(INDIRECT("'"&amp;Etiquettes!AS13&amp;"'"&amp;"!N2:N1000"))),"")="0","",IF(INDIRECT("'"&amp;Etiquettes!AS13&amp;"'"&amp;"!N1")=$A$8,_xlfn.TEXTJOIN(":",TRUE,_xlfn.UNIQUE(INDIRECT("'"&amp;Etiquettes!AS13&amp;"'"&amp;"!N2:N1000"))),""))</f>
        <v>Part de tourteaux consommés par les FAB = 66,66 % (ONRB - FranceAgriMer):Part de tourteaux consommés par les FAB = 75 % (ONRB - FranceAgriMer):Part de tourteaux consommés par les FAB = 33,34 % (ONRB - FranceAgriMer):Part de tourteaux consommés par les FAB = 25 % (ONRB - FranceAgriMer)</v>
      </c>
      <c r="AT8" s="937" t="str" cm="1">
        <f t="array" aca="1" ref="AT8" ca="1">IF(IF(INDIRECT("'"&amp;Etiquettes!AT13&amp;"'"&amp;"!N1")=$A$8,_xlfn.TEXTJOIN(":",TRUE,_xlfn.UNIQUE(INDIRECT("'"&amp;Etiquettes!AT13&amp;"'"&amp;"!N2:N1000"))),"")="0","",IF(INDIRECT("'"&amp;Etiquettes!AT13&amp;"'"&amp;"!N1")=$A$8,_xlfn.TEXTJOIN(":",TRUE,_xlfn.UNIQUE(INDIRECT("'"&amp;Etiquettes!AT13&amp;"'"&amp;"!N2:N1000"))),""))</f>
        <v/>
      </c>
      <c r="AU8" s="937" t="str" cm="1">
        <f t="array" aca="1" ref="AU8" ca="1">IF(IF(INDIRECT("'"&amp;Etiquettes!AU13&amp;"'"&amp;"!N1")=$A$8,_xlfn.TEXTJOIN(":",TRUE,_xlfn.UNIQUE(INDIRECT("'"&amp;Etiquettes!AU13&amp;"'"&amp;"!N2:N1000"))),"")="0","",IF(INDIRECT("'"&amp;Etiquettes!AU13&amp;"'"&amp;"!N1")=$A$8,_xlfn.TEXTJOIN(":",TRUE,_xlfn.UNIQUE(INDIRECT("'"&amp;Etiquettes!AU13&amp;"'"&amp;"!N2:N1000"))),""))</f>
        <v/>
      </c>
      <c r="AV8" s="937" t="str" cm="1">
        <f t="array" aca="1" ref="AV8" ca="1">IF(IF(INDIRECT("'"&amp;Etiquettes!AV13&amp;"'"&amp;"!N1")=$A$8,_xlfn.TEXTJOIN(":",TRUE,_xlfn.UNIQUE(INDIRECT("'"&amp;Etiquettes!AV13&amp;"'"&amp;"!N2:N1000"))),"")="0","",IF(INDIRECT("'"&amp;Etiquettes!AV13&amp;"'"&amp;"!N1")=$A$8,_xlfn.TEXTJOIN(":",TRUE,_xlfn.UNIQUE(INDIRECT("'"&amp;Etiquettes!AV13&amp;"'"&amp;"!N2:N1000"))),""))</f>
        <v/>
      </c>
      <c r="AW8" s="937" t="str" cm="1">
        <f t="array" aca="1" ref="AW8" ca="1">IF(IF(INDIRECT("'"&amp;Etiquettes!AW13&amp;"'"&amp;"!N1")=$A$8,_xlfn.TEXTJOIN(":",TRUE,_xlfn.UNIQUE(INDIRECT("'"&amp;Etiquettes!AW13&amp;"'"&amp;"!N2:N1000"))),"")="0","",IF(INDIRECT("'"&amp;Etiquettes!AW13&amp;"'"&amp;"!N1")=$A$8,_xlfn.TEXTJOIN(":",TRUE,_xlfn.UNIQUE(INDIRECT("'"&amp;Etiquettes!AW13&amp;"'"&amp;"!N2:N1000"))),""))</f>
        <v/>
      </c>
      <c r="AX8" s="937" t="str" cm="1">
        <f t="array" aca="1" ref="AX8" ca="1">IF(IF(INDIRECT("'"&amp;Etiquettes!AX13&amp;"'"&amp;"!N1")=$A$8,_xlfn.TEXTJOIN(":",TRUE,_xlfn.UNIQUE(INDIRECT("'"&amp;Etiquettes!AX13&amp;"'"&amp;"!N2:N1000"))),"")="0","",IF(INDIRECT("'"&amp;Etiquettes!AX13&amp;"'"&amp;"!N1")=$A$8,_xlfn.TEXTJOIN(":",TRUE,_xlfn.UNIQUE(INDIRECT("'"&amp;Etiquettes!AX13&amp;"'"&amp;"!N2:N1000"))),""))</f>
        <v/>
      </c>
      <c r="AY8" s="937" t="str" cm="1">
        <f t="array" aca="1" ref="AY8" ca="1">IF(IF(INDIRECT("'"&amp;Etiquettes!AY13&amp;"'"&amp;"!N1")=$A$8,_xlfn.TEXTJOIN(":",TRUE,_xlfn.UNIQUE(INDIRECT("'"&amp;Etiquettes!AY13&amp;"'"&amp;"!N2:N1000"))),"")="0","",IF(INDIRECT("'"&amp;Etiquettes!AY13&amp;"'"&amp;"!N1")=$A$8,_xlfn.TEXTJOIN(":",TRUE,_xlfn.UNIQUE(INDIRECT("'"&amp;Etiquettes!AY13&amp;"'"&amp;"!N2:N1000"))),""))</f>
        <v/>
      </c>
      <c r="AZ8" s="937" t="str" cm="1">
        <f t="array" aca="1" ref="AZ8" ca="1">IF(IF(INDIRECT("'"&amp;Etiquettes!AZ13&amp;"'"&amp;"!N1")=$A$8,_xlfn.TEXTJOIN(":",TRUE,_xlfn.UNIQUE(INDIRECT("'"&amp;Etiquettes!AZ13&amp;"'"&amp;"!N2:N1000"))),"")="0","",IF(INDIRECT("'"&amp;Etiquettes!AZ13&amp;"'"&amp;"!N1")=$A$8,_xlfn.TEXTJOIN(":",TRUE,_xlfn.UNIQUE(INDIRECT("'"&amp;Etiquettes!AZ13&amp;"'"&amp;"!N2:N1000"))),""))</f>
        <v/>
      </c>
      <c r="BA8" s="937" t="str" cm="1">
        <f t="array" aca="1" ref="BA8" ca="1">IF(IF(INDIRECT("'"&amp;Etiquettes!BA13&amp;"'"&amp;"!N1")=$A$8,_xlfn.TEXTJOIN(":",TRUE,_xlfn.UNIQUE(INDIRECT("'"&amp;Etiquettes!BA13&amp;"'"&amp;"!N2:N1000"))),"")="0","",IF(INDIRECT("'"&amp;Etiquettes!BA13&amp;"'"&amp;"!N1")=$A$8,_xlfn.TEXTJOIN(":",TRUE,_xlfn.UNIQUE(INDIRECT("'"&amp;Etiquettes!BA13&amp;"'"&amp;"!N2:N1000"))),""))</f>
        <v/>
      </c>
      <c r="BB8" s="937" t="str" cm="1">
        <f t="array" aca="1" ref="BB8" ca="1">IF(IF(INDIRECT("'"&amp;Etiquettes!BB13&amp;"'"&amp;"!N1")=$A$8,_xlfn.TEXTJOIN(":",TRUE,_xlfn.UNIQUE(INDIRECT("'"&amp;Etiquettes!BB13&amp;"'"&amp;"!N2:N1000"))),"")="0","",IF(INDIRECT("'"&amp;Etiquettes!BB13&amp;"'"&amp;"!N1")=$A$8,_xlfn.TEXTJOIN(":",TRUE,_xlfn.UNIQUE(INDIRECT("'"&amp;Etiquettes!BB13&amp;"'"&amp;"!N2:N1000"))),""))</f>
        <v/>
      </c>
      <c r="BC8" s="937" t="str" cm="1">
        <f t="array" aca="1" ref="BC8" ca="1">IF(IF(INDIRECT("'"&amp;Etiquettes!BC13&amp;"'"&amp;"!N1")=$A$8,_xlfn.TEXTJOIN(":",TRUE,_xlfn.UNIQUE(INDIRECT("'"&amp;Etiquettes!BC13&amp;"'"&amp;"!N2:N1000"))),"")="0","",IF(INDIRECT("'"&amp;Etiquettes!BC13&amp;"'"&amp;"!N1")=$A$8,_xlfn.TEXTJOIN(":",TRUE,_xlfn.UNIQUE(INDIRECT("'"&amp;Etiquettes!BC13&amp;"'"&amp;"!N2:N1000"))),""))</f>
        <v/>
      </c>
      <c r="BD8" s="937" t="str" cm="1">
        <f t="array" aca="1" ref="BD8" ca="1">IF(IF(INDIRECT("'"&amp;Etiquettes!BD13&amp;"'"&amp;"!N1")=$A$8,_xlfn.TEXTJOIN(":",TRUE,_xlfn.UNIQUE(INDIRECT("'"&amp;Etiquettes!BD13&amp;"'"&amp;"!N2:N1000"))),"")="0","",IF(INDIRECT("'"&amp;Etiquettes!BD13&amp;"'"&amp;"!N1")=$A$8,_xlfn.TEXTJOIN(":",TRUE,_xlfn.UNIQUE(INDIRECT("'"&amp;Etiquettes!BD13&amp;"'"&amp;"!N2:N1000"))),""))</f>
        <v>Part de la collecte = 50 % ():Part du stock initial = 10 % ():Part du stock final = 10 % ():Part de la production de semences certifiées = 10 % ():Ecart statistique relatif = 18,06 % ():Ecart statistique relatif = 14,29 % ()</v>
      </c>
      <c r="BE8" s="937" t="str" cm="1">
        <f t="array" aca="1" ref="BE8" ca="1">IF(IF(INDIRECT("'"&amp;Etiquettes!BE13&amp;"'"&amp;"!N1")=$A$8,_xlfn.TEXTJOIN(":",TRUE,_xlfn.UNIQUE(INDIRECT("'"&amp;Etiquettes!BE13&amp;"'"&amp;"!N2:N1000"))),"")="0","",IF(INDIRECT("'"&amp;Etiquettes!BE13&amp;"'"&amp;"!N1")=$A$8,_xlfn.TEXTJOIN(":",TRUE,_xlfn.UNIQUE(INDIRECT("'"&amp;Etiquettes!BE13&amp;"'"&amp;"!N2:N1000"))),""))</f>
        <v/>
      </c>
      <c r="BF8" s="937" t="str" cm="1">
        <f t="array" aca="1" ref="BF8" ca="1">IF(IF(INDIRECT("'"&amp;Etiquettes!BF13&amp;"'"&amp;"!N1")=$A$8,_xlfn.TEXTJOIN(":",TRUE,_xlfn.UNIQUE(INDIRECT("'"&amp;Etiquettes!BF13&amp;"'"&amp;"!N2:N1000"))),"")="0","",IF(INDIRECT("'"&amp;Etiquettes!BF13&amp;"'"&amp;"!N1")=$A$8,_xlfn.TEXTJOIN(":",TRUE,_xlfn.UNIQUE(INDIRECT("'"&amp;Etiquettes!BF13&amp;"'"&amp;"!N2:N1000"))),""))</f>
        <v/>
      </c>
      <c r="BG8" s="937" t="str" cm="1">
        <f t="array" aca="1" ref="BG8" ca="1">IF(IF(INDIRECT("'"&amp;Etiquettes!BG13&amp;"'"&amp;"!N1")=$A$8,_xlfn.TEXTJOIN(":",TRUE,_xlfn.UNIQUE(INDIRECT("'"&amp;Etiquettes!BG13&amp;"'"&amp;"!N2:N1000"))),"")="0","",IF(INDIRECT("'"&amp;Etiquettes!BG13&amp;"'"&amp;"!N1")=$A$8,_xlfn.TEXTJOIN(":",TRUE,_xlfn.UNIQUE(INDIRECT("'"&amp;Etiquettes!BG13&amp;"'"&amp;"!N2:N1000"))),""))</f>
        <v/>
      </c>
      <c r="BH8" s="937" t="str" cm="1">
        <f t="array" aca="1" ref="BH8" ca="1">IF(IF(INDIRECT("'"&amp;Etiquettes!BH13&amp;"'"&amp;"!N1")=$A$8,_xlfn.TEXTJOIN(":",TRUE,_xlfn.UNIQUE(INDIRECT("'"&amp;Etiquettes!BH13&amp;"'"&amp;"!N2:N1000"))),"")="0","",IF(INDIRECT("'"&amp;Etiquettes!BH13&amp;"'"&amp;"!N1")=$A$8,_xlfn.TEXTJOIN(":",TRUE,_xlfn.UNIQUE(INDIRECT("'"&amp;Etiquettes!BH13&amp;"'"&amp;"!N2:N1000"))),""))</f>
        <v/>
      </c>
      <c r="BI8" s="937" t="str" cm="1">
        <f t="array" aca="1" ref="BI8" ca="1">IF(IF(INDIRECT("'"&amp;Etiquettes!BI13&amp;"'"&amp;"!N1")=$A$8,_xlfn.TEXTJOIN(":",TRUE,_xlfn.UNIQUE(INDIRECT("'"&amp;Etiquettes!BI13&amp;"'"&amp;"!N2:N1000"))),"")="0","",IF(INDIRECT("'"&amp;Etiquettes!BI13&amp;"'"&amp;"!N1")=$A$8,_xlfn.TEXTJOIN(":",TRUE,_xlfn.UNIQUE(INDIRECT("'"&amp;Etiquettes!BI13&amp;"'"&amp;"!N2:N1000"))),""))</f>
        <v/>
      </c>
      <c r="BJ8" s="937" t="str" cm="1">
        <f t="array" aca="1" ref="BJ8" ca="1">IF(IF(INDIRECT("'"&amp;Etiquettes!BJ13&amp;"'"&amp;"!N1")=$A$8,_xlfn.TEXTJOIN(":",TRUE,_xlfn.UNIQUE(INDIRECT("'"&amp;Etiquettes!BJ13&amp;"'"&amp;"!N2:N1000"))),"")="0","",IF(INDIRECT("'"&amp;Etiquettes!BJ13&amp;"'"&amp;"!N1")=$A$8,_xlfn.TEXTJOIN(":",TRUE,_xlfn.UNIQUE(INDIRECT("'"&amp;Etiquettes!BJ13&amp;"'"&amp;"!N2:N1000"))),""))</f>
        <v/>
      </c>
      <c r="BK8" s="937" t="str" cm="1">
        <f t="array" aca="1" ref="BK8" ca="1">IF(IF(INDIRECT("'"&amp;Etiquettes!BK13&amp;"'"&amp;"!N1")=$A$8,_xlfn.TEXTJOIN(":",TRUE,_xlfn.UNIQUE(INDIRECT("'"&amp;Etiquettes!BK13&amp;"'"&amp;"!N2:N1000"))),"")="0","",IF(INDIRECT("'"&amp;Etiquettes!BK13&amp;"'"&amp;"!N1")=$A$8,_xlfn.TEXTJOIN(":",TRUE,_xlfn.UNIQUE(INDIRECT("'"&amp;Etiquettes!BK13&amp;"'"&amp;"!N2:N1000"))),""))</f>
        <v/>
      </c>
      <c r="BL8" s="937" t="str" cm="1">
        <f t="array" aca="1" ref="BL8" ca="1">IF(IF(INDIRECT("'"&amp;Etiquettes!BL13&amp;"'"&amp;"!N1")=$A$8,_xlfn.TEXTJOIN(":",TRUE,_xlfn.UNIQUE(INDIRECT("'"&amp;Etiquettes!BL13&amp;"'"&amp;"!N2:N1000"))),"")="0","",IF(INDIRECT("'"&amp;Etiquettes!BL13&amp;"'"&amp;"!N1")=$A$8,_xlfn.TEXTJOIN(":",TRUE,_xlfn.UNIQUE(INDIRECT("'"&amp;Etiquettes!BL13&amp;"'"&amp;"!N2:N1000"))),""))</f>
        <v/>
      </c>
      <c r="BM8" s="937" t="str" cm="1">
        <f t="array" aca="1" ref="BM8" ca="1">IF(IF(INDIRECT("'"&amp;Etiquettes!BM13&amp;"'"&amp;"!N1")=$A$8,_xlfn.TEXTJOIN(":",TRUE,_xlfn.UNIQUE(INDIRECT("'"&amp;Etiquettes!BM13&amp;"'"&amp;"!N2:N1000"))),"")="0","",IF(INDIRECT("'"&amp;Etiquettes!BM13&amp;"'"&amp;"!N1")=$A$8,_xlfn.TEXTJOIN(":",TRUE,_xlfn.UNIQUE(INDIRECT("'"&amp;Etiquettes!BM13&amp;"'"&amp;"!N2:N1000"))),""))</f>
        <v>Part de consommation de produits alimentaires par les GMS (en volume de matière première) = 79,82 % (OléoProtéines - Terres Univia):Part de consommation de produits alimentaires par les circuits spécialisés (en volume de matière première) = 3,99 % (OléoProtéines - Terres Univia):Part de consommation de produits alimentaires par la RHD (en volume de matière première) = 10,9 % (OléoProtéines - Terres Univia):Part de consommation de produits alimentaires par les autres IAA (en volume de matière première) = 5,29 % (OléoProtéines - Terres Univia):Part de consommation de produits alimentaires par les GMS (en volume de matière première) = 75,44 % (OléoProtéines - Terres Univia):Part de consommation de produits alimentaires par les circuits spécialisés (en volume de matière première) = 3,77 % (OléoProtéines - Terres Univia):Part de consommation de produits alimentaires par la RHD (en volume de matière première) = 12,53 % (OléoProtéines - Terres Univia):Part de consommation de produits alimentaires par les autres IAA (en volume de matière première) = 8,26 % (OléoProtéines - Terres Univia):Part de consommation de produits alimentaires par les GMS (en volume de matière première) = 73,11 % (OléoProtéines - Terres Univia):Part de consommation de produits alimentaires par les circuits spécialisés (en volume de matière première) = 3,66 % (OléoProtéines - Terres Univia):Part de consommation de produits alimentaires par la RHD (en volume de matière première) = 14,09 % (OléoProtéines - Terres Univia):Part de consommation de produits alimentaires par les autres IAA (en volume de matière première) = 9,15 % (OléoProtéines - Terres Univia)</v>
      </c>
      <c r="BN8" s="937" t="str" cm="1">
        <f t="array" aca="1" ref="BN8" ca="1">IF(IF(INDIRECT("'"&amp;Etiquettes!BN13&amp;"'"&amp;"!N1")=$A$8,_xlfn.TEXTJOIN(":",TRUE,_xlfn.UNIQUE(INDIRECT("'"&amp;Etiquettes!BN13&amp;"'"&amp;"!N2:N1000"))),"")="0","",IF(INDIRECT("'"&amp;Etiquettes!BN13&amp;"'"&amp;"!N1")=$A$8,_xlfn.TEXTJOIN(":",TRUE,_xlfn.UNIQUE(INDIRECT("'"&amp;Etiquettes!BN13&amp;"'"&amp;"!N2:N1000"))),""))</f>
        <v/>
      </c>
      <c r="BO8" s="937" t="str" cm="1">
        <f t="array" aca="1" ref="BO8" ca="1">IF(IF(INDIRECT("'"&amp;Etiquettes!BO13&amp;"'"&amp;"!N1")=$A$8,_xlfn.TEXTJOIN(":",TRUE,_xlfn.UNIQUE(INDIRECT("'"&amp;Etiquettes!BO13&amp;"'"&amp;"!N2:N1000"))),"")="0","",IF(INDIRECT("'"&amp;Etiquettes!BO13&amp;"'"&amp;"!N1")=$A$8,_xlfn.TEXTJOIN(":",TRUE,_xlfn.UNIQUE(INDIRECT("'"&amp;Etiquettes!BO13&amp;"'"&amp;"!N2:N1000"))),""))</f>
        <v/>
      </c>
      <c r="BP8" s="937" t="str" cm="1">
        <f t="array" aca="1" ref="BP8" ca="1">IF(IF(INDIRECT("'"&amp;Etiquettes!BP13&amp;"'"&amp;"!N1")=$A$8,_xlfn.TEXTJOIN(":",TRUE,_xlfn.UNIQUE(INDIRECT("'"&amp;Etiquettes!BP13&amp;"'"&amp;"!N2:N1000"))),"")="0","",IF(INDIRECT("'"&amp;Etiquettes!BP13&amp;"'"&amp;"!N1")=$A$8,_xlfn.TEXTJOIN(":",TRUE,_xlfn.UNIQUE(INDIRECT("'"&amp;Etiquettes!BP13&amp;"'"&amp;"!N2:N1000"))),""))</f>
        <v/>
      </c>
      <c r="BQ8" s="937" t="str" cm="1">
        <f t="array" aca="1" ref="BQ8" ca="1">IF(IF(INDIRECT("'"&amp;Etiquettes!BQ13&amp;"'"&amp;"!N1")=$A$8,_xlfn.TEXTJOIN(":",TRUE,_xlfn.UNIQUE(INDIRECT("'"&amp;Etiquettes!BQ13&amp;"'"&amp;"!N2:N1000"))),"")="0","",IF(INDIRECT("'"&amp;Etiquettes!BQ13&amp;"'"&amp;"!N1")=$A$8,_xlfn.TEXTJOIN(":",TRUE,_xlfn.UNIQUE(INDIRECT("'"&amp;Etiquettes!BQ13&amp;"'"&amp;"!N2:N1000"))),""))</f>
        <v>Rendement de production d'amidon = 40 % (Chiffres clés - USIPA):Rendement de production de protéine = 17 % (Composition - Feedtables):Rendement de production de farine = 76,92 % (ONRB - FranceAgriMer):Rendement de production de protéine = 30 % (Composition - Feedtables)</v>
      </c>
      <c r="BR8" s="937" t="str" cm="1">
        <f t="array" aca="1" ref="BR8" ca="1">IF(IF(INDIRECT("'"&amp;Etiquettes!BR13&amp;"'"&amp;"!N1")=$A$8,_xlfn.TEXTJOIN(":",TRUE,_xlfn.UNIQUE(INDIRECT("'"&amp;Etiquettes!BR13&amp;"'"&amp;"!N2:N1000"))),"")="0","",IF(INDIRECT("'"&amp;Etiquettes!BR13&amp;"'"&amp;"!N1")=$A$8,_xlfn.TEXTJOIN(":",TRUE,_xlfn.UNIQUE(INDIRECT("'"&amp;Etiquettes!BR13&amp;"'"&amp;"!N2:N1000"))),""))</f>
        <v/>
      </c>
      <c r="BS8" s="937" t="str" cm="1">
        <f t="array" aca="1" ref="BS8" ca="1">IF(IF(INDIRECT("'"&amp;Etiquettes!BS13&amp;"'"&amp;"!N1")=$A$8,_xlfn.TEXTJOIN(":",TRUE,_xlfn.UNIQUE(INDIRECT("'"&amp;Etiquettes!BS13&amp;"'"&amp;"!N2:N1000"))),"")="0","",IF(INDIRECT("'"&amp;Etiquettes!BS13&amp;"'"&amp;"!N1")=$A$8,_xlfn.TEXTJOIN(":",TRUE,_xlfn.UNIQUE(INDIRECT("'"&amp;Etiquettes!BS13&amp;"'"&amp;"!N2:N1000"))),""))</f>
        <v/>
      </c>
      <c r="BT8" s="937" t="str" cm="1">
        <f t="array" aca="1" ref="BT8" ca="1">IF(IF(INDIRECT("'"&amp;Etiquettes!BT13&amp;"'"&amp;"!N1")=$A$8,_xlfn.TEXTJOIN(":",TRUE,_xlfn.UNIQUE(INDIRECT("'"&amp;Etiquettes!BT13&amp;"'"&amp;"!N2:N1000"))),"")="0","",IF(INDIRECT("'"&amp;Etiquettes!BT13&amp;"'"&amp;"!N1")=$A$8,_xlfn.TEXTJOIN(":",TRUE,_xlfn.UNIQUE(INDIRECT("'"&amp;Etiquettes!BT13&amp;"'"&amp;"!N2:N1000"))),""))</f>
        <v>Rendement de production d'huile = 42,4 % (Rapport méthodo Ademe calcul ACV - Terres Univia):Rendement de production de tourteau = 55,8 % (Rapport méthodo Ademe calcul ACV - Terres Univia):Rendement de production de coques (+ eau) = 1,8 % (Rapport méthodo Ademe calcul ACV - Terres Univia):Rendement de production d'huile = 44,3 % (Rapport méthodo Ademe calcul ACV - Terres Univia):Rendement de production de tourteau = 54 % (Rapport méthodo Ademe calcul ACV - Terres Univia):Rendement de production de coques (+ eau) = 1,7 % (Rapport méthodo Ademe calcul ACV - Terres Univia):Rendement de production d'huile = 18,8 % (Rapport méthodo Ademe calcul ACV - Terres Univia):Rendement de production de tourteau = 79,4 % (Rapport méthodo Ademe calcul ACV - Terres Univia):Part de la consommation des coques (+ eau) par les FAB = 100 % (Terres Univia):Part de la consommation des coques (+ eau) pour la combustion = 100 % (Terres Univia)</v>
      </c>
      <c r="BU8" s="937" t="str" cm="1">
        <f t="array" aca="1" ref="BU8" ca="1">IF(IF(INDIRECT("'"&amp;Etiquettes!BU13&amp;"'"&amp;"!N1")=$A$8,_xlfn.TEXTJOIN(":",TRUE,_xlfn.UNIQUE(INDIRECT("'"&amp;Etiquettes!BU13&amp;"'"&amp;"!N2:N1000"))),"")="0","",IF(INDIRECT("'"&amp;Etiquettes!BU13&amp;"'"&amp;"!N1")=$A$8,_xlfn.TEXTJOIN(":",TRUE,_xlfn.UNIQUE(INDIRECT("'"&amp;Etiquettes!BU13&amp;"'"&amp;"!N2:N1000"))),""))</f>
        <v/>
      </c>
      <c r="BV8" s="937" t="str" cm="1">
        <f t="array" aca="1" ref="BV8" ca="1">IF(IF(INDIRECT("'"&amp;Etiquettes!BV13&amp;"'"&amp;"!N1")=$A$8,_xlfn.TEXTJOIN(":",TRUE,_xlfn.UNIQUE(INDIRECT("'"&amp;Etiquettes!BV13&amp;"'"&amp;"!N2:N1000"))),"")="0","",IF(INDIRECT("'"&amp;Etiquettes!BV13&amp;"'"&amp;"!N1")=$A$8,_xlfn.TEXTJOIN(":",TRUE,_xlfn.UNIQUE(INDIRECT("'"&amp;Etiquettes!BV13&amp;"'"&amp;"!N2:N1000"))),""))</f>
        <v/>
      </c>
      <c r="BW8" s="937" t="str" cm="1">
        <f t="array" aca="1" ref="BW8" ca="1">IF(IF(INDIRECT("'"&amp;Etiquettes!BW13&amp;"'"&amp;"!N1")=$A$8,_xlfn.TEXTJOIN(":",TRUE,_xlfn.UNIQUE(INDIRECT("'"&amp;Etiquettes!BW13&amp;"'"&amp;"!N2:N1000"))),"")="0","",IF(INDIRECT("'"&amp;Etiquettes!BW13&amp;"'"&amp;"!N1")=$A$8,_xlfn.TEXTJOIN(":",TRUE,_xlfn.UNIQUE(INDIRECT("'"&amp;Etiquettes!BW13&amp;"'"&amp;"!N2:N1000"))),""))</f>
        <v>Part de consommation d'huile par les ménages = 64,88 % (Terres Univia):Part de consommation d'huile par les autres IAA = 21,8 % (Terres Univia):Part de consommation d'huile par les autres industries = 7,96 % (Terres Univia):Part de consommation d'huile en biocarburants = 5,36 % (Veille concurrentielle biocarburants - FranceAgriMer):Part de consommation d'huile en alimentation humaine = 36,8 % (Terres Univia):Part de consommation d'huile en biocarburants = 61,12 % (Veille concurrentielle biocarburants - FranceAgriMer):Part de consommation d'huile pour des usages non-alimentaires = 2,08 % (Terres Univia)</v>
      </c>
      <c r="BX8" s="937" t="str" cm="1">
        <f t="array" aca="1" ref="BX8" ca="1">IF(IF(INDIRECT("'"&amp;Etiquettes!BX13&amp;"'"&amp;"!N1")=$A$8,_xlfn.TEXTJOIN(":",TRUE,_xlfn.UNIQUE(INDIRECT("'"&amp;Etiquettes!BX13&amp;"'"&amp;"!N2:N1000"))),"")="0","",IF(INDIRECT("'"&amp;Etiquettes!BX13&amp;"'"&amp;"!N1")=$A$8,_xlfn.TEXTJOIN(":",TRUE,_xlfn.UNIQUE(INDIRECT("'"&amp;Etiquettes!BX13&amp;"'"&amp;"!N2:N1000"))),""))</f>
        <v/>
      </c>
      <c r="BY8" s="937" t="str" cm="1">
        <f t="array" aca="1" ref="BY8" ca="1">IF(IF(INDIRECT("'"&amp;Etiquettes!BY13&amp;"'"&amp;"!N1")=$A$8,_xlfn.TEXTJOIN(":",TRUE,_xlfn.UNIQUE(INDIRECT("'"&amp;Etiquettes!BY13&amp;"'"&amp;"!N2:N1000"))),"")="0","",IF(INDIRECT("'"&amp;Etiquettes!BY13&amp;"'"&amp;"!N1")=$A$8,_xlfn.TEXTJOIN(":",TRUE,_xlfn.UNIQUE(INDIRECT("'"&amp;Etiquettes!BY13&amp;"'"&amp;"!N2:N1000"))),""))</f>
        <v/>
      </c>
      <c r="BZ8" s="937" t="str" cm="1">
        <f t="array" aca="1" ref="BZ8" ca="1">IF(IF(INDIRECT("'"&amp;Etiquettes!BZ13&amp;"'"&amp;"!N1")=$A$8,_xlfn.TEXTJOIN(":",TRUE,_xlfn.UNIQUE(INDIRECT("'"&amp;Etiquettes!BZ13&amp;"'"&amp;"!N2:N1000"))),"")="0","",IF(INDIRECT("'"&amp;Etiquettes!BZ13&amp;"'"&amp;"!N1")=$A$8,_xlfn.TEXTJOIN(":",TRUE,_xlfn.UNIQUE(INDIRECT("'"&amp;Etiquettes!BZ13&amp;"'"&amp;"!N2:N1000"))),""))</f>
        <v>Part de consommation de tourteaux en FAB = 83,04 % (ORIFLAAM):Part de consommation de tourteaux en hors FAB = 16,96 % (ORIFLAAM):Part de consommation de tourteaux en FAB = 92,6 % (ORIFLAAM):Part de consommation de tourteaux en hors FAB = 7,4 % (ORIFLAAM):Part de consommation de tourteaux en FAB = 84,32 % (ORIFLAAM):Part de consommation de tourteaux en hors FAB = 15,68 % (ORIFLAAM):Part de consommation de tourteaux en FAB = 97,59 % (ORIFLAAM):Part de consommation de tourteaux en hors FAB = 2,41 % (ORIFLAAM)</v>
      </c>
      <c r="CA8" s="937" t="str" cm="1">
        <f t="array" aca="1" ref="CA8" ca="1">IF(IF(INDIRECT("'"&amp;Etiquettes!CA13&amp;"'"&amp;"!N1")=$A$8,_xlfn.TEXTJOIN(":",TRUE,_xlfn.UNIQUE(INDIRECT("'"&amp;Etiquettes!CA13&amp;"'"&amp;"!N2:N1000"))),"")="0","",IF(INDIRECT("'"&amp;Etiquettes!CA13&amp;"'"&amp;"!N1")=$A$8,_xlfn.TEXTJOIN(":",TRUE,_xlfn.UNIQUE(INDIRECT("'"&amp;Etiquettes!CA13&amp;"'"&amp;"!N2:N1000"))),""))</f>
        <v/>
      </c>
      <c r="CB8" s="937" t="str" cm="1">
        <f t="array" aca="1" ref="CB8" ca="1">IF(IF(INDIRECT("'"&amp;Etiquettes!CB13&amp;"'"&amp;"!N1")=$A$8,_xlfn.TEXTJOIN(":",TRUE,_xlfn.UNIQUE(INDIRECT("'"&amp;Etiquettes!CB13&amp;"'"&amp;"!N2:N1000"))),"")="0","",IF(INDIRECT("'"&amp;Etiquettes!CB13&amp;"'"&amp;"!N1")=$A$8,_xlfn.TEXTJOIN(":",TRUE,_xlfn.UNIQUE(INDIRECT("'"&amp;Etiquettes!CB13&amp;"'"&amp;"!N2:N1000"))),""))</f>
        <v/>
      </c>
      <c r="CC8" s="937" t="str" cm="1">
        <f t="array" aca="1" ref="CC8" ca="1">IF(IF(INDIRECT("'"&amp;Etiquettes!CC13&amp;"'"&amp;"!N1")=$A$8,_xlfn.TEXTJOIN(":",TRUE,_xlfn.UNIQUE(INDIRECT("'"&amp;Etiquettes!CC13&amp;"'"&amp;"!N2:N1000"))),"")="0","",IF(INDIRECT("'"&amp;Etiquettes!CC13&amp;"'"&amp;"!N1")=$A$8,_xlfn.TEXTJOIN(":",TRUE,_xlfn.UNIQUE(INDIRECT("'"&amp;Etiquettes!CC13&amp;"'"&amp;"!N2:N1000"))),""))</f>
        <v/>
      </c>
      <c r="CD8" s="937" t="str" cm="1">
        <f t="array" aca="1" ref="CD8" ca="1">IF(IF(INDIRECT("'"&amp;Etiquettes!CD13&amp;"'"&amp;"!N1")=$A$8,_xlfn.TEXTJOIN(":",TRUE,_xlfn.UNIQUE(INDIRECT("'"&amp;Etiquettes!CD13&amp;"'"&amp;"!N2:N1000"))),"")="0","",IF(INDIRECT("'"&amp;Etiquettes!CD13&amp;"'"&amp;"!N1")=$A$8,_xlfn.TEXTJOIN(":",TRUE,_xlfn.UNIQUE(INDIRECT("'"&amp;Etiquettes!CD13&amp;"'"&amp;"!N2:N1000"))),""))</f>
        <v/>
      </c>
      <c r="CE8" s="937" t="str" cm="1">
        <f t="array" aca="1" ref="CE8" ca="1">IF(IF(INDIRECT("'"&amp;Etiquettes!CE13&amp;"'"&amp;"!N1")=$A$8,_xlfn.TEXTJOIN(":",TRUE,_xlfn.UNIQUE(INDIRECT("'"&amp;Etiquettes!CE13&amp;"'"&amp;"!N2:N1000"))),"")="0","",IF(INDIRECT("'"&amp;Etiquettes!CE13&amp;"'"&amp;"!N1")=$A$8,_xlfn.TEXTJOIN(":",TRUE,_xlfn.UNIQUE(INDIRECT("'"&amp;Etiquettes!CE13&amp;"'"&amp;"!N2:N1000"))),""))</f>
        <v/>
      </c>
      <c r="CF8" s="937" t="str" cm="1">
        <f t="array" aca="1" ref="CF8" ca="1">IF(IF(INDIRECT("'"&amp;Etiquettes!CF13&amp;"'"&amp;"!N1")=$A$8,_xlfn.TEXTJOIN(":",TRUE,_xlfn.UNIQUE(INDIRECT("'"&amp;Etiquettes!CF13&amp;"'"&amp;"!N2:N1000"))),"")="0","",IF(INDIRECT("'"&amp;Etiquettes!CF13&amp;"'"&amp;"!N1")=$A$8,_xlfn.TEXTJOIN(":",TRUE,_xlfn.UNIQUE(INDIRECT("'"&amp;Etiquettes!CF13&amp;"'"&amp;"!N2:N1000"))),""))</f>
        <v/>
      </c>
      <c r="CG8" s="937" t="str" cm="1">
        <f t="array" aca="1" ref="CG8" ca="1">IF(IF(INDIRECT("'"&amp;Etiquettes!CG13&amp;"'"&amp;"!N1")=$A$8,_xlfn.TEXTJOIN(":",TRUE,_xlfn.UNIQUE(INDIRECT("'"&amp;Etiquettes!CG13&amp;"'"&amp;"!N2:N1000"))),"")="0","",IF(INDIRECT("'"&amp;Etiquettes!CG13&amp;"'"&amp;"!N1")=$A$8,_xlfn.TEXTJOIN(":",TRUE,_xlfn.UNIQUE(INDIRECT("'"&amp;Etiquettes!CG13&amp;"'"&amp;"!N2:N1000"))),""))</f>
        <v/>
      </c>
      <c r="CH8" s="937" t="str" cm="1">
        <f t="array" aca="1" ref="CH8" ca="1">IF(IF(INDIRECT("'"&amp;Etiquettes!CH13&amp;"'"&amp;"!N1")=$A$8,_xlfn.TEXTJOIN(":",TRUE,_xlfn.UNIQUE(INDIRECT("'"&amp;Etiquettes!CH13&amp;"'"&amp;"!N2:N1000"))),"")="0","",IF(INDIRECT("'"&amp;Etiquettes!CH13&amp;"'"&amp;"!N1")=$A$8,_xlfn.TEXTJOIN(":",TRUE,_xlfn.UNIQUE(INDIRECT("'"&amp;Etiquettes!CH13&amp;"'"&amp;"!N2:N1000"))),""))</f>
        <v/>
      </c>
      <c r="CI8" s="937" t="str" cm="1">
        <f t="array" aca="1" ref="CI8" ca="1">IF(IF(INDIRECT("'"&amp;Etiquettes!CI13&amp;"'"&amp;"!N1")=$A$8,_xlfn.TEXTJOIN(":",TRUE,_xlfn.UNIQUE(INDIRECT("'"&amp;Etiquettes!CI13&amp;"'"&amp;"!N2:N1000"))),"")="0","",IF(INDIRECT("'"&amp;Etiquettes!CI13&amp;"'"&amp;"!N1")=$A$8,_xlfn.TEXTJOIN(":",TRUE,_xlfn.UNIQUE(INDIRECT("'"&amp;Etiquettes!CI13&amp;"'"&amp;"!N2:N1000"))),""))</f>
        <v>Part de consommation d'huile par les ménages = 64,88 % (Terres Univia):Consommation de graines en alimentation humaine = 45 kt (Bilans par campagne - FranceAgriMer):0:Consommation de LS bruts par les autres IAA = 0 kt (OléoProtéines - Terres Univia):Consommation de LS appertisés et surgelés par les autres IAA = 0 kt (OléoProtéines - Terres Univia)</v>
      </c>
    </row>
    <row r="9" spans="1:88">
      <c r="A9" t="s">
        <v>17</v>
      </c>
      <c r="B9" s="34" t="s">
        <v>35</v>
      </c>
      <c r="C9" s="937" t="str">
        <f ca="1">_xlfn.TEXTJOIN(":",TRUE,H9:CS9)</f>
        <v>Bilans par campagne - FranceAgriMer:Bilans par campagne - FranceAgriMer:Bilans par campagne - FranceAgriMer:Statistique Agricole Annuelle - SSP:Bilans par campagne - FranceAgriMer:Bilans par campagne - FranceAgriMer:ORIFLAAM:ONRB - FranceAgriMer:ORIFLAAM:Enquête Pratiques culturales en grandes cultures - SSP:Estimation - Terres Univia:0:Douanes françaises - Eurostat:Bilans par campagne - FranceAgriMer:FEDIOL:FEDIOL:ONRB - FranceAgriMer:Carbure:Nielsen:Statistique Agricole Annuelle - SSP:FranceAgriMer:Nielsen:AFIDOL:Statistique Agricole Annuelle - SSP:Collectes, stocks - FranceAgriMer:Etat 13 - FranceAgriMer:Estimation - Terres Univia:OléoProtéines - Terres Univia:OléoProtéines - Terres Univia:Chiffres clés - USIPA:Composition - Feedtables:ONRB - FranceAgriMer:Rapport méthodo Ademe calcul ACV - Terres Univia:Terres Univia:Terres Univia:Veille concurrentielle biocarburants - FranceAgriMer:ORIFLAAM:Bilans par campagne - FranceAgriMer:Collectes, stocks - FranceAgriMer:Enquête Pratiques culturales en grandes cultures - SSP:ONRB - FranceAgriMer:Veille concurrentielle biocarburants - FranceAgriMer:Terres Univia:Bilans par campagne - FranceAgriMer:0:OléoProtéines - Terres Univia</v>
      </c>
      <c r="G9" s="937" t="e" cm="1">
        <f t="array" aca="1" ref="G9" ca="1">IF(IF(INDIRECT("'"&amp;Etiquettes!G13&amp;"'"&amp;"!K1")=$A$9,_xlfn.TEXTJOIN(":",TRUE,_xlfn.UNIQUE(INDIRECT("'"&amp;Etiquettes!G13&amp;"'"&amp;"!K2:K1000"))),"")="0","",IF(INDIRECT("'"&amp;Etiquettes!G13&amp;"'"&amp;"!K1")=$A$9,_xlfn.TEXTJOIN(":",TRUE,_xlfn.UNIQUE(INDIRECT("'"&amp;Etiquettes!G13&amp;"'"&amp;"!K2:K1000"))),""))</f>
        <v>#REF!</v>
      </c>
      <c r="H9" s="937" t="str" cm="1">
        <f t="array" aca="1" ref="H9" ca="1">IF(IF(INDIRECT("'"&amp;Etiquettes!H13&amp;"'"&amp;"!K1")=$A$9,_xlfn.TEXTJOIN(":",TRUE,_xlfn.UNIQUE(INDIRECT("'"&amp;Etiquettes!H13&amp;"'"&amp;"!K2:K1000"))),"")="0","",IF(INDIRECT("'"&amp;Etiquettes!H13&amp;"'"&amp;"!K1")=$A$9,_xlfn.TEXTJOIN(":",TRUE,_xlfn.UNIQUE(INDIRECT("'"&amp;Etiquettes!H13&amp;"'"&amp;"!K2:K1000"))),""))</f>
        <v/>
      </c>
      <c r="I9" s="937" t="str" cm="1">
        <f t="array" aca="1" ref="I9" ca="1">IF(IF(INDIRECT("'"&amp;Etiquettes!I13&amp;"'"&amp;"!K1")=$A$9,_xlfn.TEXTJOIN(":",TRUE,_xlfn.UNIQUE(INDIRECT("'"&amp;Etiquettes!I13&amp;"'"&amp;"!K2:K1000"))),"")="0","",IF(INDIRECT("'"&amp;Etiquettes!I13&amp;"'"&amp;"!K1")=$A$9,_xlfn.TEXTJOIN(":",TRUE,_xlfn.UNIQUE(INDIRECT("'"&amp;Etiquettes!I13&amp;"'"&amp;"!K2:K1000"))),""))</f>
        <v/>
      </c>
      <c r="J9" s="937" t="str" cm="1">
        <f t="array" aca="1" ref="J9" ca="1">IF(IF(INDIRECT("'"&amp;Etiquettes!J13&amp;"'"&amp;"!K1")=$A$9,_xlfn.TEXTJOIN(":",TRUE,_xlfn.UNIQUE(INDIRECT("'"&amp;Etiquettes!J13&amp;"'"&amp;"!K2:K1000"))),"")="0","",IF(INDIRECT("'"&amp;Etiquettes!J13&amp;"'"&amp;"!K1")=$A$9,_xlfn.TEXTJOIN(":",TRUE,_xlfn.UNIQUE(INDIRECT("'"&amp;Etiquettes!J13&amp;"'"&amp;"!K2:K1000"))),""))</f>
        <v/>
      </c>
      <c r="K9" s="937" t="str" cm="1">
        <f t="array" aca="1" ref="K9" ca="1">IF(IF(INDIRECT("'"&amp;Etiquettes!K13&amp;"'"&amp;"!K1")=$A$9,_xlfn.TEXTJOIN(":",TRUE,_xlfn.UNIQUE(INDIRECT("'"&amp;Etiquettes!K13&amp;"'"&amp;"!K2:K1000"))),"")="0","",IF(INDIRECT("'"&amp;Etiquettes!K13&amp;"'"&amp;"!K1")=$A$9,_xlfn.TEXTJOIN(":",TRUE,_xlfn.UNIQUE(INDIRECT("'"&amp;Etiquettes!K13&amp;"'"&amp;"!K2:K1000"))),""))</f>
        <v/>
      </c>
      <c r="L9" s="937" t="str" cm="1">
        <f t="array" aca="1" ref="L9" ca="1">IF(IF(INDIRECT("'"&amp;Etiquettes!L13&amp;"'"&amp;"!K1")=$A$9,_xlfn.TEXTJOIN(":",TRUE,_xlfn.UNIQUE(INDIRECT("'"&amp;Etiquettes!L13&amp;"'"&amp;"!K2:K1000"))),"")="0","",IF(INDIRECT("'"&amp;Etiquettes!L13&amp;"'"&amp;"!K1")=$A$9,_xlfn.TEXTJOIN(":",TRUE,_xlfn.UNIQUE(INDIRECT("'"&amp;Etiquettes!L13&amp;"'"&amp;"!K2:K1000"))),""))</f>
        <v/>
      </c>
      <c r="M9" s="937" t="str" cm="1">
        <f t="array" aca="1" ref="M9" ca="1">IF(IF(INDIRECT("'"&amp;Etiquettes!M13&amp;"'"&amp;"!K1")=$A$9,_xlfn.TEXTJOIN(":",TRUE,_xlfn.UNIQUE(INDIRECT("'"&amp;Etiquettes!M13&amp;"'"&amp;"!K2:K1000"))),"")="0","",IF(INDIRECT("'"&amp;Etiquettes!M13&amp;"'"&amp;"!K1")=$A$9,_xlfn.TEXTJOIN(":",TRUE,_xlfn.UNIQUE(INDIRECT("'"&amp;Etiquettes!M13&amp;"'"&amp;"!K2:K1000"))),""))</f>
        <v/>
      </c>
      <c r="N9" s="937" t="str" cm="1">
        <f t="array" aca="1" ref="N9" ca="1">IF(IF(INDIRECT("'"&amp;Etiquettes!N13&amp;"'"&amp;"!K1")=$A$9,_xlfn.TEXTJOIN(":",TRUE,_xlfn.UNIQUE(INDIRECT("'"&amp;Etiquettes!N13&amp;"'"&amp;"!K2:K1000"))),"")="0","",IF(INDIRECT("'"&amp;Etiquettes!N13&amp;"'"&amp;"!K1")=$A$9,_xlfn.TEXTJOIN(":",TRUE,_xlfn.UNIQUE(INDIRECT("'"&amp;Etiquettes!N13&amp;"'"&amp;"!K2:K1000"))),""))</f>
        <v/>
      </c>
      <c r="O9" s="937" t="str" cm="1">
        <f t="array" aca="1" ref="O9" ca="1">IF(IF(INDIRECT("'"&amp;Etiquettes!O13&amp;"'"&amp;"!K1")=$A$9,_xlfn.TEXTJOIN(":",TRUE,_xlfn.UNIQUE(INDIRECT("'"&amp;Etiquettes!O13&amp;"'"&amp;"!K2:K1000"))),"")="0","",IF(INDIRECT("'"&amp;Etiquettes!O13&amp;"'"&amp;"!K1")=$A$9,_xlfn.TEXTJOIN(":",TRUE,_xlfn.UNIQUE(INDIRECT("'"&amp;Etiquettes!O13&amp;"'"&amp;"!K2:K1000"))),""))</f>
        <v/>
      </c>
      <c r="P9" s="937" t="str" cm="1">
        <f t="array" aca="1" ref="P9" ca="1">IF(IF(INDIRECT("'"&amp;Etiquettes!P13&amp;"'"&amp;"!K1")=$A$9,_xlfn.TEXTJOIN(":",TRUE,_xlfn.UNIQUE(INDIRECT("'"&amp;Etiquettes!P13&amp;"'"&amp;"!K2:K1000"))),"")="0","",IF(INDIRECT("'"&amp;Etiquettes!P13&amp;"'"&amp;"!K1")=$A$9,_xlfn.TEXTJOIN(":",TRUE,_xlfn.UNIQUE(INDIRECT("'"&amp;Etiquettes!P13&amp;"'"&amp;"!K2:K1000"))),""))</f>
        <v>Bilans par campagne - FranceAgriMer</v>
      </c>
      <c r="Q9" s="937" t="str" cm="1">
        <f t="array" aca="1" ref="Q9" ca="1">IF(IF(INDIRECT("'"&amp;Etiquettes!Q13&amp;"'"&amp;"!K1")=$A$9,_xlfn.TEXTJOIN(":",TRUE,_xlfn.UNIQUE(INDIRECT("'"&amp;Etiquettes!Q13&amp;"'"&amp;"!K2:K1000"))),"")="0","",IF(INDIRECT("'"&amp;Etiquettes!Q13&amp;"'"&amp;"!K1")=$A$9,_xlfn.TEXTJOIN(":",TRUE,_xlfn.UNIQUE(INDIRECT("'"&amp;Etiquettes!Q13&amp;"'"&amp;"!K2:K1000"))),""))</f>
        <v/>
      </c>
      <c r="R9" s="937" t="str" cm="1">
        <f t="array" aca="1" ref="R9" ca="1">IF(IF(INDIRECT("'"&amp;Etiquettes!R13&amp;"'"&amp;"!K1")=$A$9,_xlfn.TEXTJOIN(":",TRUE,_xlfn.UNIQUE(INDIRECT("'"&amp;Etiquettes!R13&amp;"'"&amp;"!K2:K1000"))),"")="0","",IF(INDIRECT("'"&amp;Etiquettes!R13&amp;"'"&amp;"!K1")=$A$9,_xlfn.TEXTJOIN(":",TRUE,_xlfn.UNIQUE(INDIRECT("'"&amp;Etiquettes!R13&amp;"'"&amp;"!K2:K1000"))),""))</f>
        <v>Bilans par campagne - FranceAgriMer</v>
      </c>
      <c r="S9" s="937" t="str" cm="1">
        <f t="array" aca="1" ref="S9" ca="1">IF(IF(INDIRECT("'"&amp;Etiquettes!S13&amp;"'"&amp;"!K1")=$A$9,_xlfn.TEXTJOIN(":",TRUE,_xlfn.UNIQUE(INDIRECT("'"&amp;Etiquettes!S13&amp;"'"&amp;"!K2:K1000"))),"")="0","",IF(INDIRECT("'"&amp;Etiquettes!S13&amp;"'"&amp;"!K1")=$A$9,_xlfn.TEXTJOIN(":",TRUE,_xlfn.UNIQUE(INDIRECT("'"&amp;Etiquettes!S13&amp;"'"&amp;"!K2:K1000"))),""))</f>
        <v/>
      </c>
      <c r="T9" s="937" t="str" cm="1">
        <f t="array" aca="1" ref="T9" ca="1">IF(IF(INDIRECT("'"&amp;Etiquettes!T13&amp;"'"&amp;"!K1")=$A$9,_xlfn.TEXTJOIN(":",TRUE,_xlfn.UNIQUE(INDIRECT("'"&amp;Etiquettes!T13&amp;"'"&amp;"!K2:K1000"))),"")="0","",IF(INDIRECT("'"&amp;Etiquettes!T13&amp;"'"&amp;"!K1")=$A$9,_xlfn.TEXTJOIN(":",TRUE,_xlfn.UNIQUE(INDIRECT("'"&amp;Etiquettes!T13&amp;"'"&amp;"!K2:K1000"))),""))</f>
        <v>Bilans par campagne - FranceAgriMer</v>
      </c>
      <c r="U9" s="937" t="str" cm="1">
        <f t="array" aca="1" ref="U9" ca="1">IF(IF(INDIRECT("'"&amp;Etiquettes!U13&amp;"'"&amp;"!K1")=$A$9,_xlfn.TEXTJOIN(":",TRUE,_xlfn.UNIQUE(INDIRECT("'"&amp;Etiquettes!U13&amp;"'"&amp;"!K2:K1000"))),"")="0","",IF(INDIRECT("'"&amp;Etiquettes!U13&amp;"'"&amp;"!K1")=$A$9,_xlfn.TEXTJOIN(":",TRUE,_xlfn.UNIQUE(INDIRECT("'"&amp;Etiquettes!U13&amp;"'"&amp;"!K2:K1000"))),""))</f>
        <v/>
      </c>
      <c r="V9" s="937" t="str" cm="1">
        <f t="array" aca="1" ref="V9" ca="1">IF(IF(INDIRECT("'"&amp;Etiquettes!V13&amp;"'"&amp;"!K1")=$A$9,_xlfn.TEXTJOIN(":",TRUE,_xlfn.UNIQUE(INDIRECT("'"&amp;Etiquettes!V13&amp;"'"&amp;"!K2:K1000"))),"")="0","",IF(INDIRECT("'"&amp;Etiquettes!V13&amp;"'"&amp;"!K1")=$A$9,_xlfn.TEXTJOIN(":",TRUE,_xlfn.UNIQUE(INDIRECT("'"&amp;Etiquettes!V13&amp;"'"&amp;"!K2:K1000"))),""))</f>
        <v>Statistique Agricole Annuelle - SSP:Bilans par campagne - FranceAgriMer</v>
      </c>
      <c r="W9" s="937" t="str" cm="1">
        <f t="array" aca="1" ref="W9" ca="1">IF(IF(INDIRECT("'"&amp;Etiquettes!W13&amp;"'"&amp;"!K1")=$A$9,_xlfn.TEXTJOIN(":",TRUE,_xlfn.UNIQUE(INDIRECT("'"&amp;Etiquettes!W13&amp;"'"&amp;"!K2:K1000"))),"")="0","",IF(INDIRECT("'"&amp;Etiquettes!W13&amp;"'"&amp;"!K1")=$A$9,_xlfn.TEXTJOIN(":",TRUE,_xlfn.UNIQUE(INDIRECT("'"&amp;Etiquettes!W13&amp;"'"&amp;"!K2:K1000"))),""))</f>
        <v/>
      </c>
      <c r="X9" s="937" t="str" cm="1">
        <f t="array" aca="1" ref="X9" ca="1">IF(IF(INDIRECT("'"&amp;Etiquettes!X13&amp;"'"&amp;"!K1")=$A$9,_xlfn.TEXTJOIN(":",TRUE,_xlfn.UNIQUE(INDIRECT("'"&amp;Etiquettes!X13&amp;"'"&amp;"!K2:K1000"))),"")="0","",IF(INDIRECT("'"&amp;Etiquettes!X13&amp;"'"&amp;"!K1")=$A$9,_xlfn.TEXTJOIN(":",TRUE,_xlfn.UNIQUE(INDIRECT("'"&amp;Etiquettes!X13&amp;"'"&amp;"!K2:K1000"))),""))</f>
        <v>Bilans par campagne - FranceAgriMer:ORIFLAAM</v>
      </c>
      <c r="Y9" s="937" t="str" cm="1">
        <f t="array" aca="1" ref="Y9" ca="1">IF(IF(INDIRECT("'"&amp;Etiquettes!Y13&amp;"'"&amp;"!K1")=$A$9,_xlfn.TEXTJOIN(":",TRUE,_xlfn.UNIQUE(INDIRECT("'"&amp;Etiquettes!Y13&amp;"'"&amp;"!K2:K1000"))),"")="0","",IF(INDIRECT("'"&amp;Etiquettes!Y13&amp;"'"&amp;"!K1")=$A$9,_xlfn.TEXTJOIN(":",TRUE,_xlfn.UNIQUE(INDIRECT("'"&amp;Etiquettes!Y13&amp;"'"&amp;"!K2:K1000"))),""))</f>
        <v/>
      </c>
      <c r="Z9" s="937" t="str" cm="1">
        <f t="array" aca="1" ref="Z9" ca="1">IF(IF(INDIRECT("'"&amp;Etiquettes!Z13&amp;"'"&amp;"!K1")=$A$9,_xlfn.TEXTJOIN(":",TRUE,_xlfn.UNIQUE(INDIRECT("'"&amp;Etiquettes!Z13&amp;"'"&amp;"!K2:K1000"))),"")="0","",IF(INDIRECT("'"&amp;Etiquettes!Z13&amp;"'"&amp;"!K1")=$A$9,_xlfn.TEXTJOIN(":",TRUE,_xlfn.UNIQUE(INDIRECT("'"&amp;Etiquettes!Z13&amp;"'"&amp;"!K2:K1000"))),""))</f>
        <v/>
      </c>
      <c r="AA9" s="937" t="str" cm="1">
        <f t="array" aca="1" ref="AA9" ca="1">IF(IF(INDIRECT("'"&amp;Etiquettes!AA13&amp;"'"&amp;"!K1")=$A$9,_xlfn.TEXTJOIN(":",TRUE,_xlfn.UNIQUE(INDIRECT("'"&amp;Etiquettes!AA13&amp;"'"&amp;"!K2:K1000"))),"")="0","",IF(INDIRECT("'"&amp;Etiquettes!AA13&amp;"'"&amp;"!K1")=$A$9,_xlfn.TEXTJOIN(":",TRUE,_xlfn.UNIQUE(INDIRECT("'"&amp;Etiquettes!AA13&amp;"'"&amp;"!K2:K1000"))),""))</f>
        <v>ONRB - FranceAgriMer</v>
      </c>
      <c r="AB9" s="937" t="str" cm="1">
        <f t="array" aca="1" ref="AB9" ca="1">IF(IF(INDIRECT("'"&amp;Etiquettes!AB13&amp;"'"&amp;"!K1")=$A$9,_xlfn.TEXTJOIN(":",TRUE,_xlfn.UNIQUE(INDIRECT("'"&amp;Etiquettes!AB13&amp;"'"&amp;"!K2:K1000"))),"")="0","",IF(INDIRECT("'"&amp;Etiquettes!AB13&amp;"'"&amp;"!K1")=$A$9,_xlfn.TEXTJOIN(":",TRUE,_xlfn.UNIQUE(INDIRECT("'"&amp;Etiquettes!AB13&amp;"'"&amp;"!K2:K1000"))),""))</f>
        <v/>
      </c>
      <c r="AC9" s="937" t="str" cm="1">
        <f t="array" aca="1" ref="AC9" ca="1">IF(IF(INDIRECT("'"&amp;Etiquettes!AC13&amp;"'"&amp;"!K1")=$A$9,_xlfn.TEXTJOIN(":",TRUE,_xlfn.UNIQUE(INDIRECT("'"&amp;Etiquettes!AC13&amp;"'"&amp;"!K2:K1000"))),"")="0","",IF(INDIRECT("'"&amp;Etiquettes!AC13&amp;"'"&amp;"!K1")=$A$9,_xlfn.TEXTJOIN(":",TRUE,_xlfn.UNIQUE(INDIRECT("'"&amp;Etiquettes!AC13&amp;"'"&amp;"!K2:K1000"))),""))</f>
        <v/>
      </c>
      <c r="AD9" s="937" t="str" cm="1">
        <f t="array" aca="1" ref="AD9" ca="1">IF(IF(INDIRECT("'"&amp;Etiquettes!AD13&amp;"'"&amp;"!K1")=$A$9,_xlfn.TEXTJOIN(":",TRUE,_xlfn.UNIQUE(INDIRECT("'"&amp;Etiquettes!AD13&amp;"'"&amp;"!K2:K1000"))),"")="0","",IF(INDIRECT("'"&amp;Etiquettes!AD13&amp;"'"&amp;"!K1")=$A$9,_xlfn.TEXTJOIN(":",TRUE,_xlfn.UNIQUE(INDIRECT("'"&amp;Etiquettes!AD13&amp;"'"&amp;"!K2:K1000"))),""))</f>
        <v>ORIFLAAM</v>
      </c>
      <c r="AE9" s="937" t="str" cm="1">
        <f t="array" aca="1" ref="AE9" ca="1">IF(IF(INDIRECT("'"&amp;Etiquettes!AE13&amp;"'"&amp;"!K1")=$A$9,_xlfn.TEXTJOIN(":",TRUE,_xlfn.UNIQUE(INDIRECT("'"&amp;Etiquettes!AE13&amp;"'"&amp;"!K2:K1000"))),"")="0","",IF(INDIRECT("'"&amp;Etiquettes!AE13&amp;"'"&amp;"!K1")=$A$9,_xlfn.TEXTJOIN(":",TRUE,_xlfn.UNIQUE(INDIRECT("'"&amp;Etiquettes!AE13&amp;"'"&amp;"!K2:K1000"))),""))</f>
        <v/>
      </c>
      <c r="AF9" s="937" t="str" cm="1">
        <f t="array" aca="1" ref="AF9" ca="1">IF(IF(INDIRECT("'"&amp;Etiquettes!AF13&amp;"'"&amp;"!K1")=$A$9,_xlfn.TEXTJOIN(":",TRUE,_xlfn.UNIQUE(INDIRECT("'"&amp;Etiquettes!AF13&amp;"'"&amp;"!K2:K1000"))),"")="0","",IF(INDIRECT("'"&amp;Etiquettes!AF13&amp;"'"&amp;"!K1")=$A$9,_xlfn.TEXTJOIN(":",TRUE,_xlfn.UNIQUE(INDIRECT("'"&amp;Etiquettes!AF13&amp;"'"&amp;"!K2:K1000"))),""))</f>
        <v/>
      </c>
      <c r="AG9" s="937" t="str" cm="1">
        <f t="array" aca="1" ref="AG9" ca="1">IF(IF(INDIRECT("'"&amp;Etiquettes!AG13&amp;"'"&amp;"!K1")=$A$9,_xlfn.TEXTJOIN(":",TRUE,_xlfn.UNIQUE(INDIRECT("'"&amp;Etiquettes!AG13&amp;"'"&amp;"!K2:K1000"))),"")="0","",IF(INDIRECT("'"&amp;Etiquettes!AG13&amp;"'"&amp;"!K1")=$A$9,_xlfn.TEXTJOIN(":",TRUE,_xlfn.UNIQUE(INDIRECT("'"&amp;Etiquettes!AG13&amp;"'"&amp;"!K2:K1000"))),""))</f>
        <v>Enquête Pratiques culturales en grandes cultures - SSP:Estimation - Terres Univia:0</v>
      </c>
      <c r="AH9" s="937" t="str" cm="1">
        <f t="array" aca="1" ref="AH9" ca="1">IF(IF(INDIRECT("'"&amp;Etiquettes!AH13&amp;"'"&amp;"!K1")=$A$9,_xlfn.TEXTJOIN(":",TRUE,_xlfn.UNIQUE(INDIRECT("'"&amp;Etiquettes!AH13&amp;"'"&amp;"!K2:K1000"))),"")="0","",IF(INDIRECT("'"&amp;Etiquettes!AH13&amp;"'"&amp;"!K1")=$A$9,_xlfn.TEXTJOIN(":",TRUE,_xlfn.UNIQUE(INDIRECT("'"&amp;Etiquettes!AH13&amp;"'"&amp;"!K2:K1000"))),""))</f>
        <v/>
      </c>
      <c r="AI9" s="937" t="str" cm="1">
        <f t="array" aca="1" ref="AI9" ca="1">IF(IF(INDIRECT("'"&amp;Etiquettes!AI13&amp;"'"&amp;"!K1")=$A$9,_xlfn.TEXTJOIN(":",TRUE,_xlfn.UNIQUE(INDIRECT("'"&amp;Etiquettes!AI13&amp;"'"&amp;"!K2:K1000"))),"")="0","",IF(INDIRECT("'"&amp;Etiquettes!AI13&amp;"'"&amp;"!K1")=$A$9,_xlfn.TEXTJOIN(":",TRUE,_xlfn.UNIQUE(INDIRECT("'"&amp;Etiquettes!AI13&amp;"'"&amp;"!K2:K1000"))),""))</f>
        <v/>
      </c>
      <c r="AJ9" s="937" t="str" cm="1">
        <f t="array" aca="1" ref="AJ9" ca="1">IF(IF(INDIRECT("'"&amp;Etiquettes!AJ13&amp;"'"&amp;"!K1")=$A$9,_xlfn.TEXTJOIN(":",TRUE,_xlfn.UNIQUE(INDIRECT("'"&amp;Etiquettes!AJ13&amp;"'"&amp;"!K2:K1000"))),"")="0","",IF(INDIRECT("'"&amp;Etiquettes!AJ13&amp;"'"&amp;"!K1")=$A$9,_xlfn.TEXTJOIN(":",TRUE,_xlfn.UNIQUE(INDIRECT("'"&amp;Etiquettes!AJ13&amp;"'"&amp;"!K2:K1000"))),""))</f>
        <v>Douanes françaises - Eurostat:Bilans par campagne - FranceAgriMer</v>
      </c>
      <c r="AK9" s="937" t="str" cm="1">
        <f t="array" aca="1" ref="AK9" ca="1">IF(IF(INDIRECT("'"&amp;Etiquettes!AK13&amp;"'"&amp;"!K1")=$A$9,_xlfn.TEXTJOIN(":",TRUE,_xlfn.UNIQUE(INDIRECT("'"&amp;Etiquettes!AK13&amp;"'"&amp;"!K2:K1000"))),"")="0","",IF(INDIRECT("'"&amp;Etiquettes!AK13&amp;"'"&amp;"!K1")=$A$9,_xlfn.TEXTJOIN(":",TRUE,_xlfn.UNIQUE(INDIRECT("'"&amp;Etiquettes!AK13&amp;"'"&amp;"!K2:K1000"))),""))</f>
        <v/>
      </c>
      <c r="AL9" s="937" t="str" cm="1">
        <f t="array" aca="1" ref="AL9" ca="1">IF(IF(INDIRECT("'"&amp;Etiquettes!AL13&amp;"'"&amp;"!K1")=$A$9,_xlfn.TEXTJOIN(":",TRUE,_xlfn.UNIQUE(INDIRECT("'"&amp;Etiquettes!AL13&amp;"'"&amp;"!K2:K1000"))),"")="0","",IF(INDIRECT("'"&amp;Etiquettes!AL13&amp;"'"&amp;"!K1")=$A$9,_xlfn.TEXTJOIN(":",TRUE,_xlfn.UNIQUE(INDIRECT("'"&amp;Etiquettes!AL13&amp;"'"&amp;"!K2:K1000"))),""))</f>
        <v/>
      </c>
      <c r="AM9" s="937" t="str" cm="1">
        <f t="array" aca="1" ref="AM9" ca="1">IF(IF(INDIRECT("'"&amp;Etiquettes!AM13&amp;"'"&amp;"!K1")=$A$9,_xlfn.TEXTJOIN(":",TRUE,_xlfn.UNIQUE(INDIRECT("'"&amp;Etiquettes!AM13&amp;"'"&amp;"!K2:K1000"))),"")="0","",IF(INDIRECT("'"&amp;Etiquettes!AM13&amp;"'"&amp;"!K1")=$A$9,_xlfn.TEXTJOIN(":",TRUE,_xlfn.UNIQUE(INDIRECT("'"&amp;Etiquettes!AM13&amp;"'"&amp;"!K2:K1000"))),""))</f>
        <v/>
      </c>
      <c r="AN9" s="937" t="str" cm="1">
        <f t="array" aca="1" ref="AN9" ca="1">IF(IF(INDIRECT("'"&amp;Etiquettes!AN13&amp;"'"&amp;"!K1")=$A$9,_xlfn.TEXTJOIN(":",TRUE,_xlfn.UNIQUE(INDIRECT("'"&amp;Etiquettes!AN13&amp;"'"&amp;"!K2:K1000"))),"")="0","",IF(INDIRECT("'"&amp;Etiquettes!AN13&amp;"'"&amp;"!K1")=$A$9,_xlfn.TEXTJOIN(":",TRUE,_xlfn.UNIQUE(INDIRECT("'"&amp;Etiquettes!AN13&amp;"'"&amp;"!K2:K1000"))),""))</f>
        <v>FEDIOL</v>
      </c>
      <c r="AO9" s="937" t="str" cm="1">
        <f t="array" aca="1" ref="AO9" ca="1">IF(IF(INDIRECT("'"&amp;Etiquettes!AO13&amp;"'"&amp;"!K1")=$A$9,_xlfn.TEXTJOIN(":",TRUE,_xlfn.UNIQUE(INDIRECT("'"&amp;Etiquettes!AO13&amp;"'"&amp;"!K2:K1000"))),"")="0","",IF(INDIRECT("'"&amp;Etiquettes!AO13&amp;"'"&amp;"!K1")=$A$9,_xlfn.TEXTJOIN(":",TRUE,_xlfn.UNIQUE(INDIRECT("'"&amp;Etiquettes!AO13&amp;"'"&amp;"!K2:K1000"))),""))</f>
        <v/>
      </c>
      <c r="AP9" s="937" t="str" cm="1">
        <f t="array" aca="1" ref="AP9" ca="1">IF(IF(INDIRECT("'"&amp;Etiquettes!AP13&amp;"'"&amp;"!K1")=$A$9,_xlfn.TEXTJOIN(":",TRUE,_xlfn.UNIQUE(INDIRECT("'"&amp;Etiquettes!AP13&amp;"'"&amp;"!K2:K1000"))),"")="0","",IF(INDIRECT("'"&amp;Etiquettes!AP13&amp;"'"&amp;"!K1")=$A$9,_xlfn.TEXTJOIN(":",TRUE,_xlfn.UNIQUE(INDIRECT("'"&amp;Etiquettes!AP13&amp;"'"&amp;"!K2:K1000"))),""))</f>
        <v>FEDIOL</v>
      </c>
      <c r="AQ9" s="937" t="str" cm="1">
        <f t="array" aca="1" ref="AQ9" ca="1">IF(IF(INDIRECT("'"&amp;Etiquettes!AQ13&amp;"'"&amp;"!K1")=$A$9,_xlfn.TEXTJOIN(":",TRUE,_xlfn.UNIQUE(INDIRECT("'"&amp;Etiquettes!AQ13&amp;"'"&amp;"!K2:K1000"))),"")="0","",IF(INDIRECT("'"&amp;Etiquettes!AQ13&amp;"'"&amp;"!K1")=$A$9,_xlfn.TEXTJOIN(":",TRUE,_xlfn.UNIQUE(INDIRECT("'"&amp;Etiquettes!AQ13&amp;"'"&amp;"!K2:K1000"))),""))</f>
        <v/>
      </c>
      <c r="AR9" s="937" t="str" cm="1">
        <f t="array" aca="1" ref="AR9" ca="1">IF(IF(INDIRECT("'"&amp;Etiquettes!AR13&amp;"'"&amp;"!K1")=$A$9,_xlfn.TEXTJOIN(":",TRUE,_xlfn.UNIQUE(INDIRECT("'"&amp;Etiquettes!AR13&amp;"'"&amp;"!K2:K1000"))),"")="0","",IF(INDIRECT("'"&amp;Etiquettes!AR13&amp;"'"&amp;"!K1")=$A$9,_xlfn.TEXTJOIN(":",TRUE,_xlfn.UNIQUE(INDIRECT("'"&amp;Etiquettes!AR13&amp;"'"&amp;"!K2:K1000"))),""))</f>
        <v/>
      </c>
      <c r="AS9" s="937" t="str" cm="1">
        <f t="array" aca="1" ref="AS9" ca="1">IF(IF(INDIRECT("'"&amp;Etiquettes!AS13&amp;"'"&amp;"!K1")=$A$9,_xlfn.TEXTJOIN(":",TRUE,_xlfn.UNIQUE(INDIRECT("'"&amp;Etiquettes!AS13&amp;"'"&amp;"!K2:K1000"))),"")="0","",IF(INDIRECT("'"&amp;Etiquettes!AS13&amp;"'"&amp;"!K1")=$A$9,_xlfn.TEXTJOIN(":",TRUE,_xlfn.UNIQUE(INDIRECT("'"&amp;Etiquettes!AS13&amp;"'"&amp;"!K2:K1000"))),""))</f>
        <v>ONRB - FranceAgriMer</v>
      </c>
      <c r="AT9" s="937" t="str" cm="1">
        <f t="array" aca="1" ref="AT9" ca="1">IF(IF(INDIRECT("'"&amp;Etiquettes!AT13&amp;"'"&amp;"!K1")=$A$9,_xlfn.TEXTJOIN(":",TRUE,_xlfn.UNIQUE(INDIRECT("'"&amp;Etiquettes!AT13&amp;"'"&amp;"!K2:K1000"))),"")="0","",IF(INDIRECT("'"&amp;Etiquettes!AT13&amp;"'"&amp;"!K1")=$A$9,_xlfn.TEXTJOIN(":",TRUE,_xlfn.UNIQUE(INDIRECT("'"&amp;Etiquettes!AT13&amp;"'"&amp;"!K2:K1000"))),""))</f>
        <v/>
      </c>
      <c r="AU9" s="937" t="str" cm="1">
        <f t="array" aca="1" ref="AU9" ca="1">IF(IF(INDIRECT("'"&amp;Etiquettes!AU13&amp;"'"&amp;"!K1")=$A$9,_xlfn.TEXTJOIN(":",TRUE,_xlfn.UNIQUE(INDIRECT("'"&amp;Etiquettes!AU13&amp;"'"&amp;"!K2:K1000"))),"")="0","",IF(INDIRECT("'"&amp;Etiquettes!AU13&amp;"'"&amp;"!K1")=$A$9,_xlfn.TEXTJOIN(":",TRUE,_xlfn.UNIQUE(INDIRECT("'"&amp;Etiquettes!AU13&amp;"'"&amp;"!K2:K1000"))),""))</f>
        <v>Carbure</v>
      </c>
      <c r="AV9" s="937" t="str" cm="1">
        <f t="array" aca="1" ref="AV9" ca="1">IF(IF(INDIRECT("'"&amp;Etiquettes!AV13&amp;"'"&amp;"!K1")=$A$9,_xlfn.TEXTJOIN(":",TRUE,_xlfn.UNIQUE(INDIRECT("'"&amp;Etiquettes!AV13&amp;"'"&amp;"!K2:K1000"))),"")="0","",IF(INDIRECT("'"&amp;Etiquettes!AV13&amp;"'"&amp;"!K1")=$A$9,_xlfn.TEXTJOIN(":",TRUE,_xlfn.UNIQUE(INDIRECT("'"&amp;Etiquettes!AV13&amp;"'"&amp;"!K2:K1000"))),""))</f>
        <v/>
      </c>
      <c r="AW9" s="937" t="str" cm="1">
        <f t="array" aca="1" ref="AW9" ca="1">IF(IF(INDIRECT("'"&amp;Etiquettes!AW13&amp;"'"&amp;"!K1")=$A$9,_xlfn.TEXTJOIN(":",TRUE,_xlfn.UNIQUE(INDIRECT("'"&amp;Etiquettes!AW13&amp;"'"&amp;"!K2:K1000"))),"")="0","",IF(INDIRECT("'"&amp;Etiquettes!AW13&amp;"'"&amp;"!K1")=$A$9,_xlfn.TEXTJOIN(":",TRUE,_xlfn.UNIQUE(INDIRECT("'"&amp;Etiquettes!AW13&amp;"'"&amp;"!K2:K1000"))),""))</f>
        <v>Nielsen</v>
      </c>
      <c r="AX9" s="937" t="str" cm="1">
        <f t="array" aca="1" ref="AX9" ca="1">IF(IF(INDIRECT("'"&amp;Etiquettes!AX13&amp;"'"&amp;"!K1")=$A$9,_xlfn.TEXTJOIN(":",TRUE,_xlfn.UNIQUE(INDIRECT("'"&amp;Etiquettes!AX13&amp;"'"&amp;"!K2:K1000"))),"")="0","",IF(INDIRECT("'"&amp;Etiquettes!AX13&amp;"'"&amp;"!K1")=$A$9,_xlfn.TEXTJOIN(":",TRUE,_xlfn.UNIQUE(INDIRECT("'"&amp;Etiquettes!AX13&amp;"'"&amp;"!K2:K1000"))),""))</f>
        <v/>
      </c>
      <c r="AY9" s="937" t="str" cm="1">
        <f t="array" aca="1" ref="AY9" ca="1">IF(IF(INDIRECT("'"&amp;Etiquettes!AY13&amp;"'"&amp;"!K1")=$A$9,_xlfn.TEXTJOIN(":",TRUE,_xlfn.UNIQUE(INDIRECT("'"&amp;Etiquettes!AY13&amp;"'"&amp;"!K2:K1000"))),"")="0","",IF(INDIRECT("'"&amp;Etiquettes!AY13&amp;"'"&amp;"!K1")=$A$9,_xlfn.TEXTJOIN(":",TRUE,_xlfn.UNIQUE(INDIRECT("'"&amp;Etiquettes!AY13&amp;"'"&amp;"!K2:K1000"))),""))</f>
        <v>Statistique Agricole Annuelle - SSP:FranceAgriMer:Nielsen:AFIDOL</v>
      </c>
      <c r="AZ9" s="937" t="str" cm="1">
        <f t="array" aca="1" ref="AZ9" ca="1">IF(IF(INDIRECT("'"&amp;Etiquettes!AZ13&amp;"'"&amp;"!K1")=$A$9,_xlfn.TEXTJOIN(":",TRUE,_xlfn.UNIQUE(INDIRECT("'"&amp;Etiquettes!AZ13&amp;"'"&amp;"!K2:K1000"))),"")="0","",IF(INDIRECT("'"&amp;Etiquettes!AZ13&amp;"'"&amp;"!K1")=$A$9,_xlfn.TEXTJOIN(":",TRUE,_xlfn.UNIQUE(INDIRECT("'"&amp;Etiquettes!AZ13&amp;"'"&amp;"!K2:K1000"))),""))</f>
        <v/>
      </c>
      <c r="BA9" s="937" t="str" cm="1">
        <f t="array" aca="1" ref="BA9" ca="1">IF(IF(INDIRECT("'"&amp;Etiquettes!BA13&amp;"'"&amp;"!K1")=$A$9,_xlfn.TEXTJOIN(":",TRUE,_xlfn.UNIQUE(INDIRECT("'"&amp;Etiquettes!BA13&amp;"'"&amp;"!K2:K1000"))),"")="0","",IF(INDIRECT("'"&amp;Etiquettes!BA13&amp;"'"&amp;"!K1")=$A$9,_xlfn.TEXTJOIN(":",TRUE,_xlfn.UNIQUE(INDIRECT("'"&amp;Etiquettes!BA13&amp;"'"&amp;"!K2:K1000"))),""))</f>
        <v/>
      </c>
      <c r="BB9" s="937" t="str" cm="1">
        <f t="array" aca="1" ref="BB9" ca="1">IF(IF(INDIRECT("'"&amp;Etiquettes!BB13&amp;"'"&amp;"!K1")=$A$9,_xlfn.TEXTJOIN(":",TRUE,_xlfn.UNIQUE(INDIRECT("'"&amp;Etiquettes!BB13&amp;"'"&amp;"!K2:K1000"))),"")="0","",IF(INDIRECT("'"&amp;Etiquettes!BB13&amp;"'"&amp;"!K1")=$A$9,_xlfn.TEXTJOIN(":",TRUE,_xlfn.UNIQUE(INDIRECT("'"&amp;Etiquettes!BB13&amp;"'"&amp;"!K2:K1000"))),""))</f>
        <v>Statistique Agricole Annuelle - SSP:Collectes, stocks - FranceAgriMer:Etat 13 - FranceAgriMer:Estimation - Terres Univia</v>
      </c>
      <c r="BC9" s="937" t="str" cm="1">
        <f t="array" aca="1" ref="BC9" ca="1">IF(IF(INDIRECT("'"&amp;Etiquettes!BC13&amp;"'"&amp;"!K1")=$A$9,_xlfn.TEXTJOIN(":",TRUE,_xlfn.UNIQUE(INDIRECT("'"&amp;Etiquettes!BC13&amp;"'"&amp;"!K2:K1000"))),"")="0","",IF(INDIRECT("'"&amp;Etiquettes!BC13&amp;"'"&amp;"!K1")=$A$9,_xlfn.TEXTJOIN(":",TRUE,_xlfn.UNIQUE(INDIRECT("'"&amp;Etiquettes!BC13&amp;"'"&amp;"!K2:K1000"))),""))</f>
        <v/>
      </c>
      <c r="BD9" s="937" t="str" cm="1">
        <f t="array" aca="1" ref="BD9" ca="1">IF(IF(INDIRECT("'"&amp;Etiquettes!BD13&amp;"'"&amp;"!K1")=$A$9,_xlfn.TEXTJOIN(":",TRUE,_xlfn.UNIQUE(INDIRECT("'"&amp;Etiquettes!BD13&amp;"'"&amp;"!K2:K1000"))),"")="0","",IF(INDIRECT("'"&amp;Etiquettes!BD13&amp;"'"&amp;"!K1")=$A$9,_xlfn.TEXTJOIN(":",TRUE,_xlfn.UNIQUE(INDIRECT("'"&amp;Etiquettes!BD13&amp;"'"&amp;"!K2:K1000"))),""))</f>
        <v/>
      </c>
      <c r="BE9" s="937" t="str" cm="1">
        <f t="array" aca="1" ref="BE9" ca="1">IF(IF(INDIRECT("'"&amp;Etiquettes!BE13&amp;"'"&amp;"!K1")=$A$9,_xlfn.TEXTJOIN(":",TRUE,_xlfn.UNIQUE(INDIRECT("'"&amp;Etiquettes!BE13&amp;"'"&amp;"!K2:K1000"))),"")="0","",IF(INDIRECT("'"&amp;Etiquettes!BE13&amp;"'"&amp;"!K1")=$A$9,_xlfn.TEXTJOIN(":",TRUE,_xlfn.UNIQUE(INDIRECT("'"&amp;Etiquettes!BE13&amp;"'"&amp;"!K2:K1000"))),""))</f>
        <v/>
      </c>
      <c r="BF9" s="937" t="str" cm="1">
        <f t="array" aca="1" ref="BF9" ca="1">IF(IF(INDIRECT("'"&amp;Etiquettes!BF13&amp;"'"&amp;"!K1")=$A$9,_xlfn.TEXTJOIN(":",TRUE,_xlfn.UNIQUE(INDIRECT("'"&amp;Etiquettes!BF13&amp;"'"&amp;"!K2:K1000"))),"")="0","",IF(INDIRECT("'"&amp;Etiquettes!BF13&amp;"'"&amp;"!K1")=$A$9,_xlfn.TEXTJOIN(":",TRUE,_xlfn.UNIQUE(INDIRECT("'"&amp;Etiquettes!BF13&amp;"'"&amp;"!K2:K1000"))),""))</f>
        <v/>
      </c>
      <c r="BG9" s="937" t="str" cm="1">
        <f t="array" aca="1" ref="BG9" ca="1">IF(IF(INDIRECT("'"&amp;Etiquettes!BG13&amp;"'"&amp;"!K1")=$A$9,_xlfn.TEXTJOIN(":",TRUE,_xlfn.UNIQUE(INDIRECT("'"&amp;Etiquettes!BG13&amp;"'"&amp;"!K2:K1000"))),"")="0","",IF(INDIRECT("'"&amp;Etiquettes!BG13&amp;"'"&amp;"!K1")=$A$9,_xlfn.TEXTJOIN(":",TRUE,_xlfn.UNIQUE(INDIRECT("'"&amp;Etiquettes!BG13&amp;"'"&amp;"!K2:K1000"))),""))</f>
        <v/>
      </c>
      <c r="BH9" s="937" t="str" cm="1">
        <f t="array" aca="1" ref="BH9" ca="1">IF(IF(INDIRECT("'"&amp;Etiquettes!BH13&amp;"'"&amp;"!K1")=$A$9,_xlfn.TEXTJOIN(":",TRUE,_xlfn.UNIQUE(INDIRECT("'"&amp;Etiquettes!BH13&amp;"'"&amp;"!K2:K1000"))),"")="0","",IF(INDIRECT("'"&amp;Etiquettes!BH13&amp;"'"&amp;"!K1")=$A$9,_xlfn.TEXTJOIN(":",TRUE,_xlfn.UNIQUE(INDIRECT("'"&amp;Etiquettes!BH13&amp;"'"&amp;"!K2:K1000"))),""))</f>
        <v/>
      </c>
      <c r="BI9" s="937" t="str" cm="1">
        <f t="array" aca="1" ref="BI9" ca="1">IF(IF(INDIRECT("'"&amp;Etiquettes!BI13&amp;"'"&amp;"!K1")=$A$9,_xlfn.TEXTJOIN(":",TRUE,_xlfn.UNIQUE(INDIRECT("'"&amp;Etiquettes!BI13&amp;"'"&amp;"!K2:K1000"))),"")="0","",IF(INDIRECT("'"&amp;Etiquettes!BI13&amp;"'"&amp;"!K1")=$A$9,_xlfn.TEXTJOIN(":",TRUE,_xlfn.UNIQUE(INDIRECT("'"&amp;Etiquettes!BI13&amp;"'"&amp;"!K2:K1000"))),""))</f>
        <v/>
      </c>
      <c r="BJ9" s="937" t="str" cm="1">
        <f t="array" aca="1" ref="BJ9" ca="1">IF(IF(INDIRECT("'"&amp;Etiquettes!BJ13&amp;"'"&amp;"!K1")=$A$9,_xlfn.TEXTJOIN(":",TRUE,_xlfn.UNIQUE(INDIRECT("'"&amp;Etiquettes!BJ13&amp;"'"&amp;"!K2:K1000"))),"")="0","",IF(INDIRECT("'"&amp;Etiquettes!BJ13&amp;"'"&amp;"!K1")=$A$9,_xlfn.TEXTJOIN(":",TRUE,_xlfn.UNIQUE(INDIRECT("'"&amp;Etiquettes!BJ13&amp;"'"&amp;"!K2:K1000"))),""))</f>
        <v/>
      </c>
      <c r="BK9" s="937" t="str" cm="1">
        <f t="array" aca="1" ref="BK9" ca="1">IF(IF(INDIRECT("'"&amp;Etiquettes!BK13&amp;"'"&amp;"!K1")=$A$9,_xlfn.TEXTJOIN(":",TRUE,_xlfn.UNIQUE(INDIRECT("'"&amp;Etiquettes!BK13&amp;"'"&amp;"!K2:K1000"))),"")="0","",IF(INDIRECT("'"&amp;Etiquettes!BK13&amp;"'"&amp;"!K1")=$A$9,_xlfn.TEXTJOIN(":",TRUE,_xlfn.UNIQUE(INDIRECT("'"&amp;Etiquettes!BK13&amp;"'"&amp;"!K2:K1000"))),""))</f>
        <v>OléoProtéines - Terres Univia</v>
      </c>
      <c r="BL9" s="937" t="str" cm="1">
        <f t="array" aca="1" ref="BL9" ca="1">IF(IF(INDIRECT("'"&amp;Etiquettes!BL13&amp;"'"&amp;"!K1")=$A$9,_xlfn.TEXTJOIN(":",TRUE,_xlfn.UNIQUE(INDIRECT("'"&amp;Etiquettes!BL13&amp;"'"&amp;"!K2:K1000"))),"")="0","",IF(INDIRECT("'"&amp;Etiquettes!BL13&amp;"'"&amp;"!K1")=$A$9,_xlfn.TEXTJOIN(":",TRUE,_xlfn.UNIQUE(INDIRECT("'"&amp;Etiquettes!BL13&amp;"'"&amp;"!K2:K1000"))),""))</f>
        <v/>
      </c>
      <c r="BM9" s="937" t="str" cm="1">
        <f t="array" aca="1" ref="BM9" ca="1">IF(IF(INDIRECT("'"&amp;Etiquettes!BM13&amp;"'"&amp;"!K1")=$A$9,_xlfn.TEXTJOIN(":",TRUE,_xlfn.UNIQUE(INDIRECT("'"&amp;Etiquettes!BM13&amp;"'"&amp;"!K2:K1000"))),"")="0","",IF(INDIRECT("'"&amp;Etiquettes!BM13&amp;"'"&amp;"!K1")=$A$9,_xlfn.TEXTJOIN(":",TRUE,_xlfn.UNIQUE(INDIRECT("'"&amp;Etiquettes!BM13&amp;"'"&amp;"!K2:K1000"))),""))</f>
        <v>OléoProtéines - Terres Univia</v>
      </c>
      <c r="BN9" s="937" t="str" cm="1">
        <f t="array" aca="1" ref="BN9" ca="1">IF(IF(INDIRECT("'"&amp;Etiquettes!BN13&amp;"'"&amp;"!K1")=$A$9,_xlfn.TEXTJOIN(":",TRUE,_xlfn.UNIQUE(INDIRECT("'"&amp;Etiquettes!BN13&amp;"'"&amp;"!K2:K1000"))),"")="0","",IF(INDIRECT("'"&amp;Etiquettes!BN13&amp;"'"&amp;"!K1")=$A$9,_xlfn.TEXTJOIN(":",TRUE,_xlfn.UNIQUE(INDIRECT("'"&amp;Etiquettes!BN13&amp;"'"&amp;"!K2:K1000"))),""))</f>
        <v/>
      </c>
      <c r="BO9" s="937" t="str" cm="1">
        <f t="array" aca="1" ref="BO9" ca="1">IF(IF(INDIRECT("'"&amp;Etiquettes!BO13&amp;"'"&amp;"!K1")=$A$9,_xlfn.TEXTJOIN(":",TRUE,_xlfn.UNIQUE(INDIRECT("'"&amp;Etiquettes!BO13&amp;"'"&amp;"!K2:K1000"))),"")="0","",IF(INDIRECT("'"&amp;Etiquettes!BO13&amp;"'"&amp;"!K1")=$A$9,_xlfn.TEXTJOIN(":",TRUE,_xlfn.UNIQUE(INDIRECT("'"&amp;Etiquettes!BO13&amp;"'"&amp;"!K2:K1000"))),""))</f>
        <v/>
      </c>
      <c r="BP9" s="937" t="str" cm="1">
        <f t="array" aca="1" ref="BP9" ca="1">IF(IF(INDIRECT("'"&amp;Etiquettes!BP13&amp;"'"&amp;"!K1")=$A$9,_xlfn.TEXTJOIN(":",TRUE,_xlfn.UNIQUE(INDIRECT("'"&amp;Etiquettes!BP13&amp;"'"&amp;"!K2:K1000"))),"")="0","",IF(INDIRECT("'"&amp;Etiquettes!BP13&amp;"'"&amp;"!K1")=$A$9,_xlfn.TEXTJOIN(":",TRUE,_xlfn.UNIQUE(INDIRECT("'"&amp;Etiquettes!BP13&amp;"'"&amp;"!K2:K1000"))),""))</f>
        <v/>
      </c>
      <c r="BQ9" s="937" t="str" cm="1">
        <f t="array" aca="1" ref="BQ9" ca="1">IF(IF(INDIRECT("'"&amp;Etiquettes!BQ13&amp;"'"&amp;"!K1")=$A$9,_xlfn.TEXTJOIN(":",TRUE,_xlfn.UNIQUE(INDIRECT("'"&amp;Etiquettes!BQ13&amp;"'"&amp;"!K2:K1000"))),"")="0","",IF(INDIRECT("'"&amp;Etiquettes!BQ13&amp;"'"&amp;"!K1")=$A$9,_xlfn.TEXTJOIN(":",TRUE,_xlfn.UNIQUE(INDIRECT("'"&amp;Etiquettes!BQ13&amp;"'"&amp;"!K2:K1000"))),""))</f>
        <v>Chiffres clés - USIPA:Composition - Feedtables:ONRB - FranceAgriMer</v>
      </c>
      <c r="BR9" s="937" t="str" cm="1">
        <f t="array" aca="1" ref="BR9" ca="1">IF(IF(INDIRECT("'"&amp;Etiquettes!BR13&amp;"'"&amp;"!K1")=$A$9,_xlfn.TEXTJOIN(":",TRUE,_xlfn.UNIQUE(INDIRECT("'"&amp;Etiquettes!BR13&amp;"'"&amp;"!K2:K1000"))),"")="0","",IF(INDIRECT("'"&amp;Etiquettes!BR13&amp;"'"&amp;"!K1")=$A$9,_xlfn.TEXTJOIN(":",TRUE,_xlfn.UNIQUE(INDIRECT("'"&amp;Etiquettes!BR13&amp;"'"&amp;"!K2:K1000"))),""))</f>
        <v/>
      </c>
      <c r="BS9" s="937" t="str" cm="1">
        <f t="array" aca="1" ref="BS9" ca="1">IF(IF(INDIRECT("'"&amp;Etiquettes!BS13&amp;"'"&amp;"!K1")=$A$9,_xlfn.TEXTJOIN(":",TRUE,_xlfn.UNIQUE(INDIRECT("'"&amp;Etiquettes!BS13&amp;"'"&amp;"!K2:K1000"))),"")="0","",IF(INDIRECT("'"&amp;Etiquettes!BS13&amp;"'"&amp;"!K1")=$A$9,_xlfn.TEXTJOIN(":",TRUE,_xlfn.UNIQUE(INDIRECT("'"&amp;Etiquettes!BS13&amp;"'"&amp;"!K2:K1000"))),""))</f>
        <v/>
      </c>
      <c r="BT9" s="937" t="str" cm="1">
        <f t="array" aca="1" ref="BT9" ca="1">IF(IF(INDIRECT("'"&amp;Etiquettes!BT13&amp;"'"&amp;"!K1")=$A$9,_xlfn.TEXTJOIN(":",TRUE,_xlfn.UNIQUE(INDIRECT("'"&amp;Etiquettes!BT13&amp;"'"&amp;"!K2:K1000"))),"")="0","",IF(INDIRECT("'"&amp;Etiquettes!BT13&amp;"'"&amp;"!K1")=$A$9,_xlfn.TEXTJOIN(":",TRUE,_xlfn.UNIQUE(INDIRECT("'"&amp;Etiquettes!BT13&amp;"'"&amp;"!K2:K1000"))),""))</f>
        <v>Rapport méthodo Ademe calcul ACV - Terres Univia:Terres Univia</v>
      </c>
      <c r="BU9" s="937" t="str" cm="1">
        <f t="array" aca="1" ref="BU9" ca="1">IF(IF(INDIRECT("'"&amp;Etiquettes!BU13&amp;"'"&amp;"!K1")=$A$9,_xlfn.TEXTJOIN(":",TRUE,_xlfn.UNIQUE(INDIRECT("'"&amp;Etiquettes!BU13&amp;"'"&amp;"!K2:K1000"))),"")="0","",IF(INDIRECT("'"&amp;Etiquettes!BU13&amp;"'"&amp;"!K1")=$A$9,_xlfn.TEXTJOIN(":",TRUE,_xlfn.UNIQUE(INDIRECT("'"&amp;Etiquettes!BU13&amp;"'"&amp;"!K2:K1000"))),""))</f>
        <v/>
      </c>
      <c r="BV9" s="937" t="str" cm="1">
        <f t="array" aca="1" ref="BV9" ca="1">IF(IF(INDIRECT("'"&amp;Etiquettes!BV13&amp;"'"&amp;"!K1")=$A$9,_xlfn.TEXTJOIN(":",TRUE,_xlfn.UNIQUE(INDIRECT("'"&amp;Etiquettes!BV13&amp;"'"&amp;"!K2:K1000"))),"")="0","",IF(INDIRECT("'"&amp;Etiquettes!BV13&amp;"'"&amp;"!K1")=$A$9,_xlfn.TEXTJOIN(":",TRUE,_xlfn.UNIQUE(INDIRECT("'"&amp;Etiquettes!BV13&amp;"'"&amp;"!K2:K1000"))),""))</f>
        <v/>
      </c>
      <c r="BW9" s="937" t="str" cm="1">
        <f t="array" aca="1" ref="BW9" ca="1">IF(IF(INDIRECT("'"&amp;Etiquettes!BW13&amp;"'"&amp;"!K1")=$A$9,_xlfn.TEXTJOIN(":",TRUE,_xlfn.UNIQUE(INDIRECT("'"&amp;Etiquettes!BW13&amp;"'"&amp;"!K2:K1000"))),"")="0","",IF(INDIRECT("'"&amp;Etiquettes!BW13&amp;"'"&amp;"!K1")=$A$9,_xlfn.TEXTJOIN(":",TRUE,_xlfn.UNIQUE(INDIRECT("'"&amp;Etiquettes!BW13&amp;"'"&amp;"!K2:K1000"))),""))</f>
        <v>Terres Univia:Veille concurrentielle biocarburants - FranceAgriMer</v>
      </c>
      <c r="BX9" s="937" t="str" cm="1">
        <f t="array" aca="1" ref="BX9" ca="1">IF(IF(INDIRECT("'"&amp;Etiquettes!BX13&amp;"'"&amp;"!K1")=$A$9,_xlfn.TEXTJOIN(":",TRUE,_xlfn.UNIQUE(INDIRECT("'"&amp;Etiquettes!BX13&amp;"'"&amp;"!K2:K1000"))),"")="0","",IF(INDIRECT("'"&amp;Etiquettes!BX13&amp;"'"&amp;"!K1")=$A$9,_xlfn.TEXTJOIN(":",TRUE,_xlfn.UNIQUE(INDIRECT("'"&amp;Etiquettes!BX13&amp;"'"&amp;"!K2:K1000"))),""))</f>
        <v/>
      </c>
      <c r="BY9" s="937" t="str" cm="1">
        <f t="array" aca="1" ref="BY9" ca="1">IF(IF(INDIRECT("'"&amp;Etiquettes!BY13&amp;"'"&amp;"!K1")=$A$9,_xlfn.TEXTJOIN(":",TRUE,_xlfn.UNIQUE(INDIRECT("'"&amp;Etiquettes!BY13&amp;"'"&amp;"!K2:K1000"))),"")="0","",IF(INDIRECT("'"&amp;Etiquettes!BY13&amp;"'"&amp;"!K1")=$A$9,_xlfn.TEXTJOIN(":",TRUE,_xlfn.UNIQUE(INDIRECT("'"&amp;Etiquettes!BY13&amp;"'"&amp;"!K2:K1000"))),""))</f>
        <v/>
      </c>
      <c r="BZ9" s="937" t="str" cm="1">
        <f t="array" aca="1" ref="BZ9" ca="1">IF(IF(INDIRECT("'"&amp;Etiquettes!BZ13&amp;"'"&amp;"!K1")=$A$9,_xlfn.TEXTJOIN(":",TRUE,_xlfn.UNIQUE(INDIRECT("'"&amp;Etiquettes!BZ13&amp;"'"&amp;"!K2:K1000"))),"")="0","",IF(INDIRECT("'"&amp;Etiquettes!BZ13&amp;"'"&amp;"!K1")=$A$9,_xlfn.TEXTJOIN(":",TRUE,_xlfn.UNIQUE(INDIRECT("'"&amp;Etiquettes!BZ13&amp;"'"&amp;"!K2:K1000"))),""))</f>
        <v>ORIFLAAM</v>
      </c>
      <c r="CA9" s="937" t="str" cm="1">
        <f t="array" aca="1" ref="CA9" ca="1">IF(IF(INDIRECT("'"&amp;Etiquettes!CA13&amp;"'"&amp;"!K1")=$A$9,_xlfn.TEXTJOIN(":",TRUE,_xlfn.UNIQUE(INDIRECT("'"&amp;Etiquettes!CA13&amp;"'"&amp;"!K2:K1000"))),"")="0","",IF(INDIRECT("'"&amp;Etiquettes!CA13&amp;"'"&amp;"!K1")=$A$9,_xlfn.TEXTJOIN(":",TRUE,_xlfn.UNIQUE(INDIRECT("'"&amp;Etiquettes!CA13&amp;"'"&amp;"!K2:K1000"))),""))</f>
        <v/>
      </c>
      <c r="CB9" s="937" t="str" cm="1">
        <f t="array" aca="1" ref="CB9" ca="1">IF(IF(INDIRECT("'"&amp;Etiquettes!CB13&amp;"'"&amp;"!K1")=$A$9,_xlfn.TEXTJOIN(":",TRUE,_xlfn.UNIQUE(INDIRECT("'"&amp;Etiquettes!CB13&amp;"'"&amp;"!K2:K1000"))),"")="0","",IF(INDIRECT("'"&amp;Etiquettes!CB13&amp;"'"&amp;"!K1")=$A$9,_xlfn.TEXTJOIN(":",TRUE,_xlfn.UNIQUE(INDIRECT("'"&amp;Etiquettes!CB13&amp;"'"&amp;"!K2:K1000"))),""))</f>
        <v/>
      </c>
      <c r="CC9" s="937" t="str" cm="1">
        <f t="array" aca="1" ref="CC9" ca="1">IF(IF(INDIRECT("'"&amp;Etiquettes!CC13&amp;"'"&amp;"!K1")=$A$9,_xlfn.TEXTJOIN(":",TRUE,_xlfn.UNIQUE(INDIRECT("'"&amp;Etiquettes!CC13&amp;"'"&amp;"!K2:K1000"))),"")="0","",IF(INDIRECT("'"&amp;Etiquettes!CC13&amp;"'"&amp;"!K1")=$A$9,_xlfn.TEXTJOIN(":",TRUE,_xlfn.UNIQUE(INDIRECT("'"&amp;Etiquettes!CC13&amp;"'"&amp;"!K2:K1000"))),""))</f>
        <v/>
      </c>
      <c r="CD9" s="937" t="str" cm="1">
        <f t="array" aca="1" ref="CD9" ca="1">IF(IF(INDIRECT("'"&amp;Etiquettes!CD13&amp;"'"&amp;"!K1")=$A$9,_xlfn.TEXTJOIN(":",TRUE,_xlfn.UNIQUE(INDIRECT("'"&amp;Etiquettes!CD13&amp;"'"&amp;"!K2:K1000"))),"")="0","",IF(INDIRECT("'"&amp;Etiquettes!CD13&amp;"'"&amp;"!K1")=$A$9,_xlfn.TEXTJOIN(":",TRUE,_xlfn.UNIQUE(INDIRECT("'"&amp;Etiquettes!CD13&amp;"'"&amp;"!K2:K1000"))),""))</f>
        <v/>
      </c>
      <c r="CE9" s="937" t="str" cm="1">
        <f t="array" aca="1" ref="CE9" ca="1">IF(IF(INDIRECT("'"&amp;Etiquettes!CE13&amp;"'"&amp;"!K1")=$A$9,_xlfn.TEXTJOIN(":",TRUE,_xlfn.UNIQUE(INDIRECT("'"&amp;Etiquettes!CE13&amp;"'"&amp;"!K2:K1000"))),"")="0","",IF(INDIRECT("'"&amp;Etiquettes!CE13&amp;"'"&amp;"!K1")=$A$9,_xlfn.TEXTJOIN(":",TRUE,_xlfn.UNIQUE(INDIRECT("'"&amp;Etiquettes!CE13&amp;"'"&amp;"!K2:K1000"))),""))</f>
        <v/>
      </c>
      <c r="CF9" s="937" t="str" cm="1">
        <f t="array" aca="1" ref="CF9" ca="1">IF(IF(INDIRECT("'"&amp;Etiquettes!CF13&amp;"'"&amp;"!K1")=$A$9,_xlfn.TEXTJOIN(":",TRUE,_xlfn.UNIQUE(INDIRECT("'"&amp;Etiquettes!CF13&amp;"'"&amp;"!K2:K1000"))),"")="0","",IF(INDIRECT("'"&amp;Etiquettes!CF13&amp;"'"&amp;"!K1")=$A$9,_xlfn.TEXTJOIN(":",TRUE,_xlfn.UNIQUE(INDIRECT("'"&amp;Etiquettes!CF13&amp;"'"&amp;"!K2:K1000"))),""))</f>
        <v/>
      </c>
      <c r="CG9" s="937" t="str" cm="1">
        <f t="array" aca="1" ref="CG9" ca="1">IF(IF(INDIRECT("'"&amp;Etiquettes!CG13&amp;"'"&amp;"!K1")=$A$9,_xlfn.TEXTJOIN(":",TRUE,_xlfn.UNIQUE(INDIRECT("'"&amp;Etiquettes!CG13&amp;"'"&amp;"!K2:K1000"))),"")="0","",IF(INDIRECT("'"&amp;Etiquettes!CG13&amp;"'"&amp;"!K1")=$A$9,_xlfn.TEXTJOIN(":",TRUE,_xlfn.UNIQUE(INDIRECT("'"&amp;Etiquettes!CG13&amp;"'"&amp;"!K2:K1000"))),""))</f>
        <v/>
      </c>
      <c r="CH9" s="937" t="str" cm="1">
        <f t="array" aca="1" ref="CH9" ca="1">IF(IF(INDIRECT("'"&amp;Etiquettes!CH13&amp;"'"&amp;"!K1")=$A$9,_xlfn.TEXTJOIN(":",TRUE,_xlfn.UNIQUE(INDIRECT("'"&amp;Etiquettes!CH13&amp;"'"&amp;"!K2:K1000"))),"")="0","",IF(INDIRECT("'"&amp;Etiquettes!CH13&amp;"'"&amp;"!K1")=$A$9,_xlfn.TEXTJOIN(":",TRUE,_xlfn.UNIQUE(INDIRECT("'"&amp;Etiquettes!CH13&amp;"'"&amp;"!K2:K1000"))),""))</f>
        <v>Bilans par campagne - FranceAgriMer:Collectes, stocks - FranceAgriMer</v>
      </c>
      <c r="CI9" s="937" t="str" cm="1">
        <f t="array" aca="1" ref="CI9" ca="1">IF(IF(INDIRECT("'"&amp;Etiquettes!CI13&amp;"'"&amp;"!K1")=$A$9,_xlfn.TEXTJOIN(":",TRUE,_xlfn.UNIQUE(INDIRECT("'"&amp;Etiquettes!CI13&amp;"'"&amp;"!K2:K1000"))),"")="0","",IF(INDIRECT("'"&amp;Etiquettes!CI13&amp;"'"&amp;"!K1")=$A$9,_xlfn.TEXTJOIN(":",TRUE,_xlfn.UNIQUE(INDIRECT("'"&amp;Etiquettes!CI13&amp;"'"&amp;"!K2:K1000"))),""))</f>
        <v>Enquête Pratiques culturales en grandes cultures - SSP:ONRB - FranceAgriMer:Veille concurrentielle biocarburants - FranceAgriMer:Terres Univia:Bilans par campagne - FranceAgriMer:0:OléoProtéines - Terres Univia</v>
      </c>
    </row>
    <row r="10" spans="1:88">
      <c r="A10" t="s">
        <v>4</v>
      </c>
      <c r="B10" s="34" t="s">
        <v>35</v>
      </c>
      <c r="C10" s="937" t="str">
        <f t="shared" ca="1" si="0"/>
        <v>Le stock à la ferme est négligé:Le reste des graines autoconsommées est consommé en alimentation animale rente hors FAB:Pas de consommation de graines en alimentation animale:Pas de consommation de graines en alimentation humaine:Le reste des graines autoconsommées est consommé en alimentation humaine:Le reste des graines collectées est consommé pour la fabrication de produits alimentaires:Pas de fabrication de produits alimentaires:Pas de consommation de graines en vente directe:Pas de consommation de graines en circuits spécialisés:Pas de consommation de graines en GMS:Pas de consommation de graines en RHD:Pas de trituration:L'huile peut être autoconsommée:L'huile peut être consommée par des circuits spécialisés:L'huile est consommée en RHD:L'huile est consommée par les autres IAA:L'huile est consommée pour des usages techniques:Les grignons d'olive sont valorisés en alimentation animale:Les graines ne sont pas consommées en alimentation animale:Le reste des graines est utilisée pour la fabrication de MPV:Correspond à la catégorie "utilisation humaine et animale" : on néglige les utilisations animales (petfood ?):Correspond à la somme des catégories "incorporation" et "extrusion":Même volume qu'en 21-21 et 22-23:0:Même ratio d'issues de silo que les pois et fèveroles:Mêmes usages que les issues de silo de pois et fèveroles:0:Même ratio de pertes à la ferme que colza et tournesol:Même ratio de pertes à la ferme que soja, pois et féverole:0:Autant de semences fermières que de semences certifiées sont produites:Les échanges de lupin sont négligés:Utilisation de la donnée 2015:Utilisation de la donnée 2019:Utilisation de la donnée 2023:Moyenne des rendements de 2019 et 2023:0:Mêmes usages que les tourteaux de tournesol et de soja:La consommation d'huile pour la fabrication de biodiesel est négligée:Utilisation du volume de 2015:Utilisation du volume de 2019:Utilisation du volume de 2023:Utilisation du volume de 2015:Utilisation du volume de 2019:Utilisation du volume de 2023:50 % de la récolte est collectée:10 % de la récolte est déstockée:10 % de la récolte est stockée:10 % de la récolte sont des semences certifiées:Même écart statistique qu'en 23-24:Utilisation du volume de 2023:Même consommation de produits alimentaires en GMS qu'en 2023:Même consommation de produits alimentaires en circuits spécialisés qu'en 2023:Même consommation de produits alimentaires en RHD qu'en 2023:Même consommation de produits alimentaires par les autres IAA qu'en 2023:Même consommation de produits alimentaires par les ménages qu'en 2023:Consommation par les autres IAA négligeable:Même répartition des circuits de distribution des produits alimentaires qu'en 2023:Même répartition des usages d'huile qu'en 2023:Même répartition des usages de tourteaux qu'en 2022-23:Même répartition des usages de tourteaux qu'en 2022-23 et pour les tourteaux autres que colza, tournesol et soja:10 % de la récolte est déstockée:10 % de la récolte est stockée:10 % de la récolte sont des semences certifiées:Autant de semences fermières que de semences certifiées sont produites:Mêmes usages que les tourteaux de tournesol et de soja:Mêmes usages que les issues de silo de pois et fèveroles:Même répartition des usages d'huile qu'en 2023:0:Le reste des graines autoconsommées est consommé en alimentation humaine:Consommation par les autres IAA négligeable</v>
      </c>
      <c r="G10" s="937" t="e" cm="1">
        <f t="array" aca="1" ref="G10" ca="1">IF(IF(INDIRECT("'"&amp;Etiquettes!G13&amp;"'"&amp;"!J1")=$A$10,_xlfn.TEXTJOIN(":",TRUE,_xlfn.UNIQUE(INDIRECT("'"&amp;Etiquettes!G13&amp;"'"&amp;"!J2:J1000"))),"")="0","",IF(INDIRECT("'"&amp;Etiquettes!G13&amp;"'"&amp;"!J1")=$A$10,_xlfn.TEXTJOIN(":",TRUE,_xlfn.UNIQUE(INDIRECT("'"&amp;Etiquettes!G13&amp;"'"&amp;"!J2:J1000"))),""))</f>
        <v>#REF!</v>
      </c>
      <c r="H10" s="937" t="str" cm="1">
        <f t="array" aca="1" ref="H10" ca="1">IF(IF(INDIRECT("'"&amp;Etiquettes!H13&amp;"'"&amp;"!J1")=$A$10,_xlfn.TEXTJOIN(":",TRUE,_xlfn.UNIQUE(INDIRECT("'"&amp;Etiquettes!H13&amp;"'"&amp;"!J2:J1000"))),"")="0","",IF(INDIRECT("'"&amp;Etiquettes!H13&amp;"'"&amp;"!J1")=$A$10,_xlfn.TEXTJOIN(":",TRUE,_xlfn.UNIQUE(INDIRECT("'"&amp;Etiquettes!H13&amp;"'"&amp;"!J2:J1000"))),""))</f>
        <v/>
      </c>
      <c r="I10" s="937" t="str" cm="1">
        <f t="array" aca="1" ref="I10" ca="1">IF(IF(INDIRECT("'"&amp;Etiquettes!I13&amp;"'"&amp;"!J1")=$A$10,_xlfn.TEXTJOIN(":",TRUE,_xlfn.UNIQUE(INDIRECT("'"&amp;Etiquettes!I13&amp;"'"&amp;"!J2:J1000"))),"")="0","",IF(INDIRECT("'"&amp;Etiquettes!I13&amp;"'"&amp;"!J1")=$A$10,_xlfn.TEXTJOIN(":",TRUE,_xlfn.UNIQUE(INDIRECT("'"&amp;Etiquettes!I13&amp;"'"&amp;"!J2:J1000"))),""))</f>
        <v/>
      </c>
      <c r="J10" s="937" t="str" cm="1">
        <f t="array" aca="1" ref="J10" ca="1">IF(IF(INDIRECT("'"&amp;Etiquettes!J13&amp;"'"&amp;"!J1")=$A$10,_xlfn.TEXTJOIN(":",TRUE,_xlfn.UNIQUE(INDIRECT("'"&amp;Etiquettes!J13&amp;"'"&amp;"!J2:J1000"))),"")="0","",IF(INDIRECT("'"&amp;Etiquettes!J13&amp;"'"&amp;"!J1")=$A$10,_xlfn.TEXTJOIN(":",TRUE,_xlfn.UNIQUE(INDIRECT("'"&amp;Etiquettes!J13&amp;"'"&amp;"!J2:J1000"))),""))</f>
        <v/>
      </c>
      <c r="K10" s="937" t="str" cm="1">
        <f t="array" aca="1" ref="K10" ca="1">IF(IF(INDIRECT("'"&amp;Etiquettes!K13&amp;"'"&amp;"!J1")=$A$10,_xlfn.TEXTJOIN(":",TRUE,_xlfn.UNIQUE(INDIRECT("'"&amp;Etiquettes!K13&amp;"'"&amp;"!J2:J1000"))),"")="0","",IF(INDIRECT("'"&amp;Etiquettes!K13&amp;"'"&amp;"!J1")=$A$10,_xlfn.TEXTJOIN(":",TRUE,_xlfn.UNIQUE(INDIRECT("'"&amp;Etiquettes!K13&amp;"'"&amp;"!J2:J1000"))),""))</f>
        <v/>
      </c>
      <c r="L10" s="937" t="str" cm="1">
        <f t="array" aca="1" ref="L10" ca="1">IF(IF(INDIRECT("'"&amp;Etiquettes!L13&amp;"'"&amp;"!J1")=$A$10,_xlfn.TEXTJOIN(":",TRUE,_xlfn.UNIQUE(INDIRECT("'"&amp;Etiquettes!L13&amp;"'"&amp;"!J2:J1000"))),"")="0","",IF(INDIRECT("'"&amp;Etiquettes!L13&amp;"'"&amp;"!J1")=$A$10,_xlfn.TEXTJOIN(":",TRUE,_xlfn.UNIQUE(INDIRECT("'"&amp;Etiquettes!L13&amp;"'"&amp;"!J2:J1000"))),""))</f>
        <v/>
      </c>
      <c r="M10" s="937" t="str" cm="1">
        <f t="array" aca="1" ref="M10" ca="1">IF(IF(INDIRECT("'"&amp;Etiquettes!M13&amp;"'"&amp;"!J1")=$A$10,_xlfn.TEXTJOIN(":",TRUE,_xlfn.UNIQUE(INDIRECT("'"&amp;Etiquettes!M13&amp;"'"&amp;"!J2:J1000"))),"")="0","",IF(INDIRECT("'"&amp;Etiquettes!M13&amp;"'"&amp;"!J1")=$A$10,_xlfn.TEXTJOIN(":",TRUE,_xlfn.UNIQUE(INDIRECT("'"&amp;Etiquettes!M13&amp;"'"&amp;"!J2:J1000"))),""))</f>
        <v/>
      </c>
      <c r="N10" s="937" t="str" cm="1">
        <f t="array" aca="1" ref="N10" ca="1">IF(IF(INDIRECT("'"&amp;Etiquettes!N13&amp;"'"&amp;"!J1")=$A$10,_xlfn.TEXTJOIN(":",TRUE,_xlfn.UNIQUE(INDIRECT("'"&amp;Etiquettes!N13&amp;"'"&amp;"!J2:J1000"))),"")="0","",IF(INDIRECT("'"&amp;Etiquettes!N13&amp;"'"&amp;"!J1")=$A$10,_xlfn.TEXTJOIN(":",TRUE,_xlfn.UNIQUE(INDIRECT("'"&amp;Etiquettes!N13&amp;"'"&amp;"!J2:J1000"))),""))</f>
        <v>Le stock à la ferme est négligé:Le reste des graines autoconsommées est consommé en alimentation animale rente hors FAB:Pas de consommation de graines en alimentation animale:Pas de consommation de graines en alimentation humaine:Le reste des graines autoconsommées est consommé en alimentation humaine:Le reste des graines collectées est consommé pour la fabrication de produits alimentaires:Pas de fabrication de produits alimentaires:Pas de consommation de graines en vente directe:Pas de consommation de graines en circuits spécialisés:Pas de consommation de graines en GMS:Pas de consommation de graines en RHD:Pas de trituration:L'huile peut être autoconsommée:L'huile peut être consommée par des circuits spécialisés:L'huile est consommée en RHD:L'huile est consommée par les autres IAA:L'huile est consommée pour des usages techniques:Les grignons d'olive sont valorisés en alimentation animale:Les graines ne sont pas consommées en alimentation animale:Le reste des graines est utilisée pour la fabrication de MPV</v>
      </c>
      <c r="O10" s="937" t="str" cm="1">
        <f t="array" aca="1" ref="O10" ca="1">IF(IF(INDIRECT("'"&amp;Etiquettes!O13&amp;"'"&amp;"!J1")=$A$10,_xlfn.TEXTJOIN(":",TRUE,_xlfn.UNIQUE(INDIRECT("'"&amp;Etiquettes!O13&amp;"'"&amp;"!J2:J1000"))),"")="0","",IF(INDIRECT("'"&amp;Etiquettes!O13&amp;"'"&amp;"!J1")=$A$10,_xlfn.TEXTJOIN(":",TRUE,_xlfn.UNIQUE(INDIRECT("'"&amp;Etiquettes!O13&amp;"'"&amp;"!J2:J1000"))),""))</f>
        <v/>
      </c>
      <c r="P10" s="937" t="str" cm="1">
        <f t="array" aca="1" ref="P10" ca="1">IF(IF(INDIRECT("'"&amp;Etiquettes!P13&amp;"'"&amp;"!J1")=$A$10,_xlfn.TEXTJOIN(":",TRUE,_xlfn.UNIQUE(INDIRECT("'"&amp;Etiquettes!P13&amp;"'"&amp;"!J2:J1000"))),"")="0","",IF(INDIRECT("'"&amp;Etiquettes!P13&amp;"'"&amp;"!J1")=$A$10,_xlfn.TEXTJOIN(":",TRUE,_xlfn.UNIQUE(INDIRECT("'"&amp;Etiquettes!P13&amp;"'"&amp;"!J2:J1000"))),""))</f>
        <v/>
      </c>
      <c r="Q10" s="937" t="str" cm="1">
        <f t="array" aca="1" ref="Q10" ca="1">IF(IF(INDIRECT("'"&amp;Etiquettes!Q13&amp;"'"&amp;"!J1")=$A$10,_xlfn.TEXTJOIN(":",TRUE,_xlfn.UNIQUE(INDIRECT("'"&amp;Etiquettes!Q13&amp;"'"&amp;"!J2:J1000"))),"")="0","",IF(INDIRECT("'"&amp;Etiquettes!Q13&amp;"'"&amp;"!J1")=$A$10,_xlfn.TEXTJOIN(":",TRUE,_xlfn.UNIQUE(INDIRECT("'"&amp;Etiquettes!Q13&amp;"'"&amp;"!J2:J1000"))),""))</f>
        <v/>
      </c>
      <c r="R10" s="937" t="str" cm="1">
        <f t="array" aca="1" ref="R10" ca="1">IF(IF(INDIRECT("'"&amp;Etiquettes!R13&amp;"'"&amp;"!J1")=$A$10,_xlfn.TEXTJOIN(":",TRUE,_xlfn.UNIQUE(INDIRECT("'"&amp;Etiquettes!R13&amp;"'"&amp;"!J2:J1000"))),"")="0","",IF(INDIRECT("'"&amp;Etiquettes!R13&amp;"'"&amp;"!J1")=$A$10,_xlfn.TEXTJOIN(":",TRUE,_xlfn.UNIQUE(INDIRECT("'"&amp;Etiquettes!R13&amp;"'"&amp;"!J2:J1000"))),""))</f>
        <v>Correspond à la catégorie "utilisation humaine et animale" : on néglige les utilisations animales (petfood ?)</v>
      </c>
      <c r="S10" s="937" t="str" cm="1">
        <f t="array" aca="1" ref="S10" ca="1">IF(IF(INDIRECT("'"&amp;Etiquettes!S13&amp;"'"&amp;"!J1")=$A$10,_xlfn.TEXTJOIN(":",TRUE,_xlfn.UNIQUE(INDIRECT("'"&amp;Etiquettes!S13&amp;"'"&amp;"!J2:J1000"))),"")="0","",IF(INDIRECT("'"&amp;Etiquettes!S13&amp;"'"&amp;"!J1")=$A$10,_xlfn.TEXTJOIN(":",TRUE,_xlfn.UNIQUE(INDIRECT("'"&amp;Etiquettes!S13&amp;"'"&amp;"!J2:J1000"))),""))</f>
        <v/>
      </c>
      <c r="T10" s="937" t="str" cm="1">
        <f t="array" aca="1" ref="T10" ca="1">IF(IF(INDIRECT("'"&amp;Etiquettes!T13&amp;"'"&amp;"!J1")=$A$10,_xlfn.TEXTJOIN(":",TRUE,_xlfn.UNIQUE(INDIRECT("'"&amp;Etiquettes!T13&amp;"'"&amp;"!J2:J1000"))),"")="0","",IF(INDIRECT("'"&amp;Etiquettes!T13&amp;"'"&amp;"!J1")=$A$10,_xlfn.TEXTJOIN(":",TRUE,_xlfn.UNIQUE(INDIRECT("'"&amp;Etiquettes!T13&amp;"'"&amp;"!J2:J1000"))),""))</f>
        <v>Correspond à la somme des catégories "incorporation" et "extrusion"</v>
      </c>
      <c r="U10" s="937" t="str" cm="1">
        <f t="array" aca="1" ref="U10" ca="1">IF(IF(INDIRECT("'"&amp;Etiquettes!U13&amp;"'"&amp;"!J1")=$A$10,_xlfn.TEXTJOIN(":",TRUE,_xlfn.UNIQUE(INDIRECT("'"&amp;Etiquettes!U13&amp;"'"&amp;"!J2:J1000"))),"")="0","",IF(INDIRECT("'"&amp;Etiquettes!U13&amp;"'"&amp;"!J1")=$A$10,_xlfn.TEXTJOIN(":",TRUE,_xlfn.UNIQUE(INDIRECT("'"&amp;Etiquettes!U13&amp;"'"&amp;"!J2:J1000"))),""))</f>
        <v/>
      </c>
      <c r="V10" s="937" t="str" cm="1">
        <f t="array" aca="1" ref="V10" ca="1">IF(IF(INDIRECT("'"&amp;Etiquettes!V13&amp;"'"&amp;"!J1")=$A$10,_xlfn.TEXTJOIN(":",TRUE,_xlfn.UNIQUE(INDIRECT("'"&amp;Etiquettes!V13&amp;"'"&amp;"!J2:J1000"))),"")="0","",IF(INDIRECT("'"&amp;Etiquettes!V13&amp;"'"&amp;"!J1")=$A$10,_xlfn.TEXTJOIN(":",TRUE,_xlfn.UNIQUE(INDIRECT("'"&amp;Etiquettes!V13&amp;"'"&amp;"!J2:J1000"))),""))</f>
        <v/>
      </c>
      <c r="W10" s="937" t="str" cm="1">
        <f t="array" aca="1" ref="W10" ca="1">IF(IF(INDIRECT("'"&amp;Etiquettes!W13&amp;"'"&amp;"!J1")=$A$10,_xlfn.TEXTJOIN(":",TRUE,_xlfn.UNIQUE(INDIRECT("'"&amp;Etiquettes!W13&amp;"'"&amp;"!J2:J1000"))),"")="0","",IF(INDIRECT("'"&amp;Etiquettes!W13&amp;"'"&amp;"!J1")=$A$10,_xlfn.TEXTJOIN(":",TRUE,_xlfn.UNIQUE(INDIRECT("'"&amp;Etiquettes!W13&amp;"'"&amp;"!J2:J1000"))),""))</f>
        <v/>
      </c>
      <c r="X10" s="937" t="str" cm="1">
        <f t="array" aca="1" ref="X10" ca="1">IF(IF(INDIRECT("'"&amp;Etiquettes!X13&amp;"'"&amp;"!J1")=$A$10,_xlfn.TEXTJOIN(":",TRUE,_xlfn.UNIQUE(INDIRECT("'"&amp;Etiquettes!X13&amp;"'"&amp;"!J2:J1000"))),"")="0","",IF(INDIRECT("'"&amp;Etiquettes!X13&amp;"'"&amp;"!J1")=$A$10,_xlfn.TEXTJOIN(":",TRUE,_xlfn.UNIQUE(INDIRECT("'"&amp;Etiquettes!X13&amp;"'"&amp;"!J2:J1000"))),""))</f>
        <v>Même volume qu'en 21-21 et 22-23</v>
      </c>
      <c r="Y10" s="937" t="str" cm="1">
        <f t="array" aca="1" ref="Y10" ca="1">IF(IF(INDIRECT("'"&amp;Etiquettes!Y13&amp;"'"&amp;"!J1")=$A$10,_xlfn.TEXTJOIN(":",TRUE,_xlfn.UNIQUE(INDIRECT("'"&amp;Etiquettes!Y13&amp;"'"&amp;"!J2:J1000"))),"")="0","",IF(INDIRECT("'"&amp;Etiquettes!Y13&amp;"'"&amp;"!J1")=$A$10,_xlfn.TEXTJOIN(":",TRUE,_xlfn.UNIQUE(INDIRECT("'"&amp;Etiquettes!Y13&amp;"'"&amp;"!J2:J1000"))),""))</f>
        <v/>
      </c>
      <c r="Z10" s="937" t="str" cm="1">
        <f t="array" aca="1" ref="Z10" ca="1">IF(IF(INDIRECT("'"&amp;Etiquettes!Z13&amp;"'"&amp;"!J1")=$A$10,_xlfn.TEXTJOIN(":",TRUE,_xlfn.UNIQUE(INDIRECT("'"&amp;Etiquettes!Z13&amp;"'"&amp;"!J2:J1000"))),"")="0","",IF(INDIRECT("'"&amp;Etiquettes!Z13&amp;"'"&amp;"!J1")=$A$10,_xlfn.TEXTJOIN(":",TRUE,_xlfn.UNIQUE(INDIRECT("'"&amp;Etiquettes!Z13&amp;"'"&amp;"!J2:J1000"))),""))</f>
        <v/>
      </c>
      <c r="AA10" s="937" t="str" cm="1">
        <f t="array" aca="1" ref="AA10" ca="1">IF(IF(INDIRECT("'"&amp;Etiquettes!AA13&amp;"'"&amp;"!J1")=$A$10,_xlfn.TEXTJOIN(":",TRUE,_xlfn.UNIQUE(INDIRECT("'"&amp;Etiquettes!AA13&amp;"'"&amp;"!J2:J1000"))),"")="0","",IF(INDIRECT("'"&amp;Etiquettes!AA13&amp;"'"&amp;"!J1")=$A$10,_xlfn.TEXTJOIN(":",TRUE,_xlfn.UNIQUE(INDIRECT("'"&amp;Etiquettes!AA13&amp;"'"&amp;"!J2:J1000"))),""))</f>
        <v>0:Même ratio d'issues de silo que les pois et fèveroles:Mêmes usages que les issues de silo de pois et fèveroles</v>
      </c>
      <c r="AB10" s="937" t="str" cm="1">
        <f t="array" aca="1" ref="AB10" ca="1">IF(IF(INDIRECT("'"&amp;Etiquettes!AB13&amp;"'"&amp;"!J1")=$A$10,_xlfn.TEXTJOIN(":",TRUE,_xlfn.UNIQUE(INDIRECT("'"&amp;Etiquettes!AB13&amp;"'"&amp;"!J2:J1000"))),"")="0","",IF(INDIRECT("'"&amp;Etiquettes!AB13&amp;"'"&amp;"!J1")=$A$10,_xlfn.TEXTJOIN(":",TRUE,_xlfn.UNIQUE(INDIRECT("'"&amp;Etiquettes!AB13&amp;"'"&amp;"!J2:J1000"))),""))</f>
        <v/>
      </c>
      <c r="AC10" s="937" t="str" cm="1">
        <f t="array" aca="1" ref="AC10" ca="1">IF(IF(INDIRECT("'"&amp;Etiquettes!AC13&amp;"'"&amp;"!J1")=$A$10,_xlfn.TEXTJOIN(":",TRUE,_xlfn.UNIQUE(INDIRECT("'"&amp;Etiquettes!AC13&amp;"'"&amp;"!J2:J1000"))),"")="0","",IF(INDIRECT("'"&amp;Etiquettes!AC13&amp;"'"&amp;"!J1")=$A$10,_xlfn.TEXTJOIN(":",TRUE,_xlfn.UNIQUE(INDIRECT("'"&amp;Etiquettes!AC13&amp;"'"&amp;"!J2:J1000"))),""))</f>
        <v/>
      </c>
      <c r="AD10" s="937" t="str" cm="1">
        <f t="array" aca="1" ref="AD10" ca="1">IF(IF(INDIRECT("'"&amp;Etiquettes!AD13&amp;"'"&amp;"!J1")=$A$10,_xlfn.TEXTJOIN(":",TRUE,_xlfn.UNIQUE(INDIRECT("'"&amp;Etiquettes!AD13&amp;"'"&amp;"!J2:J1000"))),"")="0","",IF(INDIRECT("'"&amp;Etiquettes!AD13&amp;"'"&amp;"!J1")=$A$10,_xlfn.TEXTJOIN(":",TRUE,_xlfn.UNIQUE(INDIRECT("'"&amp;Etiquettes!AD13&amp;"'"&amp;"!J2:J1000"))),""))</f>
        <v>0:Même ratio de pertes à la ferme que colza et tournesol:Même ratio de pertes à la ferme que soja, pois et féverole</v>
      </c>
      <c r="AE10" s="937" t="str" cm="1">
        <f t="array" aca="1" ref="AE10" ca="1">IF(IF(INDIRECT("'"&amp;Etiquettes!AE13&amp;"'"&amp;"!J1")=$A$10,_xlfn.TEXTJOIN(":",TRUE,_xlfn.UNIQUE(INDIRECT("'"&amp;Etiquettes!AE13&amp;"'"&amp;"!J2:J1000"))),"")="0","",IF(INDIRECT("'"&amp;Etiquettes!AE13&amp;"'"&amp;"!J1")=$A$10,_xlfn.TEXTJOIN(":",TRUE,_xlfn.UNIQUE(INDIRECT("'"&amp;Etiquettes!AE13&amp;"'"&amp;"!J2:J1000"))),""))</f>
        <v/>
      </c>
      <c r="AF10" s="937" t="str" cm="1">
        <f t="array" aca="1" ref="AF10" ca="1">IF(IF(INDIRECT("'"&amp;Etiquettes!AF13&amp;"'"&amp;"!J1")=$A$10,_xlfn.TEXTJOIN(":",TRUE,_xlfn.UNIQUE(INDIRECT("'"&amp;Etiquettes!AF13&amp;"'"&amp;"!J2:J1000"))),"")="0","",IF(INDIRECT("'"&amp;Etiquettes!AF13&amp;"'"&amp;"!J1")=$A$10,_xlfn.TEXTJOIN(":",TRUE,_xlfn.UNIQUE(INDIRECT("'"&amp;Etiquettes!AF13&amp;"'"&amp;"!J2:J1000"))),""))</f>
        <v/>
      </c>
      <c r="AG10" s="937" t="str" cm="1">
        <f t="array" aca="1" ref="AG10" ca="1">IF(IF(INDIRECT("'"&amp;Etiquettes!AG13&amp;"'"&amp;"!J1")=$A$10,_xlfn.TEXTJOIN(":",TRUE,_xlfn.UNIQUE(INDIRECT("'"&amp;Etiquettes!AG13&amp;"'"&amp;"!J2:J1000"))),"")="0","",IF(INDIRECT("'"&amp;Etiquettes!AG13&amp;"'"&amp;"!J1")=$A$10,_xlfn.TEXTJOIN(":",TRUE,_xlfn.UNIQUE(INDIRECT("'"&amp;Etiquettes!AG13&amp;"'"&amp;"!J2:J1000"))),""))</f>
        <v>0:Autant de semences fermières que de semences certifiées sont produites</v>
      </c>
      <c r="AH10" s="937" t="str" cm="1">
        <f t="array" aca="1" ref="AH10" ca="1">IF(IF(INDIRECT("'"&amp;Etiquettes!AH13&amp;"'"&amp;"!J1")=$A$10,_xlfn.TEXTJOIN(":",TRUE,_xlfn.UNIQUE(INDIRECT("'"&amp;Etiquettes!AH13&amp;"'"&amp;"!J2:J1000"))),"")="0","",IF(INDIRECT("'"&amp;Etiquettes!AH13&amp;"'"&amp;"!J1")=$A$10,_xlfn.TEXTJOIN(":",TRUE,_xlfn.UNIQUE(INDIRECT("'"&amp;Etiquettes!AH13&amp;"'"&amp;"!J2:J1000"))),""))</f>
        <v/>
      </c>
      <c r="AI10" s="937" t="str" cm="1">
        <f t="array" aca="1" ref="AI10" ca="1">IF(IF(INDIRECT("'"&amp;Etiquettes!AI13&amp;"'"&amp;"!J1")=$A$10,_xlfn.TEXTJOIN(":",TRUE,_xlfn.UNIQUE(INDIRECT("'"&amp;Etiquettes!AI13&amp;"'"&amp;"!J2:J1000"))),"")="0","",IF(INDIRECT("'"&amp;Etiquettes!AI13&amp;"'"&amp;"!J1")=$A$10,_xlfn.TEXTJOIN(":",TRUE,_xlfn.UNIQUE(INDIRECT("'"&amp;Etiquettes!AI13&amp;"'"&amp;"!J2:J1000"))),""))</f>
        <v/>
      </c>
      <c r="AJ10" s="937" t="str" cm="1">
        <f t="array" aca="1" ref="AJ10" ca="1">IF(IF(INDIRECT("'"&amp;Etiquettes!AJ13&amp;"'"&amp;"!J1")=$A$10,_xlfn.TEXTJOIN(":",TRUE,_xlfn.UNIQUE(INDIRECT("'"&amp;Etiquettes!AJ13&amp;"'"&amp;"!J2:J1000"))),"")="0","",IF(INDIRECT("'"&amp;Etiquettes!AJ13&amp;"'"&amp;"!J1")=$A$10,_xlfn.TEXTJOIN(":",TRUE,_xlfn.UNIQUE(INDIRECT("'"&amp;Etiquettes!AJ13&amp;"'"&amp;"!J2:J1000"))),""))</f>
        <v>Les échanges de lupin sont négligés</v>
      </c>
      <c r="AK10" s="937" t="str" cm="1">
        <f t="array" aca="1" ref="AK10" ca="1">IF(IF(INDIRECT("'"&amp;Etiquettes!AK13&amp;"'"&amp;"!J1")=$A$10,_xlfn.TEXTJOIN(":",TRUE,_xlfn.UNIQUE(INDIRECT("'"&amp;Etiquettes!AK13&amp;"'"&amp;"!J2:J1000"))),"")="0","",IF(INDIRECT("'"&amp;Etiquettes!AK13&amp;"'"&amp;"!J1")=$A$10,_xlfn.TEXTJOIN(":",TRUE,_xlfn.UNIQUE(INDIRECT("'"&amp;Etiquettes!AK13&amp;"'"&amp;"!J2:J1000"))),""))</f>
        <v/>
      </c>
      <c r="AL10" s="937" t="str" cm="1">
        <f t="array" aca="1" ref="AL10" ca="1">IF(IF(INDIRECT("'"&amp;Etiquettes!AL13&amp;"'"&amp;"!J1")=$A$10,_xlfn.TEXTJOIN(":",TRUE,_xlfn.UNIQUE(INDIRECT("'"&amp;Etiquettes!AL13&amp;"'"&amp;"!J2:J1000"))),"")="0","",IF(INDIRECT("'"&amp;Etiquettes!AL13&amp;"'"&amp;"!J1")=$A$10,_xlfn.TEXTJOIN(":",TRUE,_xlfn.UNIQUE(INDIRECT("'"&amp;Etiquettes!AL13&amp;"'"&amp;"!J2:J1000"))),""))</f>
        <v/>
      </c>
      <c r="AM10" s="937" t="str" cm="1">
        <f t="array" aca="1" ref="AM10" ca="1">IF(IF(INDIRECT("'"&amp;Etiquettes!AM13&amp;"'"&amp;"!J1")=$A$10,_xlfn.TEXTJOIN(":",TRUE,_xlfn.UNIQUE(INDIRECT("'"&amp;Etiquettes!AM13&amp;"'"&amp;"!J2:J1000"))),"")="0","",IF(INDIRECT("'"&amp;Etiquettes!AM13&amp;"'"&amp;"!J1")=$A$10,_xlfn.TEXTJOIN(":",TRUE,_xlfn.UNIQUE(INDIRECT("'"&amp;Etiquettes!AM13&amp;"'"&amp;"!J2:J1000"))),""))</f>
        <v/>
      </c>
      <c r="AN10" s="937" t="str" cm="1">
        <f t="array" aca="1" ref="AN10" ca="1">IF(IF(INDIRECT("'"&amp;Etiquettes!AN13&amp;"'"&amp;"!J1")=$A$10,_xlfn.TEXTJOIN(":",TRUE,_xlfn.UNIQUE(INDIRECT("'"&amp;Etiquettes!AN13&amp;"'"&amp;"!J2:J1000"))),"")="0","",IF(INDIRECT("'"&amp;Etiquettes!AN13&amp;"'"&amp;"!J1")=$A$10,_xlfn.TEXTJOIN(":",TRUE,_xlfn.UNIQUE(INDIRECT("'"&amp;Etiquettes!AN13&amp;"'"&amp;"!J2:J1000"))),""))</f>
        <v>Utilisation de la donnée 2015:Utilisation de la donnée 2019:Utilisation de la donnée 2023</v>
      </c>
      <c r="AO10" s="937" t="str" cm="1">
        <f t="array" aca="1" ref="AO10" ca="1">IF(IF(INDIRECT("'"&amp;Etiquettes!AO13&amp;"'"&amp;"!J1")=$A$10,_xlfn.TEXTJOIN(":",TRUE,_xlfn.UNIQUE(INDIRECT("'"&amp;Etiquettes!AO13&amp;"'"&amp;"!J2:J1000"))),"")="0","",IF(INDIRECT("'"&amp;Etiquettes!AO13&amp;"'"&amp;"!J1")=$A$10,_xlfn.TEXTJOIN(":",TRUE,_xlfn.UNIQUE(INDIRECT("'"&amp;Etiquettes!AO13&amp;"'"&amp;"!J2:J1000"))),""))</f>
        <v/>
      </c>
      <c r="AP10" s="937" t="str" cm="1">
        <f t="array" aca="1" ref="AP10" ca="1">IF(IF(INDIRECT("'"&amp;Etiquettes!AP13&amp;"'"&amp;"!J1")=$A$10,_xlfn.TEXTJOIN(":",TRUE,_xlfn.UNIQUE(INDIRECT("'"&amp;Etiquettes!AP13&amp;"'"&amp;"!J2:J1000"))),"")="0","",IF(INDIRECT("'"&amp;Etiquettes!AP13&amp;"'"&amp;"!J1")=$A$10,_xlfn.TEXTJOIN(":",TRUE,_xlfn.UNIQUE(INDIRECT("'"&amp;Etiquettes!AP13&amp;"'"&amp;"!J2:J1000"))),""))</f>
        <v>Moyenne des rendements de 2019 et 2023</v>
      </c>
      <c r="AQ10" s="937" t="str" cm="1">
        <f t="array" aca="1" ref="AQ10" ca="1">IF(IF(INDIRECT("'"&amp;Etiquettes!AQ13&amp;"'"&amp;"!J1")=$A$10,_xlfn.TEXTJOIN(":",TRUE,_xlfn.UNIQUE(INDIRECT("'"&amp;Etiquettes!AQ13&amp;"'"&amp;"!J2:J1000"))),"")="0","",IF(INDIRECT("'"&amp;Etiquettes!AQ13&amp;"'"&amp;"!J1")=$A$10,_xlfn.TEXTJOIN(":",TRUE,_xlfn.UNIQUE(INDIRECT("'"&amp;Etiquettes!AQ13&amp;"'"&amp;"!J2:J1000"))),""))</f>
        <v/>
      </c>
      <c r="AR10" s="937" t="str" cm="1">
        <f t="array" aca="1" ref="AR10" ca="1">IF(IF(INDIRECT("'"&amp;Etiquettes!AR13&amp;"'"&amp;"!J1")=$A$10,_xlfn.TEXTJOIN(":",TRUE,_xlfn.UNIQUE(INDIRECT("'"&amp;Etiquettes!AR13&amp;"'"&amp;"!J2:J1000"))),"")="0","",IF(INDIRECT("'"&amp;Etiquettes!AR13&amp;"'"&amp;"!J1")=$A$10,_xlfn.TEXTJOIN(":",TRUE,_xlfn.UNIQUE(INDIRECT("'"&amp;Etiquettes!AR13&amp;"'"&amp;"!J2:J1000"))),""))</f>
        <v/>
      </c>
      <c r="AS10" s="937" t="str" cm="1">
        <f t="array" aca="1" ref="AS10" ca="1">IF(IF(INDIRECT("'"&amp;Etiquettes!AS13&amp;"'"&amp;"!J1")=$A$10,_xlfn.TEXTJOIN(":",TRUE,_xlfn.UNIQUE(INDIRECT("'"&amp;Etiquettes!AS13&amp;"'"&amp;"!J2:J1000"))),"")="0","",IF(INDIRECT("'"&amp;Etiquettes!AS13&amp;"'"&amp;"!J1")=$A$10,_xlfn.TEXTJOIN(":",TRUE,_xlfn.UNIQUE(INDIRECT("'"&amp;Etiquettes!AS13&amp;"'"&amp;"!J2:J1000"))),""))</f>
        <v>0:Mêmes usages que les tourteaux de tournesol et de soja</v>
      </c>
      <c r="AT10" s="937" t="str" cm="1">
        <f t="array" aca="1" ref="AT10" ca="1">IF(IF(INDIRECT("'"&amp;Etiquettes!AT13&amp;"'"&amp;"!J1")=$A$10,_xlfn.TEXTJOIN(":",TRUE,_xlfn.UNIQUE(INDIRECT("'"&amp;Etiquettes!AT13&amp;"'"&amp;"!J2:J1000"))),"")="0","",IF(INDIRECT("'"&amp;Etiquettes!AT13&amp;"'"&amp;"!J1")=$A$10,_xlfn.TEXTJOIN(":",TRUE,_xlfn.UNIQUE(INDIRECT("'"&amp;Etiquettes!AT13&amp;"'"&amp;"!J2:J1000"))),""))</f>
        <v/>
      </c>
      <c r="AU10" s="937" t="str" cm="1">
        <f t="array" aca="1" ref="AU10" ca="1">IF(IF(INDIRECT("'"&amp;Etiquettes!AU13&amp;"'"&amp;"!J1")=$A$10,_xlfn.TEXTJOIN(":",TRUE,_xlfn.UNIQUE(INDIRECT("'"&amp;Etiquettes!AU13&amp;"'"&amp;"!J2:J1000"))),"")="0","",IF(INDIRECT("'"&amp;Etiquettes!AU13&amp;"'"&amp;"!J1")=$A$10,_xlfn.TEXTJOIN(":",TRUE,_xlfn.UNIQUE(INDIRECT("'"&amp;Etiquettes!AU13&amp;"'"&amp;"!J2:J1000"))),""))</f>
        <v>La consommation d'huile pour la fabrication de biodiesel est négligée</v>
      </c>
      <c r="AV10" s="937" t="str" cm="1">
        <f t="array" aca="1" ref="AV10" ca="1">IF(IF(INDIRECT("'"&amp;Etiquettes!AV13&amp;"'"&amp;"!J1")=$A$10,_xlfn.TEXTJOIN(":",TRUE,_xlfn.UNIQUE(INDIRECT("'"&amp;Etiquettes!AV13&amp;"'"&amp;"!J2:J1000"))),"")="0","",IF(INDIRECT("'"&amp;Etiquettes!AV13&amp;"'"&amp;"!J1")=$A$10,_xlfn.TEXTJOIN(":",TRUE,_xlfn.UNIQUE(INDIRECT("'"&amp;Etiquettes!AV13&amp;"'"&amp;"!J2:J1000"))),""))</f>
        <v/>
      </c>
      <c r="AW10" s="937" t="str" cm="1">
        <f t="array" aca="1" ref="AW10" ca="1">IF(IF(INDIRECT("'"&amp;Etiquettes!AW13&amp;"'"&amp;"!J1")=$A$10,_xlfn.TEXTJOIN(":",TRUE,_xlfn.UNIQUE(INDIRECT("'"&amp;Etiquettes!AW13&amp;"'"&amp;"!J2:J1000"))),"")="0","",IF(INDIRECT("'"&amp;Etiquettes!AW13&amp;"'"&amp;"!J1")=$A$10,_xlfn.TEXTJOIN(":",TRUE,_xlfn.UNIQUE(INDIRECT("'"&amp;Etiquettes!AW13&amp;"'"&amp;"!J2:J1000"))),""))</f>
        <v>Utilisation du volume de 2015:Utilisation du volume de 2019:Utilisation du volume de 2023</v>
      </c>
      <c r="AX10" s="937" t="str" cm="1">
        <f t="array" aca="1" ref="AX10" ca="1">IF(IF(INDIRECT("'"&amp;Etiquettes!AX13&amp;"'"&amp;"!J1")=$A$10,_xlfn.TEXTJOIN(":",TRUE,_xlfn.UNIQUE(INDIRECT("'"&amp;Etiquettes!AX13&amp;"'"&amp;"!J2:J1000"))),"")="0","",IF(INDIRECT("'"&amp;Etiquettes!AX13&amp;"'"&amp;"!J1")=$A$10,_xlfn.TEXTJOIN(":",TRUE,_xlfn.UNIQUE(INDIRECT("'"&amp;Etiquettes!AX13&amp;"'"&amp;"!J2:J1000"))),""))</f>
        <v/>
      </c>
      <c r="AY10" s="937" t="str" cm="1">
        <f t="array" aca="1" ref="AY10" ca="1">IF(IF(INDIRECT("'"&amp;Etiquettes!AY13&amp;"'"&amp;"!J1")=$A$10,_xlfn.TEXTJOIN(":",TRUE,_xlfn.UNIQUE(INDIRECT("'"&amp;Etiquettes!AY13&amp;"'"&amp;"!J2:J1000"))),"")="0","",IF(INDIRECT("'"&amp;Etiquettes!AY13&amp;"'"&amp;"!J1")=$A$10,_xlfn.TEXTJOIN(":",TRUE,_xlfn.UNIQUE(INDIRECT("'"&amp;Etiquettes!AY13&amp;"'"&amp;"!J2:J1000"))),""))</f>
        <v>Utilisation du volume de 2015:Utilisation du volume de 2019:Utilisation du volume de 2023</v>
      </c>
      <c r="AZ10" s="937" t="str" cm="1">
        <f t="array" aca="1" ref="AZ10" ca="1">IF(IF(INDIRECT("'"&amp;Etiquettes!AZ13&amp;"'"&amp;"!J1")=$A$10,_xlfn.TEXTJOIN(":",TRUE,_xlfn.UNIQUE(INDIRECT("'"&amp;Etiquettes!AZ13&amp;"'"&amp;"!J2:J1000"))),"")="0","",IF(INDIRECT("'"&amp;Etiquettes!AZ13&amp;"'"&amp;"!J1")=$A$10,_xlfn.TEXTJOIN(":",TRUE,_xlfn.UNIQUE(INDIRECT("'"&amp;Etiquettes!AZ13&amp;"'"&amp;"!J2:J1000"))),""))</f>
        <v/>
      </c>
      <c r="BA10" s="937" t="str" cm="1">
        <f t="array" aca="1" ref="BA10" ca="1">IF(IF(INDIRECT("'"&amp;Etiquettes!BA13&amp;"'"&amp;"!J1")=$A$10,_xlfn.TEXTJOIN(":",TRUE,_xlfn.UNIQUE(INDIRECT("'"&amp;Etiquettes!BA13&amp;"'"&amp;"!J2:J1000"))),"")="0","",IF(INDIRECT("'"&amp;Etiquettes!BA13&amp;"'"&amp;"!J1")=$A$10,_xlfn.TEXTJOIN(":",TRUE,_xlfn.UNIQUE(INDIRECT("'"&amp;Etiquettes!BA13&amp;"'"&amp;"!J2:J1000"))),""))</f>
        <v/>
      </c>
      <c r="BB10" s="937" t="str" cm="1">
        <f t="array" aca="1" ref="BB10" ca="1">IF(IF(INDIRECT("'"&amp;Etiquettes!BB13&amp;"'"&amp;"!J1")=$A$10,_xlfn.TEXTJOIN(":",TRUE,_xlfn.UNIQUE(INDIRECT("'"&amp;Etiquettes!BB13&amp;"'"&amp;"!J2:J1000"))),"")="0","",IF(INDIRECT("'"&amp;Etiquettes!BB13&amp;"'"&amp;"!J1")=$A$10,_xlfn.TEXTJOIN(":",TRUE,_xlfn.UNIQUE(INDIRECT("'"&amp;Etiquettes!BB13&amp;"'"&amp;"!J2:J1000"))),""))</f>
        <v/>
      </c>
      <c r="BC10" s="937" t="str" cm="1">
        <f t="array" aca="1" ref="BC10" ca="1">IF(IF(INDIRECT("'"&amp;Etiquettes!BC13&amp;"'"&amp;"!J1")=$A$10,_xlfn.TEXTJOIN(":",TRUE,_xlfn.UNIQUE(INDIRECT("'"&amp;Etiquettes!BC13&amp;"'"&amp;"!J2:J1000"))),"")="0","",IF(INDIRECT("'"&amp;Etiquettes!BC13&amp;"'"&amp;"!J1")=$A$10,_xlfn.TEXTJOIN(":",TRUE,_xlfn.UNIQUE(INDIRECT("'"&amp;Etiquettes!BC13&amp;"'"&amp;"!J2:J1000"))),""))</f>
        <v/>
      </c>
      <c r="BD10" s="937" t="str" cm="1">
        <f t="array" aca="1" ref="BD10" ca="1">IF(IF(INDIRECT("'"&amp;Etiquettes!BD13&amp;"'"&amp;"!J1")=$A$10,_xlfn.TEXTJOIN(":",TRUE,_xlfn.UNIQUE(INDIRECT("'"&amp;Etiquettes!BD13&amp;"'"&amp;"!J2:J1000"))),"")="0","",IF(INDIRECT("'"&amp;Etiquettes!BD13&amp;"'"&amp;"!J1")=$A$10,_xlfn.TEXTJOIN(":",TRUE,_xlfn.UNIQUE(INDIRECT("'"&amp;Etiquettes!BD13&amp;"'"&amp;"!J2:J1000"))),""))</f>
        <v>50 % de la récolte est collectée:10 % de la récolte est déstockée:10 % de la récolte est stockée:10 % de la récolte sont des semences certifiées:Même écart statistique qu'en 23-24</v>
      </c>
      <c r="BE10" s="937" t="str" cm="1">
        <f t="array" aca="1" ref="BE10" ca="1">IF(IF(INDIRECT("'"&amp;Etiquettes!BE13&amp;"'"&amp;"!J1")=$A$10,_xlfn.TEXTJOIN(":",TRUE,_xlfn.UNIQUE(INDIRECT("'"&amp;Etiquettes!BE13&amp;"'"&amp;"!J2:J1000"))),"")="0","",IF(INDIRECT("'"&amp;Etiquettes!BE13&amp;"'"&amp;"!J1")=$A$10,_xlfn.TEXTJOIN(":",TRUE,_xlfn.UNIQUE(INDIRECT("'"&amp;Etiquettes!BE13&amp;"'"&amp;"!J2:J1000"))),""))</f>
        <v/>
      </c>
      <c r="BF10" s="937" t="str" cm="1">
        <f t="array" aca="1" ref="BF10" ca="1">IF(IF(INDIRECT("'"&amp;Etiquettes!BF13&amp;"'"&amp;"!J1")=$A$10,_xlfn.TEXTJOIN(":",TRUE,_xlfn.UNIQUE(INDIRECT("'"&amp;Etiquettes!BF13&amp;"'"&amp;"!J2:J1000"))),"")="0","",IF(INDIRECT("'"&amp;Etiquettes!BF13&amp;"'"&amp;"!J1")=$A$10,_xlfn.TEXTJOIN(":",TRUE,_xlfn.UNIQUE(INDIRECT("'"&amp;Etiquettes!BF13&amp;"'"&amp;"!J2:J1000"))),""))</f>
        <v/>
      </c>
      <c r="BG10" s="937" t="str" cm="1">
        <f t="array" aca="1" ref="BG10" ca="1">IF(IF(INDIRECT("'"&amp;Etiquettes!BG13&amp;"'"&amp;"!J1")=$A$10,_xlfn.TEXTJOIN(":",TRUE,_xlfn.UNIQUE(INDIRECT("'"&amp;Etiquettes!BG13&amp;"'"&amp;"!J2:J1000"))),"")="0","",IF(INDIRECT("'"&amp;Etiquettes!BG13&amp;"'"&amp;"!J1")=$A$10,_xlfn.TEXTJOIN(":",TRUE,_xlfn.UNIQUE(INDIRECT("'"&amp;Etiquettes!BG13&amp;"'"&amp;"!J2:J1000"))),""))</f>
        <v/>
      </c>
      <c r="BH10" s="937" t="str" cm="1">
        <f t="array" aca="1" ref="BH10" ca="1">IF(IF(INDIRECT("'"&amp;Etiquettes!BH13&amp;"'"&amp;"!J1")=$A$10,_xlfn.TEXTJOIN(":",TRUE,_xlfn.UNIQUE(INDIRECT("'"&amp;Etiquettes!BH13&amp;"'"&amp;"!J2:J1000"))),"")="0","",IF(INDIRECT("'"&amp;Etiquettes!BH13&amp;"'"&amp;"!J1")=$A$10,_xlfn.TEXTJOIN(":",TRUE,_xlfn.UNIQUE(INDIRECT("'"&amp;Etiquettes!BH13&amp;"'"&amp;"!J2:J1000"))),""))</f>
        <v/>
      </c>
      <c r="BI10" s="937" t="str" cm="1">
        <f t="array" aca="1" ref="BI10" ca="1">IF(IF(INDIRECT("'"&amp;Etiquettes!BI13&amp;"'"&amp;"!J1")=$A$10,_xlfn.TEXTJOIN(":",TRUE,_xlfn.UNIQUE(INDIRECT("'"&amp;Etiquettes!BI13&amp;"'"&amp;"!J2:J1000"))),"")="0","",IF(INDIRECT("'"&amp;Etiquettes!BI13&amp;"'"&amp;"!J1")=$A$10,_xlfn.TEXTJOIN(":",TRUE,_xlfn.UNIQUE(INDIRECT("'"&amp;Etiquettes!BI13&amp;"'"&amp;"!J2:J1000"))),""))</f>
        <v/>
      </c>
      <c r="BJ10" s="937" t="str" cm="1">
        <f t="array" aca="1" ref="BJ10" ca="1">IF(IF(INDIRECT("'"&amp;Etiquettes!BJ13&amp;"'"&amp;"!J1")=$A$10,_xlfn.TEXTJOIN(":",TRUE,_xlfn.UNIQUE(INDIRECT("'"&amp;Etiquettes!BJ13&amp;"'"&amp;"!J2:J1000"))),"")="0","",IF(INDIRECT("'"&amp;Etiquettes!BJ13&amp;"'"&amp;"!J1")=$A$10,_xlfn.TEXTJOIN(":",TRUE,_xlfn.UNIQUE(INDIRECT("'"&amp;Etiquettes!BJ13&amp;"'"&amp;"!J2:J1000"))),""))</f>
        <v/>
      </c>
      <c r="BK10" s="937" t="str" cm="1">
        <f t="array" aca="1" ref="BK10" ca="1">IF(IF(INDIRECT("'"&amp;Etiquettes!BK13&amp;"'"&amp;"!J1")=$A$10,_xlfn.TEXTJOIN(":",TRUE,_xlfn.UNIQUE(INDIRECT("'"&amp;Etiquettes!BK13&amp;"'"&amp;"!J2:J1000"))),"")="0","",IF(INDIRECT("'"&amp;Etiquettes!BK13&amp;"'"&amp;"!J1")=$A$10,_xlfn.TEXTJOIN(":",TRUE,_xlfn.UNIQUE(INDIRECT("'"&amp;Etiquettes!BK13&amp;"'"&amp;"!J2:J1000"))),""))</f>
        <v>Utilisation du volume de 2023:Même consommation de produits alimentaires en GMS qu'en 2023:Même consommation de produits alimentaires en circuits spécialisés qu'en 2023:Même consommation de produits alimentaires en RHD qu'en 2023:Même consommation de produits alimentaires par les autres IAA qu'en 2023:Même consommation de produits alimentaires par les ménages qu'en 2023:Consommation par les autres IAA négligeable</v>
      </c>
      <c r="BL10" s="937" t="str" cm="1">
        <f t="array" aca="1" ref="BL10" ca="1">IF(IF(INDIRECT("'"&amp;Etiquettes!BL13&amp;"'"&amp;"!J1")=$A$10,_xlfn.TEXTJOIN(":",TRUE,_xlfn.UNIQUE(INDIRECT("'"&amp;Etiquettes!BL13&amp;"'"&amp;"!J2:J1000"))),"")="0","",IF(INDIRECT("'"&amp;Etiquettes!BL13&amp;"'"&amp;"!J1")=$A$10,_xlfn.TEXTJOIN(":",TRUE,_xlfn.UNIQUE(INDIRECT("'"&amp;Etiquettes!BL13&amp;"'"&amp;"!J2:J1000"))),""))</f>
        <v/>
      </c>
      <c r="BM10" s="937" t="str" cm="1">
        <f t="array" aca="1" ref="BM10" ca="1">IF(IF(INDIRECT("'"&amp;Etiquettes!BM13&amp;"'"&amp;"!J1")=$A$10,_xlfn.TEXTJOIN(":",TRUE,_xlfn.UNIQUE(INDIRECT("'"&amp;Etiquettes!BM13&amp;"'"&amp;"!J2:J1000"))),"")="0","",IF(INDIRECT("'"&amp;Etiquettes!BM13&amp;"'"&amp;"!J1")=$A$10,_xlfn.TEXTJOIN(":",TRUE,_xlfn.UNIQUE(INDIRECT("'"&amp;Etiquettes!BM13&amp;"'"&amp;"!J2:J1000"))),""))</f>
        <v>Même répartition des circuits de distribution des produits alimentaires qu'en 2023</v>
      </c>
      <c r="BN10" s="937" t="str" cm="1">
        <f t="array" aca="1" ref="BN10" ca="1">IF(IF(INDIRECT("'"&amp;Etiquettes!BN13&amp;"'"&amp;"!J1")=$A$10,_xlfn.TEXTJOIN(":",TRUE,_xlfn.UNIQUE(INDIRECT("'"&amp;Etiquettes!BN13&amp;"'"&amp;"!J2:J1000"))),"")="0","",IF(INDIRECT("'"&amp;Etiquettes!BN13&amp;"'"&amp;"!J1")=$A$10,_xlfn.TEXTJOIN(":",TRUE,_xlfn.UNIQUE(INDIRECT("'"&amp;Etiquettes!BN13&amp;"'"&amp;"!J2:J1000"))),""))</f>
        <v/>
      </c>
      <c r="BO10" s="937" t="str" cm="1">
        <f t="array" aca="1" ref="BO10" ca="1">IF(IF(INDIRECT("'"&amp;Etiquettes!BO13&amp;"'"&amp;"!J1")=$A$10,_xlfn.TEXTJOIN(":",TRUE,_xlfn.UNIQUE(INDIRECT("'"&amp;Etiquettes!BO13&amp;"'"&amp;"!J2:J1000"))),"")="0","",IF(INDIRECT("'"&amp;Etiquettes!BO13&amp;"'"&amp;"!J1")=$A$10,_xlfn.TEXTJOIN(":",TRUE,_xlfn.UNIQUE(INDIRECT("'"&amp;Etiquettes!BO13&amp;"'"&amp;"!J2:J1000"))),""))</f>
        <v/>
      </c>
      <c r="BP10" s="937" t="str" cm="1">
        <f t="array" aca="1" ref="BP10" ca="1">IF(IF(INDIRECT("'"&amp;Etiquettes!BP13&amp;"'"&amp;"!J1")=$A$10,_xlfn.TEXTJOIN(":",TRUE,_xlfn.UNIQUE(INDIRECT("'"&amp;Etiquettes!BP13&amp;"'"&amp;"!J2:J1000"))),"")="0","",IF(INDIRECT("'"&amp;Etiquettes!BP13&amp;"'"&amp;"!J1")=$A$10,_xlfn.TEXTJOIN(":",TRUE,_xlfn.UNIQUE(INDIRECT("'"&amp;Etiquettes!BP13&amp;"'"&amp;"!J2:J1000"))),""))</f>
        <v/>
      </c>
      <c r="BQ10" s="937" t="str" cm="1">
        <f t="array" aca="1" ref="BQ10" ca="1">IF(IF(INDIRECT("'"&amp;Etiquettes!BQ13&amp;"'"&amp;"!J1")=$A$10,_xlfn.TEXTJOIN(":",TRUE,_xlfn.UNIQUE(INDIRECT("'"&amp;Etiquettes!BQ13&amp;"'"&amp;"!J2:J1000"))),"")="0","",IF(INDIRECT("'"&amp;Etiquettes!BQ13&amp;"'"&amp;"!J1")=$A$10,_xlfn.TEXTJOIN(":",TRUE,_xlfn.UNIQUE(INDIRECT("'"&amp;Etiquettes!BQ13&amp;"'"&amp;"!J2:J1000"))),""))</f>
        <v/>
      </c>
      <c r="BR10" s="937" t="str" cm="1">
        <f t="array" aca="1" ref="BR10" ca="1">IF(IF(INDIRECT("'"&amp;Etiquettes!BR13&amp;"'"&amp;"!J1")=$A$10,_xlfn.TEXTJOIN(":",TRUE,_xlfn.UNIQUE(INDIRECT("'"&amp;Etiquettes!BR13&amp;"'"&amp;"!J2:J1000"))),"")="0","",IF(INDIRECT("'"&amp;Etiquettes!BR13&amp;"'"&amp;"!J1")=$A$10,_xlfn.TEXTJOIN(":",TRUE,_xlfn.UNIQUE(INDIRECT("'"&amp;Etiquettes!BR13&amp;"'"&amp;"!J2:J1000"))),""))</f>
        <v/>
      </c>
      <c r="BS10" s="937" t="str" cm="1">
        <f t="array" aca="1" ref="BS10" ca="1">IF(IF(INDIRECT("'"&amp;Etiquettes!BS13&amp;"'"&amp;"!J1")=$A$10,_xlfn.TEXTJOIN(":",TRUE,_xlfn.UNIQUE(INDIRECT("'"&amp;Etiquettes!BS13&amp;"'"&amp;"!J2:J1000"))),"")="0","",IF(INDIRECT("'"&amp;Etiquettes!BS13&amp;"'"&amp;"!J1")=$A$10,_xlfn.TEXTJOIN(":",TRUE,_xlfn.UNIQUE(INDIRECT("'"&amp;Etiquettes!BS13&amp;"'"&amp;"!J2:J1000"))),""))</f>
        <v/>
      </c>
      <c r="BT10" s="937" t="str" cm="1">
        <f t="array" aca="1" ref="BT10" ca="1">IF(IF(INDIRECT("'"&amp;Etiquettes!BT13&amp;"'"&amp;"!J1")=$A$10,_xlfn.TEXTJOIN(":",TRUE,_xlfn.UNIQUE(INDIRECT("'"&amp;Etiquettes!BT13&amp;"'"&amp;"!J2:J1000"))),"")="0","",IF(INDIRECT("'"&amp;Etiquettes!BT13&amp;"'"&amp;"!J1")=$A$10,_xlfn.TEXTJOIN(":",TRUE,_xlfn.UNIQUE(INDIRECT("'"&amp;Etiquettes!BT13&amp;"'"&amp;"!J2:J1000"))),""))</f>
        <v/>
      </c>
      <c r="BU10" s="937" t="str" cm="1">
        <f t="array" aca="1" ref="BU10" ca="1">IF(IF(INDIRECT("'"&amp;Etiquettes!BU13&amp;"'"&amp;"!J1")=$A$10,_xlfn.TEXTJOIN(":",TRUE,_xlfn.UNIQUE(INDIRECT("'"&amp;Etiquettes!BU13&amp;"'"&amp;"!J2:J1000"))),"")="0","",IF(INDIRECT("'"&amp;Etiquettes!BU13&amp;"'"&amp;"!J1")=$A$10,_xlfn.TEXTJOIN(":",TRUE,_xlfn.UNIQUE(INDIRECT("'"&amp;Etiquettes!BU13&amp;"'"&amp;"!J2:J1000"))),""))</f>
        <v/>
      </c>
      <c r="BV10" s="937" t="str" cm="1">
        <f t="array" aca="1" ref="BV10" ca="1">IF(IF(INDIRECT("'"&amp;Etiquettes!BV13&amp;"'"&amp;"!J1")=$A$10,_xlfn.TEXTJOIN(":",TRUE,_xlfn.UNIQUE(INDIRECT("'"&amp;Etiquettes!BV13&amp;"'"&amp;"!J2:J1000"))),"")="0","",IF(INDIRECT("'"&amp;Etiquettes!BV13&amp;"'"&amp;"!J1")=$A$10,_xlfn.TEXTJOIN(":",TRUE,_xlfn.UNIQUE(INDIRECT("'"&amp;Etiquettes!BV13&amp;"'"&amp;"!J2:J1000"))),""))</f>
        <v/>
      </c>
      <c r="BW10" s="937" t="str" cm="1">
        <f t="array" aca="1" ref="BW10" ca="1">IF(IF(INDIRECT("'"&amp;Etiquettes!BW13&amp;"'"&amp;"!J1")=$A$10,_xlfn.TEXTJOIN(":",TRUE,_xlfn.UNIQUE(INDIRECT("'"&amp;Etiquettes!BW13&amp;"'"&amp;"!J2:J1000"))),"")="0","",IF(INDIRECT("'"&amp;Etiquettes!BW13&amp;"'"&amp;"!J1")=$A$10,_xlfn.TEXTJOIN(":",TRUE,_xlfn.UNIQUE(INDIRECT("'"&amp;Etiquettes!BW13&amp;"'"&amp;"!J2:J1000"))),""))</f>
        <v>Même répartition des usages d'huile qu'en 2023</v>
      </c>
      <c r="BX10" s="937" t="str" cm="1">
        <f t="array" aca="1" ref="BX10" ca="1">IF(IF(INDIRECT("'"&amp;Etiquettes!BX13&amp;"'"&amp;"!J1")=$A$10,_xlfn.TEXTJOIN(":",TRUE,_xlfn.UNIQUE(INDIRECT("'"&amp;Etiquettes!BX13&amp;"'"&amp;"!J2:J1000"))),"")="0","",IF(INDIRECT("'"&amp;Etiquettes!BX13&amp;"'"&amp;"!J1")=$A$10,_xlfn.TEXTJOIN(":",TRUE,_xlfn.UNIQUE(INDIRECT("'"&amp;Etiquettes!BX13&amp;"'"&amp;"!J2:J1000"))),""))</f>
        <v/>
      </c>
      <c r="BY10" s="937" t="str" cm="1">
        <f t="array" aca="1" ref="BY10" ca="1">IF(IF(INDIRECT("'"&amp;Etiquettes!BY13&amp;"'"&amp;"!J1")=$A$10,_xlfn.TEXTJOIN(":",TRUE,_xlfn.UNIQUE(INDIRECT("'"&amp;Etiquettes!BY13&amp;"'"&amp;"!J2:J1000"))),"")="0","",IF(INDIRECT("'"&amp;Etiquettes!BY13&amp;"'"&amp;"!J1")=$A$10,_xlfn.TEXTJOIN(":",TRUE,_xlfn.UNIQUE(INDIRECT("'"&amp;Etiquettes!BY13&amp;"'"&amp;"!J2:J1000"))),""))</f>
        <v/>
      </c>
      <c r="BZ10" s="937" t="str" cm="1">
        <f t="array" aca="1" ref="BZ10" ca="1">IF(IF(INDIRECT("'"&amp;Etiquettes!BZ13&amp;"'"&amp;"!J1")=$A$10,_xlfn.TEXTJOIN(":",TRUE,_xlfn.UNIQUE(INDIRECT("'"&amp;Etiquettes!BZ13&amp;"'"&amp;"!J2:J1000"))),"")="0","",IF(INDIRECT("'"&amp;Etiquettes!BZ13&amp;"'"&amp;"!J1")=$A$10,_xlfn.TEXTJOIN(":",TRUE,_xlfn.UNIQUE(INDIRECT("'"&amp;Etiquettes!BZ13&amp;"'"&amp;"!J2:J1000"))),""))</f>
        <v>Même répartition des usages de tourteaux qu'en 2022-23:Même répartition des usages de tourteaux qu'en 2022-23 et pour les tourteaux autres que colza, tournesol et soja</v>
      </c>
      <c r="CA10" s="937" t="str" cm="1">
        <f t="array" aca="1" ref="CA10" ca="1">IF(IF(INDIRECT("'"&amp;Etiquettes!CA13&amp;"'"&amp;"!J1")=$A$10,_xlfn.TEXTJOIN(":",TRUE,_xlfn.UNIQUE(INDIRECT("'"&amp;Etiquettes!CA13&amp;"'"&amp;"!J2:J1000"))),"")="0","",IF(INDIRECT("'"&amp;Etiquettes!CA13&amp;"'"&amp;"!J1")=$A$10,_xlfn.TEXTJOIN(":",TRUE,_xlfn.UNIQUE(INDIRECT("'"&amp;Etiquettes!CA13&amp;"'"&amp;"!J2:J1000"))),""))</f>
        <v/>
      </c>
      <c r="CB10" s="937" t="str" cm="1">
        <f t="array" aca="1" ref="CB10" ca="1">IF(IF(INDIRECT("'"&amp;Etiquettes!CB13&amp;"'"&amp;"!J1")=$A$10,_xlfn.TEXTJOIN(":",TRUE,_xlfn.UNIQUE(INDIRECT("'"&amp;Etiquettes!CB13&amp;"'"&amp;"!J2:J1000"))),"")="0","",IF(INDIRECT("'"&amp;Etiquettes!CB13&amp;"'"&amp;"!J1")=$A$10,_xlfn.TEXTJOIN(":",TRUE,_xlfn.UNIQUE(INDIRECT("'"&amp;Etiquettes!CB13&amp;"'"&amp;"!J2:J1000"))),""))</f>
        <v/>
      </c>
      <c r="CC10" s="937" t="str" cm="1">
        <f t="array" aca="1" ref="CC10" ca="1">IF(IF(INDIRECT("'"&amp;Etiquettes!CC13&amp;"'"&amp;"!J1")=$A$10,_xlfn.TEXTJOIN(":",TRUE,_xlfn.UNIQUE(INDIRECT("'"&amp;Etiquettes!CC13&amp;"'"&amp;"!J2:J1000"))),"")="0","",IF(INDIRECT("'"&amp;Etiquettes!CC13&amp;"'"&amp;"!J1")=$A$10,_xlfn.TEXTJOIN(":",TRUE,_xlfn.UNIQUE(INDIRECT("'"&amp;Etiquettes!CC13&amp;"'"&amp;"!J2:J1000"))),""))</f>
        <v/>
      </c>
      <c r="CD10" s="937" t="str" cm="1">
        <f t="array" aca="1" ref="CD10" ca="1">IF(IF(INDIRECT("'"&amp;Etiquettes!CD13&amp;"'"&amp;"!J1")=$A$10,_xlfn.TEXTJOIN(":",TRUE,_xlfn.UNIQUE(INDIRECT("'"&amp;Etiquettes!CD13&amp;"'"&amp;"!J2:J1000"))),"")="0","",IF(INDIRECT("'"&amp;Etiquettes!CD13&amp;"'"&amp;"!J1")=$A$10,_xlfn.TEXTJOIN(":",TRUE,_xlfn.UNIQUE(INDIRECT("'"&amp;Etiquettes!CD13&amp;"'"&amp;"!J2:J1000"))),""))</f>
        <v/>
      </c>
      <c r="CE10" s="937" t="str" cm="1">
        <f t="array" aca="1" ref="CE10" ca="1">IF(IF(INDIRECT("'"&amp;Etiquettes!CE13&amp;"'"&amp;"!J1")=$A$10,_xlfn.TEXTJOIN(":",TRUE,_xlfn.UNIQUE(INDIRECT("'"&amp;Etiquettes!CE13&amp;"'"&amp;"!J2:J1000"))),"")="0","",IF(INDIRECT("'"&amp;Etiquettes!CE13&amp;"'"&amp;"!J1")=$A$10,_xlfn.TEXTJOIN(":",TRUE,_xlfn.UNIQUE(INDIRECT("'"&amp;Etiquettes!CE13&amp;"'"&amp;"!J2:J1000"))),""))</f>
        <v/>
      </c>
      <c r="CF10" s="937" t="str" cm="1">
        <f t="array" aca="1" ref="CF10" ca="1">IF(IF(INDIRECT("'"&amp;Etiquettes!CF13&amp;"'"&amp;"!J1")=$A$10,_xlfn.TEXTJOIN(":",TRUE,_xlfn.UNIQUE(INDIRECT("'"&amp;Etiquettes!CF13&amp;"'"&amp;"!J2:J1000"))),"")="0","",IF(INDIRECT("'"&amp;Etiquettes!CF13&amp;"'"&amp;"!J1")=$A$10,_xlfn.TEXTJOIN(":",TRUE,_xlfn.UNIQUE(INDIRECT("'"&amp;Etiquettes!CF13&amp;"'"&amp;"!J2:J1000"))),""))</f>
        <v/>
      </c>
      <c r="CG10" s="937" t="str" cm="1">
        <f t="array" aca="1" ref="CG10" ca="1">IF(IF(INDIRECT("'"&amp;Etiquettes!CG13&amp;"'"&amp;"!J1")=$A$10,_xlfn.TEXTJOIN(":",TRUE,_xlfn.UNIQUE(INDIRECT("'"&amp;Etiquettes!CG13&amp;"'"&amp;"!J2:J1000"))),"")="0","",IF(INDIRECT("'"&amp;Etiquettes!CG13&amp;"'"&amp;"!J1")=$A$10,_xlfn.TEXTJOIN(":",TRUE,_xlfn.UNIQUE(INDIRECT("'"&amp;Etiquettes!CG13&amp;"'"&amp;"!J2:J1000"))),""))</f>
        <v/>
      </c>
      <c r="CH10" s="937" t="str" cm="1">
        <f t="array" aca="1" ref="CH10" ca="1">IF(IF(INDIRECT("'"&amp;Etiquettes!CH13&amp;"'"&amp;"!J1")=$A$10,_xlfn.TEXTJOIN(":",TRUE,_xlfn.UNIQUE(INDIRECT("'"&amp;Etiquettes!CH13&amp;"'"&amp;"!J2:J1000"))),"")="0","",IF(INDIRECT("'"&amp;Etiquettes!CH13&amp;"'"&amp;"!J1")=$A$10,_xlfn.TEXTJOIN(":",TRUE,_xlfn.UNIQUE(INDIRECT("'"&amp;Etiquettes!CH13&amp;"'"&amp;"!J2:J1000"))),""))</f>
        <v/>
      </c>
      <c r="CI10" s="937" t="str" cm="1">
        <f t="array" aca="1" ref="CI10" ca="1">IF(IF(INDIRECT("'"&amp;Etiquettes!CI13&amp;"'"&amp;"!J1")=$A$10,_xlfn.TEXTJOIN(":",TRUE,_xlfn.UNIQUE(INDIRECT("'"&amp;Etiquettes!CI13&amp;"'"&amp;"!J2:J1000"))),"")="0","",IF(INDIRECT("'"&amp;Etiquettes!CI13&amp;"'"&amp;"!J1")=$A$10,_xlfn.TEXTJOIN(":",TRUE,_xlfn.UNIQUE(INDIRECT("'"&amp;Etiquettes!CI13&amp;"'"&amp;"!J2:J1000"))),""))</f>
        <v>10 % de la récolte est déstockée:10 % de la récolte est stockée:10 % de la récolte sont des semences certifiées:Autant de semences fermières que de semences certifiées sont produites:Mêmes usages que les tourteaux de tournesol et de soja:Mêmes usages que les issues de silo de pois et fèveroles:Même répartition des usages d'huile qu'en 2023:0:Le reste des graines autoconsommées est consommé en alimentation humaine:Consommation par les autres IAA négligeable</v>
      </c>
    </row>
    <row r="11" spans="1:88">
      <c r="A11" t="s">
        <v>692</v>
      </c>
      <c r="B11" s="34" t="s">
        <v>35</v>
      </c>
      <c r="C11" s="11" t="str">
        <f>_xlfn.TEXTJOIN(":",TRUE,H11:S11)</f>
        <v>Volume:Rendement:Répartition</v>
      </c>
      <c r="F11" t="s">
        <v>1461</v>
      </c>
      <c r="G11" s="937" t="s">
        <v>1459</v>
      </c>
      <c r="H11" s="967" t="s">
        <v>705</v>
      </c>
      <c r="I11" s="968" t="s">
        <v>706</v>
      </c>
      <c r="J11" s="37" t="s">
        <v>707</v>
      </c>
    </row>
    <row r="12" spans="1:88">
      <c r="A12" t="s">
        <v>23</v>
      </c>
      <c r="B12" s="34" t="s">
        <v>35</v>
      </c>
      <c r="C12" s="937" t="str">
        <f t="shared" ca="1" si="0"/>
        <v>Stock initial à la ferme:Stock final à la ferme:Consommation de graines à la ferme directement:Consommation de graines pour la fabrication de produits alimentaires:Consommation de graines en alimentation humaine:Consommation de graines par la Trituration:Les issues de silo sont éliminées:Production de grignons d'olive:Consommation de grignons d'olive en alimentation animale:Consommation de graines pour la fabrication d'ingrédients:Production de coproduits de l'Amidonnerie:Production de coproduits de la Meunerie:Production de coproduits de la fabrication de MPV:Récolte:Autoconsommation à la ferme:Collecte:Stock initial collecteurs:Stock final collecteurs:Consommation de graines par la Trituration:Consommation de graines par les FAB:Production de semences certifiées:Récolte:Autoconsommation à la ferme:Collecte:Stock initial collecteurs:Stock final collecteurs:Consommation de graines par la Trituration:Consommation de graines par les FAB:Consommation de graines en alimentation humaine:Production de semences certifiées:Récolte:Autoconsommation à la ferme:Collecte:Stock initial collecteurs:Stock final collecteurs:Consommation de graines par la Trituration:Consommation de graines par les FAB:Consommation de graines en alimentation humaine:Production de semences certifiées:Récolte de pois (hors mélanges de pois):Autoconsommation à la ferme:Collecte:Stock initial collecteurs:Stock final collecteurs:Consommation de graines par les FAB:Consommation de graines en alimentation humaine:Production de semences certifiées:Récolte:Autoconsommation à la ferme:Collecte:Stock initial collecteurs:Stock final collecteurs:Consommation de graines par les FAB:Consommation de graines en alimentation humaine:Production de semences certifiées:Consommation de grains en Petfood:Ratio d'issues de silo:Part d'issues de silo consommées par les FAF:Part d'issues de silo consommées comme litière:Part d'issues de silo compostées:Part d'issues de silo consommées comme autres biomatériaux:Part d'issues de silo consommées en méthanisation:Part d'issues de silo brûlées:Part d'issues de silo éliminées:Ratio de pertes à la ferme:Part de semences fermières (par rapport aux semences certifiées):Importation de graines:Exportation de graines:Importation d'huile:Exportation d'huile:Importation de tourteaux:Exportation de tourteaux:Importation d'olives:Exportation d'olives:Importation d'huile d'olive:Exportation d'huile d'olive:Importation de grignons d'olive:Exportation de grignons d'olive:Importation d'olives de table:Exportation d'olives de table:Production d'huile brute:Production de tourteaux:Consommation de graines par la Trituration:Rendement de production d'huile brute:Rendement de production de tourteaux:Part de tourteaux consommés par les FAB:Consommation d'huile pour la fabrication de biodiesel:Consommation d'huile par les GMS:Récolte:Consommation d'olives par les moulins:Production d'huile d'olive:Consommation d'huile d'olive par les GMS:Consommation totale d'huile d'olive:Production d'olives de table:Consommation d'olives de table par les GMS:Consommation totale d'olives de table:Récolte:Collecte:Stock initial collecteurs:Stock final collecteurs:Production de semences certifiées:Consommation de graines par les FAB:Consommation de graines autoconsommées en hors FAB:Part de la collecte:Part du stock initial:Part du stock final:Part de la production de semences certifiées:Ecart statistique relatif:Consommation de produits alimentaires par les GMS (en volume de matière première):Consommation de produits alimentaires par les circuits spécialisés (en volume de matière première):Consommation de produits alimentaires par la RHD (en volume de matière première):Consommation de produits alimentaires par les autres IAA (en volume de matière première):Consommation de LS bruts par la RHD:Consommation de LS appertisés et surgelés par la RHD:Consommation de LS bruts par les ménages:Consommation de LS appertisés et surgelés par les ménages:Consommation de LS bruts par les autres IAA:Consommation de LS appertisés et surgelés par les autres IAA:Consommation d'eau pour la fabrication de produits appertisés:Part de consommation de produits alimentaires par les GMS (en volume de matière première):Part de consommation de produits alimentaires par les circuits spécialisés (en volume de matière première):Part de consommation de produits alimentaires par la RHD (en volume de matière première):Part de consommation de produits alimentaires par les autres IAA (en volume de matière première):Rendement de production d'amidon:Rendement de production de protéine:Rendement de production de farine:Rendement de production d'huile:Rendement de production de tourteau:Rendement de production de coques (+ eau):Part de la consommation des coques (+ eau) par les FAB:Part de la consommation des coques (+ eau) pour la combustion:Part de consommation d'huile par les ménages:Part de consommation d'huile par les autres IAA:Part de consommation d'huile par les autres industries:Part de consommation d'huile en biocarburants:Part de consommation d'huile en alimentation humaine:Part de consommation d'huile pour des usages non-alimentaires:Part de consommation de tourteaux en FAB:Part de consommation de tourteaux en hors FAB:Ecart statistique constaté dans les données collectées, demandant une réconciliation:Stock initial collecteurs:Stock final collecteurs:Production de semences certifiées:Part du stock initial:Part du stock final:Part de la production de semences certifiées:Part de semences fermières (par rapport aux semences certifiées):Part de tourteaux consommés par les FAB:Part d'issues de silo consommées par les FAF:Part d'issues de silo consommées comme litière:Part d'issues de silo compostées:Part d'issues de silo consommées comme autres biomatériaux:Part d'issues de silo consommées en méthanisation:Part d'issues de silo brûlées:Part de consommation d'huile en biocarburants:Part de la consommation des coques (+ eau) pour la combustion:Part de consommation d'huile par les ménages:Consommation de graines en alimentation humaine:Consommation de graines à la ferme directement:Consommation de LS bruts par les autres IAA:Consommation de LS appertisés et surgelés par les autres IAA</v>
      </c>
      <c r="G12" s="937" t="e" cm="1">
        <f t="array" aca="1" ref="G12" ca="1">IF(IF(INDIRECT("'"&amp;Etiquettes!G13&amp;"'"&amp;"!I1")=$A$12,_xlfn.TEXTJOIN(":",TRUE,_xlfn.UNIQUE(INDIRECT("'"&amp;Etiquettes!G13&amp;"'"&amp;"!I2:I1000"))),"")="0","",IF(INDIRECT("'"&amp;Etiquettes!G13&amp;"'"&amp;"!I1")=$A$12,_xlfn.TEXTJOIN(":",TRUE,_xlfn.UNIQUE(INDIRECT("'"&amp;Etiquettes!G13&amp;"'"&amp;"!I2:I1000"))),""))</f>
        <v>#REF!</v>
      </c>
      <c r="H12" s="937" t="str" cm="1">
        <f t="array" aca="1" ref="H12" ca="1">IF(IF(INDIRECT("'"&amp;Etiquettes!H13&amp;"'"&amp;"!I1")=$A$12,_xlfn.TEXTJOIN(":",TRUE,_xlfn.UNIQUE(INDIRECT("'"&amp;Etiquettes!H13&amp;"'"&amp;"!I2:I1000"))),"")="0","",IF(INDIRECT("'"&amp;Etiquettes!H13&amp;"'"&amp;"!I1")=$A$12,_xlfn.TEXTJOIN(":",TRUE,_xlfn.UNIQUE(INDIRECT("'"&amp;Etiquettes!H13&amp;"'"&amp;"!I2:I1000"))),""))</f>
        <v/>
      </c>
      <c r="I12" s="937" t="str" cm="1">
        <f t="array" aca="1" ref="I12" ca="1">IF(IF(INDIRECT("'"&amp;Etiquettes!I13&amp;"'"&amp;"!I1")=$A$12,_xlfn.TEXTJOIN(":",TRUE,_xlfn.UNIQUE(INDIRECT("'"&amp;Etiquettes!I13&amp;"'"&amp;"!I2:I1000"))),"")="0","",IF(INDIRECT("'"&amp;Etiquettes!I13&amp;"'"&amp;"!I1")=$A$12,_xlfn.TEXTJOIN(":",TRUE,_xlfn.UNIQUE(INDIRECT("'"&amp;Etiquettes!I13&amp;"'"&amp;"!I2:I1000"))),""))</f>
        <v/>
      </c>
      <c r="J12" s="937" t="str" cm="1">
        <f t="array" aca="1" ref="J12" ca="1">IF(IF(INDIRECT("'"&amp;Etiquettes!J13&amp;"'"&amp;"!I1")=$A$12,_xlfn.TEXTJOIN(":",TRUE,_xlfn.UNIQUE(INDIRECT("'"&amp;Etiquettes!J13&amp;"'"&amp;"!I2:I1000"))),"")="0","",IF(INDIRECT("'"&amp;Etiquettes!J13&amp;"'"&amp;"!I1")=$A$12,_xlfn.TEXTJOIN(":",TRUE,_xlfn.UNIQUE(INDIRECT("'"&amp;Etiquettes!J13&amp;"'"&amp;"!I2:I1000"))),""))</f>
        <v/>
      </c>
      <c r="K12" s="937" t="str" cm="1">
        <f t="array" aca="1" ref="K12" ca="1">IF(IF(INDIRECT("'"&amp;Etiquettes!K13&amp;"'"&amp;"!I1")=$A$12,_xlfn.TEXTJOIN(":",TRUE,_xlfn.UNIQUE(INDIRECT("'"&amp;Etiquettes!K13&amp;"'"&amp;"!I2:I1000"))),"")="0","",IF(INDIRECT("'"&amp;Etiquettes!K13&amp;"'"&amp;"!I1")=$A$12,_xlfn.TEXTJOIN(":",TRUE,_xlfn.UNIQUE(INDIRECT("'"&amp;Etiquettes!K13&amp;"'"&amp;"!I2:I1000"))),""))</f>
        <v/>
      </c>
      <c r="L12" s="937" t="str" cm="1">
        <f t="array" aca="1" ref="L12" ca="1">IF(IF(INDIRECT("'"&amp;Etiquettes!L13&amp;"'"&amp;"!I1")=$A$12,_xlfn.TEXTJOIN(":",TRUE,_xlfn.UNIQUE(INDIRECT("'"&amp;Etiquettes!L13&amp;"'"&amp;"!I2:I1000"))),"")="0","",IF(INDIRECT("'"&amp;Etiquettes!L13&amp;"'"&amp;"!I1")=$A$12,_xlfn.TEXTJOIN(":",TRUE,_xlfn.UNIQUE(INDIRECT("'"&amp;Etiquettes!L13&amp;"'"&amp;"!I2:I1000"))),""))</f>
        <v/>
      </c>
      <c r="M12" s="937" t="str" cm="1">
        <f t="array" aca="1" ref="M12" ca="1">IF(IF(INDIRECT("'"&amp;Etiquettes!M13&amp;"'"&amp;"!I1")=$A$12,_xlfn.TEXTJOIN(":",TRUE,_xlfn.UNIQUE(INDIRECT("'"&amp;Etiquettes!M13&amp;"'"&amp;"!I2:I1000"))),"")="0","",IF(INDIRECT("'"&amp;Etiquettes!M13&amp;"'"&amp;"!I1")=$A$12,_xlfn.TEXTJOIN(":",TRUE,_xlfn.UNIQUE(INDIRECT("'"&amp;Etiquettes!M13&amp;"'"&amp;"!I2:I1000"))),""))</f>
        <v/>
      </c>
      <c r="N12" s="937" t="str" cm="1">
        <f t="array" aca="1" ref="N12" ca="1">IF(IF(INDIRECT("'"&amp;Etiquettes!N13&amp;"'"&amp;"!I1")=$A$12,_xlfn.TEXTJOIN(":",TRUE,_xlfn.UNIQUE(INDIRECT("'"&amp;Etiquettes!N13&amp;"'"&amp;"!I2:I1000"))),"")="0","",IF(INDIRECT("'"&amp;Etiquettes!N13&amp;"'"&amp;"!I1")=$A$12,_xlfn.TEXTJOIN(":",TRUE,_xlfn.UNIQUE(INDIRECT("'"&amp;Etiquettes!N13&amp;"'"&amp;"!I2:I1000"))),""))</f>
        <v>Stock initial à la ferme:Stock final à la ferme:Consommation de graines à la ferme directement:Consommation de graines pour la fabrication de produits alimentaires:Consommation de graines en alimentation humaine:Consommation de graines par la Trituration:Les issues de silo sont éliminées:Production de grignons d'olive:Consommation de grignons d'olive en alimentation animale:Consommation de graines pour la fabrication d'ingrédients:Production de coproduits de l'Amidonnerie:Production de coproduits de la Meunerie:Production de coproduits de la fabrication de MPV</v>
      </c>
      <c r="O12" s="937" t="str" cm="1">
        <f t="array" aca="1" ref="O12" ca="1">IF(IF(INDIRECT("'"&amp;Etiquettes!O13&amp;"'"&amp;"!I1")=$A$12,_xlfn.TEXTJOIN(":",TRUE,_xlfn.UNIQUE(INDIRECT("'"&amp;Etiquettes!O13&amp;"'"&amp;"!I2:I1000"))),"")="0","",IF(INDIRECT("'"&amp;Etiquettes!O13&amp;"'"&amp;"!I1")=$A$12,_xlfn.TEXTJOIN(":",TRUE,_xlfn.UNIQUE(INDIRECT("'"&amp;Etiquettes!O13&amp;"'"&amp;"!I2:I1000"))),""))</f>
        <v/>
      </c>
      <c r="P12" s="937" t="str" cm="1">
        <f t="array" aca="1" ref="P12" ca="1">IF(IF(INDIRECT("'"&amp;Etiquettes!P13&amp;"'"&amp;"!I1")=$A$12,_xlfn.TEXTJOIN(":",TRUE,_xlfn.UNIQUE(INDIRECT("'"&amp;Etiquettes!P13&amp;"'"&amp;"!I2:I1000"))),"")="0","",IF(INDIRECT("'"&amp;Etiquettes!P13&amp;"'"&amp;"!I1")=$A$12,_xlfn.TEXTJOIN(":",TRUE,_xlfn.UNIQUE(INDIRECT("'"&amp;Etiquettes!P13&amp;"'"&amp;"!I2:I1000"))),""))</f>
        <v>Récolte:Autoconsommation à la ferme:Collecte:Stock initial collecteurs:Stock final collecteurs:Consommation de graines par la Trituration:Consommation de graines par les FAB:Production de semences certifiées</v>
      </c>
      <c r="Q12" s="937" t="str" cm="1">
        <f t="array" aca="1" ref="Q12" ca="1">IF(IF(INDIRECT("'"&amp;Etiquettes!Q13&amp;"'"&amp;"!I1")=$A$12,_xlfn.TEXTJOIN(":",TRUE,_xlfn.UNIQUE(INDIRECT("'"&amp;Etiquettes!Q13&amp;"'"&amp;"!I2:I1000"))),"")="0","",IF(INDIRECT("'"&amp;Etiquettes!Q13&amp;"'"&amp;"!I1")=$A$12,_xlfn.TEXTJOIN(":",TRUE,_xlfn.UNIQUE(INDIRECT("'"&amp;Etiquettes!Q13&amp;"'"&amp;"!I2:I1000"))),""))</f>
        <v/>
      </c>
      <c r="R12" s="937" t="str" cm="1">
        <f t="array" aca="1" ref="R12" ca="1">IF(IF(INDIRECT("'"&amp;Etiquettes!R13&amp;"'"&amp;"!I1")=$A$12,_xlfn.TEXTJOIN(":",TRUE,_xlfn.UNIQUE(INDIRECT("'"&amp;Etiquettes!R13&amp;"'"&amp;"!I2:I1000"))),"")="0","",IF(INDIRECT("'"&amp;Etiquettes!R13&amp;"'"&amp;"!I1")=$A$12,_xlfn.TEXTJOIN(":",TRUE,_xlfn.UNIQUE(INDIRECT("'"&amp;Etiquettes!R13&amp;"'"&amp;"!I2:I1000"))),""))</f>
        <v>Récolte:Autoconsommation à la ferme:Collecte:Stock initial collecteurs:Stock final collecteurs:Consommation de graines par la Trituration:Consommation de graines par les FAB:Consommation de graines en alimentation humaine:Production de semences certifiées</v>
      </c>
      <c r="S12" s="937" t="str" cm="1">
        <f t="array" aca="1" ref="S12" ca="1">IF(IF(INDIRECT("'"&amp;Etiquettes!S13&amp;"'"&amp;"!I1")=$A$12,_xlfn.TEXTJOIN(":",TRUE,_xlfn.UNIQUE(INDIRECT("'"&amp;Etiquettes!S13&amp;"'"&amp;"!I2:I1000"))),"")="0","",IF(INDIRECT("'"&amp;Etiquettes!S13&amp;"'"&amp;"!I1")=$A$12,_xlfn.TEXTJOIN(":",TRUE,_xlfn.UNIQUE(INDIRECT("'"&amp;Etiquettes!S13&amp;"'"&amp;"!I2:I1000"))),""))</f>
        <v/>
      </c>
      <c r="T12" s="937" t="str" cm="1">
        <f t="array" aca="1" ref="T12" ca="1">IF(IF(INDIRECT("'"&amp;Etiquettes!T13&amp;"'"&amp;"!I1")=$A$12,_xlfn.TEXTJOIN(":",TRUE,_xlfn.UNIQUE(INDIRECT("'"&amp;Etiquettes!T13&amp;"'"&amp;"!I2:I1000"))),"")="0","",IF(INDIRECT("'"&amp;Etiquettes!T13&amp;"'"&amp;"!I1")=$A$12,_xlfn.TEXTJOIN(":",TRUE,_xlfn.UNIQUE(INDIRECT("'"&amp;Etiquettes!T13&amp;"'"&amp;"!I2:I1000"))),""))</f>
        <v>Récolte:Autoconsommation à la ferme:Collecte:Stock initial collecteurs:Stock final collecteurs:Consommation de graines par la Trituration:Consommation de graines par les FAB:Consommation de graines en alimentation humaine:Production de semences certifiées</v>
      </c>
      <c r="U12" s="937" t="str" cm="1">
        <f t="array" aca="1" ref="U12" ca="1">IF(IF(INDIRECT("'"&amp;Etiquettes!U13&amp;"'"&amp;"!I1")=$A$12,_xlfn.TEXTJOIN(":",TRUE,_xlfn.UNIQUE(INDIRECT("'"&amp;Etiquettes!U13&amp;"'"&amp;"!I2:I1000"))),"")="0","",IF(INDIRECT("'"&amp;Etiquettes!U13&amp;"'"&amp;"!I1")=$A$12,_xlfn.TEXTJOIN(":",TRUE,_xlfn.UNIQUE(INDIRECT("'"&amp;Etiquettes!U13&amp;"'"&amp;"!I2:I1000"))),""))</f>
        <v/>
      </c>
      <c r="V12" s="937" t="str" cm="1">
        <f t="array" aca="1" ref="V12" ca="1">IF(IF(INDIRECT("'"&amp;Etiquettes!V13&amp;"'"&amp;"!I1")=$A$12,_xlfn.TEXTJOIN(":",TRUE,_xlfn.UNIQUE(INDIRECT("'"&amp;Etiquettes!V13&amp;"'"&amp;"!I2:I1000"))),"")="0","",IF(INDIRECT("'"&amp;Etiquettes!V13&amp;"'"&amp;"!I1")=$A$12,_xlfn.TEXTJOIN(":",TRUE,_xlfn.UNIQUE(INDIRECT("'"&amp;Etiquettes!V13&amp;"'"&amp;"!I2:I1000"))),""))</f>
        <v>Récolte de pois (hors mélanges de pois):Autoconsommation à la ferme:Collecte:Stock initial collecteurs:Stock final collecteurs:Consommation de graines par les FAB:Consommation de graines en alimentation humaine:Production de semences certifiées</v>
      </c>
      <c r="W12" s="937" t="str" cm="1">
        <f t="array" aca="1" ref="W12" ca="1">IF(IF(INDIRECT("'"&amp;Etiquettes!W13&amp;"'"&amp;"!I1")=$A$12,_xlfn.TEXTJOIN(":",TRUE,_xlfn.UNIQUE(INDIRECT("'"&amp;Etiquettes!W13&amp;"'"&amp;"!I2:I1000"))),"")="0","",IF(INDIRECT("'"&amp;Etiquettes!W13&amp;"'"&amp;"!I1")=$A$12,_xlfn.TEXTJOIN(":",TRUE,_xlfn.UNIQUE(INDIRECT("'"&amp;Etiquettes!W13&amp;"'"&amp;"!I2:I1000"))),""))</f>
        <v/>
      </c>
      <c r="X12" s="937" t="str" cm="1">
        <f t="array" aca="1" ref="X12" ca="1">IF(IF(INDIRECT("'"&amp;Etiquettes!X13&amp;"'"&amp;"!I1")=$A$12,_xlfn.TEXTJOIN(":",TRUE,_xlfn.UNIQUE(INDIRECT("'"&amp;Etiquettes!X13&amp;"'"&amp;"!I2:I1000"))),"")="0","",IF(INDIRECT("'"&amp;Etiquettes!X13&amp;"'"&amp;"!I1")=$A$12,_xlfn.TEXTJOIN(":",TRUE,_xlfn.UNIQUE(INDIRECT("'"&amp;Etiquettes!X13&amp;"'"&amp;"!I2:I1000"))),""))</f>
        <v>Récolte:Autoconsommation à la ferme:Collecte:Stock initial collecteurs:Stock final collecteurs:Consommation de graines par les FAB:Consommation de graines en alimentation humaine:Production de semences certifiées:Consommation de grains en Petfood</v>
      </c>
      <c r="Y12" s="937" t="str" cm="1">
        <f t="array" aca="1" ref="Y12" ca="1">IF(IF(INDIRECT("'"&amp;Etiquettes!Y13&amp;"'"&amp;"!I1")=$A$12,_xlfn.TEXTJOIN(":",TRUE,_xlfn.UNIQUE(INDIRECT("'"&amp;Etiquettes!Y13&amp;"'"&amp;"!I2:I1000"))),"")="0","",IF(INDIRECT("'"&amp;Etiquettes!Y13&amp;"'"&amp;"!I1")=$A$12,_xlfn.TEXTJOIN(":",TRUE,_xlfn.UNIQUE(INDIRECT("'"&amp;Etiquettes!Y13&amp;"'"&amp;"!I2:I1000"))),""))</f>
        <v/>
      </c>
      <c r="Z12" s="937" t="str" cm="1">
        <f t="array" aca="1" ref="Z12" ca="1">IF(IF(INDIRECT("'"&amp;Etiquettes!Z13&amp;"'"&amp;"!I1")=$A$12,_xlfn.TEXTJOIN(":",TRUE,_xlfn.UNIQUE(INDIRECT("'"&amp;Etiquettes!Z13&amp;"'"&amp;"!I2:I1000"))),"")="0","",IF(INDIRECT("'"&amp;Etiquettes!Z13&amp;"'"&amp;"!I1")=$A$12,_xlfn.TEXTJOIN(":",TRUE,_xlfn.UNIQUE(INDIRECT("'"&amp;Etiquettes!Z13&amp;"'"&amp;"!I2:I1000"))),""))</f>
        <v/>
      </c>
      <c r="AA12" s="937" t="str" cm="1">
        <f t="array" aca="1" ref="AA12" ca="1">IF(IF(INDIRECT("'"&amp;Etiquettes!AA13&amp;"'"&amp;"!I1")=$A$12,_xlfn.TEXTJOIN(":",TRUE,_xlfn.UNIQUE(INDIRECT("'"&amp;Etiquettes!AA13&amp;"'"&amp;"!I2:I1000"))),"")="0","",IF(INDIRECT("'"&amp;Etiquettes!AA13&amp;"'"&amp;"!I1")=$A$12,_xlfn.TEXTJOIN(":",TRUE,_xlfn.UNIQUE(INDIRECT("'"&amp;Etiquettes!AA13&amp;"'"&amp;"!I2:I1000"))),""))</f>
        <v>Ratio d'issues de silo:Part d'issues de silo consommées par les FAF:Part d'issues de silo consommées comme litière:Part d'issues de silo compostées:Part d'issues de silo consommées comme autres biomatériaux:Part d'issues de silo consommées en méthanisation:Part d'issues de silo brûlées:Part d'issues de silo éliminées</v>
      </c>
      <c r="AB12" s="937" t="str" cm="1">
        <f t="array" aca="1" ref="AB12" ca="1">IF(IF(INDIRECT("'"&amp;Etiquettes!AB13&amp;"'"&amp;"!I1")=$A$12,_xlfn.TEXTJOIN(":",TRUE,_xlfn.UNIQUE(INDIRECT("'"&amp;Etiquettes!AB13&amp;"'"&amp;"!I2:I1000"))),"")="0","",IF(INDIRECT("'"&amp;Etiquettes!AB13&amp;"'"&amp;"!I1")=$A$12,_xlfn.TEXTJOIN(":",TRUE,_xlfn.UNIQUE(INDIRECT("'"&amp;Etiquettes!AB13&amp;"'"&amp;"!I2:I1000"))),""))</f>
        <v/>
      </c>
      <c r="AC12" s="937" t="str" cm="1">
        <f t="array" aca="1" ref="AC12" ca="1">IF(IF(INDIRECT("'"&amp;Etiquettes!AC13&amp;"'"&amp;"!I1")=$A$12,_xlfn.TEXTJOIN(":",TRUE,_xlfn.UNIQUE(INDIRECT("'"&amp;Etiquettes!AC13&amp;"'"&amp;"!I2:I1000"))),"")="0","",IF(INDIRECT("'"&amp;Etiquettes!AC13&amp;"'"&amp;"!I1")=$A$12,_xlfn.TEXTJOIN(":",TRUE,_xlfn.UNIQUE(INDIRECT("'"&amp;Etiquettes!AC13&amp;"'"&amp;"!I2:I1000"))),""))</f>
        <v/>
      </c>
      <c r="AD12" s="937" t="str" cm="1">
        <f t="array" aca="1" ref="AD12" ca="1">IF(IF(INDIRECT("'"&amp;Etiquettes!AD13&amp;"'"&amp;"!I1")=$A$12,_xlfn.TEXTJOIN(":",TRUE,_xlfn.UNIQUE(INDIRECT("'"&amp;Etiquettes!AD13&amp;"'"&amp;"!I2:I1000"))),"")="0","",IF(INDIRECT("'"&amp;Etiquettes!AD13&amp;"'"&amp;"!I1")=$A$12,_xlfn.TEXTJOIN(":",TRUE,_xlfn.UNIQUE(INDIRECT("'"&amp;Etiquettes!AD13&amp;"'"&amp;"!I2:I1000"))),""))</f>
        <v>Ratio de pertes à la ferme</v>
      </c>
      <c r="AE12" s="937" t="str" cm="1">
        <f t="array" aca="1" ref="AE12" ca="1">IF(IF(INDIRECT("'"&amp;Etiquettes!AE13&amp;"'"&amp;"!I1")=$A$12,_xlfn.TEXTJOIN(":",TRUE,_xlfn.UNIQUE(INDIRECT("'"&amp;Etiquettes!AE13&amp;"'"&amp;"!I2:I1000"))),"")="0","",IF(INDIRECT("'"&amp;Etiquettes!AE13&amp;"'"&amp;"!I1")=$A$12,_xlfn.TEXTJOIN(":",TRUE,_xlfn.UNIQUE(INDIRECT("'"&amp;Etiquettes!AE13&amp;"'"&amp;"!I2:I1000"))),""))</f>
        <v/>
      </c>
      <c r="AF12" s="937" t="str" cm="1">
        <f t="array" aca="1" ref="AF12" ca="1">IF(IF(INDIRECT("'"&amp;Etiquettes!AF13&amp;"'"&amp;"!I1")=$A$12,_xlfn.TEXTJOIN(":",TRUE,_xlfn.UNIQUE(INDIRECT("'"&amp;Etiquettes!AF13&amp;"'"&amp;"!I2:I1000"))),"")="0","",IF(INDIRECT("'"&amp;Etiquettes!AF13&amp;"'"&amp;"!I1")=$A$12,_xlfn.TEXTJOIN(":",TRUE,_xlfn.UNIQUE(INDIRECT("'"&amp;Etiquettes!AF13&amp;"'"&amp;"!I2:I1000"))),""))</f>
        <v/>
      </c>
      <c r="AG12" s="937" t="str" cm="1">
        <f t="array" aca="1" ref="AG12" ca="1">IF(IF(INDIRECT("'"&amp;Etiquettes!AG13&amp;"'"&amp;"!I1")=$A$12,_xlfn.TEXTJOIN(":",TRUE,_xlfn.UNIQUE(INDIRECT("'"&amp;Etiquettes!AG13&amp;"'"&amp;"!I2:I1000"))),"")="0","",IF(INDIRECT("'"&amp;Etiquettes!AG13&amp;"'"&amp;"!I1")=$A$12,_xlfn.TEXTJOIN(":",TRUE,_xlfn.UNIQUE(INDIRECT("'"&amp;Etiquettes!AG13&amp;"'"&amp;"!I2:I1000"))),""))</f>
        <v>Part de semences fermières (par rapport aux semences certifiées)</v>
      </c>
      <c r="AH12" s="937" t="str" cm="1">
        <f t="array" aca="1" ref="AH12" ca="1">IF(IF(INDIRECT("'"&amp;Etiquettes!AH13&amp;"'"&amp;"!I1")=$A$12,_xlfn.TEXTJOIN(":",TRUE,_xlfn.UNIQUE(INDIRECT("'"&amp;Etiquettes!AH13&amp;"'"&amp;"!I2:I1000"))),"")="0","",IF(INDIRECT("'"&amp;Etiquettes!AH13&amp;"'"&amp;"!I1")=$A$12,_xlfn.TEXTJOIN(":",TRUE,_xlfn.UNIQUE(INDIRECT("'"&amp;Etiquettes!AH13&amp;"'"&amp;"!I2:I1000"))),""))</f>
        <v/>
      </c>
      <c r="AI12" s="937" t="str" cm="1">
        <f t="array" aca="1" ref="AI12" ca="1">IF(IF(INDIRECT("'"&amp;Etiquettes!AI13&amp;"'"&amp;"!I1")=$A$12,_xlfn.TEXTJOIN(":",TRUE,_xlfn.UNIQUE(INDIRECT("'"&amp;Etiquettes!AI13&amp;"'"&amp;"!I2:I1000"))),"")="0","",IF(INDIRECT("'"&amp;Etiquettes!AI13&amp;"'"&amp;"!I1")=$A$12,_xlfn.TEXTJOIN(":",TRUE,_xlfn.UNIQUE(INDIRECT("'"&amp;Etiquettes!AI13&amp;"'"&amp;"!I2:I1000"))),""))</f>
        <v/>
      </c>
      <c r="AJ12" s="937" t="str" cm="1">
        <f t="array" aca="1" ref="AJ12" ca="1">IF(IF(INDIRECT("'"&amp;Etiquettes!AJ13&amp;"'"&amp;"!I1")=$A$12,_xlfn.TEXTJOIN(":",TRUE,_xlfn.UNIQUE(INDIRECT("'"&amp;Etiquettes!AJ13&amp;"'"&amp;"!I2:I1000"))),"")="0","",IF(INDIRECT("'"&amp;Etiquettes!AJ13&amp;"'"&amp;"!I1")=$A$12,_xlfn.TEXTJOIN(":",TRUE,_xlfn.UNIQUE(INDIRECT("'"&amp;Etiquettes!AJ13&amp;"'"&amp;"!I2:I1000"))),""))</f>
        <v>Importation de graines:Exportation de graines:Importation d'huile:Exportation d'huile:Importation de tourteaux:Exportation de tourteaux:Importation d'olives:Exportation d'olives:Importation d'huile d'olive:Exportation d'huile d'olive:Importation de grignons d'olive:Exportation de grignons d'olive:Importation d'olives de table:Exportation d'olives de table</v>
      </c>
      <c r="AK12" s="937" t="str" cm="1">
        <f t="array" aca="1" ref="AK12" ca="1">IF(IF(INDIRECT("'"&amp;Etiquettes!AK13&amp;"'"&amp;"!I1")=$A$12,_xlfn.TEXTJOIN(":",TRUE,_xlfn.UNIQUE(INDIRECT("'"&amp;Etiquettes!AK13&amp;"'"&amp;"!I2:I1000"))),"")="0","",IF(INDIRECT("'"&amp;Etiquettes!AK13&amp;"'"&amp;"!I1")=$A$12,_xlfn.TEXTJOIN(":",TRUE,_xlfn.UNIQUE(INDIRECT("'"&amp;Etiquettes!AK13&amp;"'"&amp;"!I2:I1000"))),""))</f>
        <v/>
      </c>
      <c r="AL12" s="937" t="str" cm="1">
        <f t="array" aca="1" ref="AL12" ca="1">IF(IF(INDIRECT("'"&amp;Etiquettes!AL13&amp;"'"&amp;"!I1")=$A$12,_xlfn.TEXTJOIN(":",TRUE,_xlfn.UNIQUE(INDIRECT("'"&amp;Etiquettes!AL13&amp;"'"&amp;"!I2:I1000"))),"")="0","",IF(INDIRECT("'"&amp;Etiquettes!AL13&amp;"'"&amp;"!I1")=$A$12,_xlfn.TEXTJOIN(":",TRUE,_xlfn.UNIQUE(INDIRECT("'"&amp;Etiquettes!AL13&amp;"'"&amp;"!I2:I1000"))),""))</f>
        <v/>
      </c>
      <c r="AM12" s="937" t="str" cm="1">
        <f t="array" aca="1" ref="AM12" ca="1">IF(IF(INDIRECT("'"&amp;Etiquettes!AM13&amp;"'"&amp;"!I1")=$A$12,_xlfn.TEXTJOIN(":",TRUE,_xlfn.UNIQUE(INDIRECT("'"&amp;Etiquettes!AM13&amp;"'"&amp;"!I2:I1000"))),"")="0","",IF(INDIRECT("'"&amp;Etiquettes!AM13&amp;"'"&amp;"!I1")=$A$12,_xlfn.TEXTJOIN(":",TRUE,_xlfn.UNIQUE(INDIRECT("'"&amp;Etiquettes!AM13&amp;"'"&amp;"!I2:I1000"))),""))</f>
        <v/>
      </c>
      <c r="AN12" s="937" t="str" cm="1">
        <f t="array" aca="1" ref="AN12" ca="1">IF(IF(INDIRECT("'"&amp;Etiquettes!AN13&amp;"'"&amp;"!I1")=$A$12,_xlfn.TEXTJOIN(":",TRUE,_xlfn.UNIQUE(INDIRECT("'"&amp;Etiquettes!AN13&amp;"'"&amp;"!I2:I1000"))),"")="0","",IF(INDIRECT("'"&amp;Etiquettes!AN13&amp;"'"&amp;"!I1")=$A$12,_xlfn.TEXTJOIN(":",TRUE,_xlfn.UNIQUE(INDIRECT("'"&amp;Etiquettes!AN13&amp;"'"&amp;"!I2:I1000"))),""))</f>
        <v>Production d'huile brute:Production de tourteaux:Consommation de graines par la Trituration</v>
      </c>
      <c r="AO12" s="937" t="str" cm="1">
        <f t="array" aca="1" ref="AO12" ca="1">IF(IF(INDIRECT("'"&amp;Etiquettes!AO13&amp;"'"&amp;"!I1")=$A$12,_xlfn.TEXTJOIN(":",TRUE,_xlfn.UNIQUE(INDIRECT("'"&amp;Etiquettes!AO13&amp;"'"&amp;"!I2:I1000"))),"")="0","",IF(INDIRECT("'"&amp;Etiquettes!AO13&amp;"'"&amp;"!I1")=$A$12,_xlfn.TEXTJOIN(":",TRUE,_xlfn.UNIQUE(INDIRECT("'"&amp;Etiquettes!AO13&amp;"'"&amp;"!I2:I1000"))),""))</f>
        <v/>
      </c>
      <c r="AP12" s="937" t="str" cm="1">
        <f t="array" aca="1" ref="AP12" ca="1">IF(IF(INDIRECT("'"&amp;Etiquettes!AP13&amp;"'"&amp;"!I1")=$A$12,_xlfn.TEXTJOIN(":",TRUE,_xlfn.UNIQUE(INDIRECT("'"&amp;Etiquettes!AP13&amp;"'"&amp;"!I2:I1000"))),"")="0","",IF(INDIRECT("'"&amp;Etiquettes!AP13&amp;"'"&amp;"!I1")=$A$12,_xlfn.TEXTJOIN(":",TRUE,_xlfn.UNIQUE(INDIRECT("'"&amp;Etiquettes!AP13&amp;"'"&amp;"!I2:I1000"))),""))</f>
        <v>Rendement de production d'huile brute:Rendement de production de tourteaux</v>
      </c>
      <c r="AQ12" s="937" t="str" cm="1">
        <f t="array" aca="1" ref="AQ12" ca="1">IF(IF(INDIRECT("'"&amp;Etiquettes!AQ13&amp;"'"&amp;"!I1")=$A$12,_xlfn.TEXTJOIN(":",TRUE,_xlfn.UNIQUE(INDIRECT("'"&amp;Etiquettes!AQ13&amp;"'"&amp;"!I2:I1000"))),"")="0","",IF(INDIRECT("'"&amp;Etiquettes!AQ13&amp;"'"&amp;"!I1")=$A$12,_xlfn.TEXTJOIN(":",TRUE,_xlfn.UNIQUE(INDIRECT("'"&amp;Etiquettes!AQ13&amp;"'"&amp;"!I2:I1000"))),""))</f>
        <v/>
      </c>
      <c r="AR12" s="937" t="str" cm="1">
        <f t="array" aca="1" ref="AR12" ca="1">IF(IF(INDIRECT("'"&amp;Etiquettes!AR13&amp;"'"&amp;"!I1")=$A$12,_xlfn.TEXTJOIN(":",TRUE,_xlfn.UNIQUE(INDIRECT("'"&amp;Etiquettes!AR13&amp;"'"&amp;"!I2:I1000"))),"")="0","",IF(INDIRECT("'"&amp;Etiquettes!AR13&amp;"'"&amp;"!I1")=$A$12,_xlfn.TEXTJOIN(":",TRUE,_xlfn.UNIQUE(INDIRECT("'"&amp;Etiquettes!AR13&amp;"'"&amp;"!I2:I1000"))),""))</f>
        <v/>
      </c>
      <c r="AS12" s="937" t="str" cm="1">
        <f t="array" aca="1" ref="AS12" ca="1">IF(IF(INDIRECT("'"&amp;Etiquettes!AS13&amp;"'"&amp;"!I1")=$A$12,_xlfn.TEXTJOIN(":",TRUE,_xlfn.UNIQUE(INDIRECT("'"&amp;Etiquettes!AS13&amp;"'"&amp;"!I2:I1000"))),"")="0","",IF(INDIRECT("'"&amp;Etiquettes!AS13&amp;"'"&amp;"!I1")=$A$12,_xlfn.TEXTJOIN(":",TRUE,_xlfn.UNIQUE(INDIRECT("'"&amp;Etiquettes!AS13&amp;"'"&amp;"!I2:I1000"))),""))</f>
        <v>Part de tourteaux consommés par les FAB</v>
      </c>
      <c r="AT12" s="937" t="str" cm="1">
        <f t="array" aca="1" ref="AT12" ca="1">IF(IF(INDIRECT("'"&amp;Etiquettes!AT13&amp;"'"&amp;"!I1")=$A$12,_xlfn.TEXTJOIN(":",TRUE,_xlfn.UNIQUE(INDIRECT("'"&amp;Etiquettes!AT13&amp;"'"&amp;"!I2:I1000"))),"")="0","",IF(INDIRECT("'"&amp;Etiquettes!AT13&amp;"'"&amp;"!I1")=$A$12,_xlfn.TEXTJOIN(":",TRUE,_xlfn.UNIQUE(INDIRECT("'"&amp;Etiquettes!AT13&amp;"'"&amp;"!I2:I1000"))),""))</f>
        <v/>
      </c>
      <c r="AU12" s="937" t="str" cm="1">
        <f t="array" aca="1" ref="AU12" ca="1">IF(IF(INDIRECT("'"&amp;Etiquettes!AU13&amp;"'"&amp;"!I1")=$A$12,_xlfn.TEXTJOIN(":",TRUE,_xlfn.UNIQUE(INDIRECT("'"&amp;Etiquettes!AU13&amp;"'"&amp;"!I2:I1000"))),"")="0","",IF(INDIRECT("'"&amp;Etiquettes!AU13&amp;"'"&amp;"!I1")=$A$12,_xlfn.TEXTJOIN(":",TRUE,_xlfn.UNIQUE(INDIRECT("'"&amp;Etiquettes!AU13&amp;"'"&amp;"!I2:I1000"))),""))</f>
        <v>Consommation d'huile pour la fabrication de biodiesel</v>
      </c>
      <c r="AV12" s="937" t="str" cm="1">
        <f t="array" aca="1" ref="AV12" ca="1">IF(IF(INDIRECT("'"&amp;Etiquettes!AV13&amp;"'"&amp;"!I1")=$A$12,_xlfn.TEXTJOIN(":",TRUE,_xlfn.UNIQUE(INDIRECT("'"&amp;Etiquettes!AV13&amp;"'"&amp;"!I2:I1000"))),"")="0","",IF(INDIRECT("'"&amp;Etiquettes!AV13&amp;"'"&amp;"!I1")=$A$12,_xlfn.TEXTJOIN(":",TRUE,_xlfn.UNIQUE(INDIRECT("'"&amp;Etiquettes!AV13&amp;"'"&amp;"!I2:I1000"))),""))</f>
        <v/>
      </c>
      <c r="AW12" s="937" t="str" cm="1">
        <f t="array" aca="1" ref="AW12" ca="1">IF(IF(INDIRECT("'"&amp;Etiquettes!AW13&amp;"'"&amp;"!I1")=$A$12,_xlfn.TEXTJOIN(":",TRUE,_xlfn.UNIQUE(INDIRECT("'"&amp;Etiquettes!AW13&amp;"'"&amp;"!I2:I1000"))),"")="0","",IF(INDIRECT("'"&amp;Etiquettes!AW13&amp;"'"&amp;"!I1")=$A$12,_xlfn.TEXTJOIN(":",TRUE,_xlfn.UNIQUE(INDIRECT("'"&amp;Etiquettes!AW13&amp;"'"&amp;"!I2:I1000"))),""))</f>
        <v>Consommation d'huile par les GMS</v>
      </c>
      <c r="AX12" s="937" t="str" cm="1">
        <f t="array" aca="1" ref="AX12" ca="1">IF(IF(INDIRECT("'"&amp;Etiquettes!AX13&amp;"'"&amp;"!I1")=$A$12,_xlfn.TEXTJOIN(":",TRUE,_xlfn.UNIQUE(INDIRECT("'"&amp;Etiquettes!AX13&amp;"'"&amp;"!I2:I1000"))),"")="0","",IF(INDIRECT("'"&amp;Etiquettes!AX13&amp;"'"&amp;"!I1")=$A$12,_xlfn.TEXTJOIN(":",TRUE,_xlfn.UNIQUE(INDIRECT("'"&amp;Etiquettes!AX13&amp;"'"&amp;"!I2:I1000"))),""))</f>
        <v/>
      </c>
      <c r="AY12" s="937" t="str" cm="1">
        <f t="array" aca="1" ref="AY12" ca="1">IF(IF(INDIRECT("'"&amp;Etiquettes!AY13&amp;"'"&amp;"!I1")=$A$12,_xlfn.TEXTJOIN(":",TRUE,_xlfn.UNIQUE(INDIRECT("'"&amp;Etiquettes!AY13&amp;"'"&amp;"!I2:I1000"))),"")="0","",IF(INDIRECT("'"&amp;Etiquettes!AY13&amp;"'"&amp;"!I1")=$A$12,_xlfn.TEXTJOIN(":",TRUE,_xlfn.UNIQUE(INDIRECT("'"&amp;Etiquettes!AY13&amp;"'"&amp;"!I2:I1000"))),""))</f>
        <v>Récolte:Consommation d'olives par les moulins:Production d'huile d'olive:Consommation d'huile d'olive par les GMS:Consommation totale d'huile d'olive:Production d'olives de table:Consommation d'olives de table par les GMS:Consommation totale d'olives de table</v>
      </c>
      <c r="AZ12" s="937" t="str" cm="1">
        <f t="array" aca="1" ref="AZ12" ca="1">IF(IF(INDIRECT("'"&amp;Etiquettes!AZ13&amp;"'"&amp;"!I1")=$A$12,_xlfn.TEXTJOIN(":",TRUE,_xlfn.UNIQUE(INDIRECT("'"&amp;Etiquettes!AZ13&amp;"'"&amp;"!I2:I1000"))),"")="0","",IF(INDIRECT("'"&amp;Etiquettes!AZ13&amp;"'"&amp;"!I1")=$A$12,_xlfn.TEXTJOIN(":",TRUE,_xlfn.UNIQUE(INDIRECT("'"&amp;Etiquettes!AZ13&amp;"'"&amp;"!I2:I1000"))),""))</f>
        <v/>
      </c>
      <c r="BA12" s="937" t="str" cm="1">
        <f t="array" aca="1" ref="BA12" ca="1">IF(IF(INDIRECT("'"&amp;Etiquettes!BA13&amp;"'"&amp;"!I1")=$A$12,_xlfn.TEXTJOIN(":",TRUE,_xlfn.UNIQUE(INDIRECT("'"&amp;Etiquettes!BA13&amp;"'"&amp;"!I2:I1000"))),"")="0","",IF(INDIRECT("'"&amp;Etiquettes!BA13&amp;"'"&amp;"!I1")=$A$12,_xlfn.TEXTJOIN(":",TRUE,_xlfn.UNIQUE(INDIRECT("'"&amp;Etiquettes!BA13&amp;"'"&amp;"!I2:I1000"))),""))</f>
        <v/>
      </c>
      <c r="BB12" s="937" t="str" cm="1">
        <f t="array" aca="1" ref="BB12" ca="1">IF(IF(INDIRECT("'"&amp;Etiquettes!BB13&amp;"'"&amp;"!I1")=$A$12,_xlfn.TEXTJOIN(":",TRUE,_xlfn.UNIQUE(INDIRECT("'"&amp;Etiquettes!BB13&amp;"'"&amp;"!I2:I1000"))),"")="0","",IF(INDIRECT("'"&amp;Etiquettes!BB13&amp;"'"&amp;"!I1")=$A$12,_xlfn.TEXTJOIN(":",TRUE,_xlfn.UNIQUE(INDIRECT("'"&amp;Etiquettes!BB13&amp;"'"&amp;"!I2:I1000"))),""))</f>
        <v>Récolte:Collecte:Stock initial collecteurs:Stock final collecteurs:Production de semences certifiées:Consommation de graines par les FAB:Consommation de graines autoconsommées en hors FAB</v>
      </c>
      <c r="BC12" s="937" t="str" cm="1">
        <f t="array" aca="1" ref="BC12" ca="1">IF(IF(INDIRECT("'"&amp;Etiquettes!BC13&amp;"'"&amp;"!I1")=$A$12,_xlfn.TEXTJOIN(":",TRUE,_xlfn.UNIQUE(INDIRECT("'"&amp;Etiquettes!BC13&amp;"'"&amp;"!I2:I1000"))),"")="0","",IF(INDIRECT("'"&amp;Etiquettes!BC13&amp;"'"&amp;"!I1")=$A$12,_xlfn.TEXTJOIN(":",TRUE,_xlfn.UNIQUE(INDIRECT("'"&amp;Etiquettes!BC13&amp;"'"&amp;"!I2:I1000"))),""))</f>
        <v/>
      </c>
      <c r="BD12" s="937" t="str" cm="1">
        <f t="array" aca="1" ref="BD12" ca="1">IF(IF(INDIRECT("'"&amp;Etiquettes!BD13&amp;"'"&amp;"!I1")=$A$12,_xlfn.TEXTJOIN(":",TRUE,_xlfn.UNIQUE(INDIRECT("'"&amp;Etiquettes!BD13&amp;"'"&amp;"!I2:I1000"))),"")="0","",IF(INDIRECT("'"&amp;Etiquettes!BD13&amp;"'"&amp;"!I1")=$A$12,_xlfn.TEXTJOIN(":",TRUE,_xlfn.UNIQUE(INDIRECT("'"&amp;Etiquettes!BD13&amp;"'"&amp;"!I2:I1000"))),""))</f>
        <v>Part de la collecte:Part du stock initial:Part du stock final:Part de la production de semences certifiées:Ecart statistique relatif</v>
      </c>
      <c r="BE12" s="937" t="str" cm="1">
        <f t="array" aca="1" ref="BE12" ca="1">IF(IF(INDIRECT("'"&amp;Etiquettes!BE13&amp;"'"&amp;"!I1")=$A$12,_xlfn.TEXTJOIN(":",TRUE,_xlfn.UNIQUE(INDIRECT("'"&amp;Etiquettes!BE13&amp;"'"&amp;"!I2:I1000"))),"")="0","",IF(INDIRECT("'"&amp;Etiquettes!BE13&amp;"'"&amp;"!I1")=$A$12,_xlfn.TEXTJOIN(":",TRUE,_xlfn.UNIQUE(INDIRECT("'"&amp;Etiquettes!BE13&amp;"'"&amp;"!I2:I1000"))),""))</f>
        <v/>
      </c>
      <c r="BF12" s="937" t="str" cm="1">
        <f t="array" aca="1" ref="BF12" ca="1">IF(IF(INDIRECT("'"&amp;Etiquettes!BF13&amp;"'"&amp;"!I1")=$A$12,_xlfn.TEXTJOIN(":",TRUE,_xlfn.UNIQUE(INDIRECT("'"&amp;Etiquettes!BF13&amp;"'"&amp;"!I2:I1000"))),"")="0","",IF(INDIRECT("'"&amp;Etiquettes!BF13&amp;"'"&amp;"!I1")=$A$12,_xlfn.TEXTJOIN(":",TRUE,_xlfn.UNIQUE(INDIRECT("'"&amp;Etiquettes!BF13&amp;"'"&amp;"!I2:I1000"))),""))</f>
        <v/>
      </c>
      <c r="BG12" s="937" t="str" cm="1">
        <f t="array" aca="1" ref="BG12" ca="1">IF(IF(INDIRECT("'"&amp;Etiquettes!BG13&amp;"'"&amp;"!I1")=$A$12,_xlfn.TEXTJOIN(":",TRUE,_xlfn.UNIQUE(INDIRECT("'"&amp;Etiquettes!BG13&amp;"'"&amp;"!I2:I1000"))),"")="0","",IF(INDIRECT("'"&amp;Etiquettes!BG13&amp;"'"&amp;"!I1")=$A$12,_xlfn.TEXTJOIN(":",TRUE,_xlfn.UNIQUE(INDIRECT("'"&amp;Etiquettes!BG13&amp;"'"&amp;"!I2:I1000"))),""))</f>
        <v/>
      </c>
      <c r="BH12" s="937" t="str" cm="1">
        <f t="array" aca="1" ref="BH12" ca="1">IF(IF(INDIRECT("'"&amp;Etiquettes!BH13&amp;"'"&amp;"!I1")=$A$12,_xlfn.TEXTJOIN(":",TRUE,_xlfn.UNIQUE(INDIRECT("'"&amp;Etiquettes!BH13&amp;"'"&amp;"!I2:I1000"))),"")="0","",IF(INDIRECT("'"&amp;Etiquettes!BH13&amp;"'"&amp;"!I1")=$A$12,_xlfn.TEXTJOIN(":",TRUE,_xlfn.UNIQUE(INDIRECT("'"&amp;Etiquettes!BH13&amp;"'"&amp;"!I2:I1000"))),""))</f>
        <v/>
      </c>
      <c r="BI12" s="937" t="str" cm="1">
        <f t="array" aca="1" ref="BI12" ca="1">IF(IF(INDIRECT("'"&amp;Etiquettes!BI13&amp;"'"&amp;"!I1")=$A$12,_xlfn.TEXTJOIN(":",TRUE,_xlfn.UNIQUE(INDIRECT("'"&amp;Etiquettes!BI13&amp;"'"&amp;"!I2:I1000"))),"")="0","",IF(INDIRECT("'"&amp;Etiquettes!BI13&amp;"'"&amp;"!I1")=$A$12,_xlfn.TEXTJOIN(":",TRUE,_xlfn.UNIQUE(INDIRECT("'"&amp;Etiquettes!BI13&amp;"'"&amp;"!I2:I1000"))),""))</f>
        <v/>
      </c>
      <c r="BJ12" s="937" t="str" cm="1">
        <f t="array" aca="1" ref="BJ12" ca="1">IF(IF(INDIRECT("'"&amp;Etiquettes!BJ13&amp;"'"&amp;"!I1")=$A$12,_xlfn.TEXTJOIN(":",TRUE,_xlfn.UNIQUE(INDIRECT("'"&amp;Etiquettes!BJ13&amp;"'"&amp;"!I2:I1000"))),"")="0","",IF(INDIRECT("'"&amp;Etiquettes!BJ13&amp;"'"&amp;"!I1")=$A$12,_xlfn.TEXTJOIN(":",TRUE,_xlfn.UNIQUE(INDIRECT("'"&amp;Etiquettes!BJ13&amp;"'"&amp;"!I2:I1000"))),""))</f>
        <v/>
      </c>
      <c r="BK12" s="937" t="str" cm="1">
        <f t="array" aca="1" ref="BK12" ca="1">IF(IF(INDIRECT("'"&amp;Etiquettes!BK13&amp;"'"&amp;"!I1")=$A$12,_xlfn.TEXTJOIN(":",TRUE,_xlfn.UNIQUE(INDIRECT("'"&amp;Etiquettes!BK13&amp;"'"&amp;"!I2:I1000"))),"")="0","",IF(INDIRECT("'"&amp;Etiquettes!BK13&amp;"'"&amp;"!I1")=$A$12,_xlfn.TEXTJOIN(":",TRUE,_xlfn.UNIQUE(INDIRECT("'"&amp;Etiquettes!BK13&amp;"'"&amp;"!I2:I1000"))),""))</f>
        <v>Consommation de produits alimentaires par les GMS (en volume de matière première):Consommation de produits alimentaires par les circuits spécialisés (en volume de matière première):Consommation de produits alimentaires par la RHD (en volume de matière première):Consommation de produits alimentaires par les autres IAA (en volume de matière première):Consommation de LS bruts par la RHD:Consommation de LS appertisés et surgelés par la RHD:Consommation de LS bruts par les ménages:Consommation de LS appertisés et surgelés par les ménages:Consommation de LS bruts par les autres IAA:Consommation de LS appertisés et surgelés par les autres IAA:Consommation d'eau pour la fabrication de produits appertisés</v>
      </c>
      <c r="BL12" s="937" t="str" cm="1">
        <f t="array" aca="1" ref="BL12" ca="1">IF(IF(INDIRECT("'"&amp;Etiquettes!BL13&amp;"'"&amp;"!I1")=$A$12,_xlfn.TEXTJOIN(":",TRUE,_xlfn.UNIQUE(INDIRECT("'"&amp;Etiquettes!BL13&amp;"'"&amp;"!I2:I1000"))),"")="0","",IF(INDIRECT("'"&amp;Etiquettes!BL13&amp;"'"&amp;"!I1")=$A$12,_xlfn.TEXTJOIN(":",TRUE,_xlfn.UNIQUE(INDIRECT("'"&amp;Etiquettes!BL13&amp;"'"&amp;"!I2:I1000"))),""))</f>
        <v/>
      </c>
      <c r="BM12" s="937" t="str" cm="1">
        <f t="array" aca="1" ref="BM12" ca="1">IF(IF(INDIRECT("'"&amp;Etiquettes!BM13&amp;"'"&amp;"!I1")=$A$12,_xlfn.TEXTJOIN(":",TRUE,_xlfn.UNIQUE(INDIRECT("'"&amp;Etiquettes!BM13&amp;"'"&amp;"!I2:I1000"))),"")="0","",IF(INDIRECT("'"&amp;Etiquettes!BM13&amp;"'"&amp;"!I1")=$A$12,_xlfn.TEXTJOIN(":",TRUE,_xlfn.UNIQUE(INDIRECT("'"&amp;Etiquettes!BM13&amp;"'"&amp;"!I2:I1000"))),""))</f>
        <v>Part de consommation de produits alimentaires par les GMS (en volume de matière première):Part de consommation de produits alimentaires par les circuits spécialisés (en volume de matière première):Part de consommation de produits alimentaires par la RHD (en volume de matière première):Part de consommation de produits alimentaires par les autres IAA (en volume de matière première)</v>
      </c>
      <c r="BN12" s="937" t="str" cm="1">
        <f t="array" aca="1" ref="BN12" ca="1">IF(IF(INDIRECT("'"&amp;Etiquettes!BN13&amp;"'"&amp;"!I1")=$A$12,_xlfn.TEXTJOIN(":",TRUE,_xlfn.UNIQUE(INDIRECT("'"&amp;Etiquettes!BN13&amp;"'"&amp;"!I2:I1000"))),"")="0","",IF(INDIRECT("'"&amp;Etiquettes!BN13&amp;"'"&amp;"!I1")=$A$12,_xlfn.TEXTJOIN(":",TRUE,_xlfn.UNIQUE(INDIRECT("'"&amp;Etiquettes!BN13&amp;"'"&amp;"!I2:I1000"))),""))</f>
        <v/>
      </c>
      <c r="BO12" s="937" t="str" cm="1">
        <f t="array" aca="1" ref="BO12" ca="1">IF(IF(INDIRECT("'"&amp;Etiquettes!BO13&amp;"'"&amp;"!I1")=$A$12,_xlfn.TEXTJOIN(":",TRUE,_xlfn.UNIQUE(INDIRECT("'"&amp;Etiquettes!BO13&amp;"'"&amp;"!I2:I1000"))),"")="0","",IF(INDIRECT("'"&amp;Etiquettes!BO13&amp;"'"&amp;"!I1")=$A$12,_xlfn.TEXTJOIN(":",TRUE,_xlfn.UNIQUE(INDIRECT("'"&amp;Etiquettes!BO13&amp;"'"&amp;"!I2:I1000"))),""))</f>
        <v/>
      </c>
      <c r="BP12" s="937" t="str" cm="1">
        <f t="array" aca="1" ref="BP12" ca="1">IF(IF(INDIRECT("'"&amp;Etiquettes!BP13&amp;"'"&amp;"!I1")=$A$12,_xlfn.TEXTJOIN(":",TRUE,_xlfn.UNIQUE(INDIRECT("'"&amp;Etiquettes!BP13&amp;"'"&amp;"!I2:I1000"))),"")="0","",IF(INDIRECT("'"&amp;Etiquettes!BP13&amp;"'"&amp;"!I1")=$A$12,_xlfn.TEXTJOIN(":",TRUE,_xlfn.UNIQUE(INDIRECT("'"&amp;Etiquettes!BP13&amp;"'"&amp;"!I2:I1000"))),""))</f>
        <v/>
      </c>
      <c r="BQ12" s="937" t="str" cm="1">
        <f t="array" aca="1" ref="BQ12" ca="1">IF(IF(INDIRECT("'"&amp;Etiquettes!BQ13&amp;"'"&amp;"!I1")=$A$12,_xlfn.TEXTJOIN(":",TRUE,_xlfn.UNIQUE(INDIRECT("'"&amp;Etiquettes!BQ13&amp;"'"&amp;"!I2:I1000"))),"")="0","",IF(INDIRECT("'"&amp;Etiquettes!BQ13&amp;"'"&amp;"!I1")=$A$12,_xlfn.TEXTJOIN(":",TRUE,_xlfn.UNIQUE(INDIRECT("'"&amp;Etiquettes!BQ13&amp;"'"&amp;"!I2:I1000"))),""))</f>
        <v>Rendement de production d'amidon:Rendement de production de protéine:Rendement de production de farine</v>
      </c>
      <c r="BR12" s="937" t="str" cm="1">
        <f t="array" aca="1" ref="BR12" ca="1">IF(IF(INDIRECT("'"&amp;Etiquettes!BR13&amp;"'"&amp;"!I1")=$A$12,_xlfn.TEXTJOIN(":",TRUE,_xlfn.UNIQUE(INDIRECT("'"&amp;Etiquettes!BR13&amp;"'"&amp;"!I2:I1000"))),"")="0","",IF(INDIRECT("'"&amp;Etiquettes!BR13&amp;"'"&amp;"!I1")=$A$12,_xlfn.TEXTJOIN(":",TRUE,_xlfn.UNIQUE(INDIRECT("'"&amp;Etiquettes!BR13&amp;"'"&amp;"!I2:I1000"))),""))</f>
        <v/>
      </c>
      <c r="BS12" s="937" t="str" cm="1">
        <f t="array" aca="1" ref="BS12" ca="1">IF(IF(INDIRECT("'"&amp;Etiquettes!BS13&amp;"'"&amp;"!I1")=$A$12,_xlfn.TEXTJOIN(":",TRUE,_xlfn.UNIQUE(INDIRECT("'"&amp;Etiquettes!BS13&amp;"'"&amp;"!I2:I1000"))),"")="0","",IF(INDIRECT("'"&amp;Etiquettes!BS13&amp;"'"&amp;"!I1")=$A$12,_xlfn.TEXTJOIN(":",TRUE,_xlfn.UNIQUE(INDIRECT("'"&amp;Etiquettes!BS13&amp;"'"&amp;"!I2:I1000"))),""))</f>
        <v/>
      </c>
      <c r="BT12" s="937" t="str" cm="1">
        <f t="array" aca="1" ref="BT12" ca="1">IF(IF(INDIRECT("'"&amp;Etiquettes!BT13&amp;"'"&amp;"!I1")=$A$12,_xlfn.TEXTJOIN(":",TRUE,_xlfn.UNIQUE(INDIRECT("'"&amp;Etiquettes!BT13&amp;"'"&amp;"!I2:I1000"))),"")="0","",IF(INDIRECT("'"&amp;Etiquettes!BT13&amp;"'"&amp;"!I1")=$A$12,_xlfn.TEXTJOIN(":",TRUE,_xlfn.UNIQUE(INDIRECT("'"&amp;Etiquettes!BT13&amp;"'"&amp;"!I2:I1000"))),""))</f>
        <v>Rendement de production d'huile:Rendement de production de tourteau:Rendement de production de coques (+ eau):Part de la consommation des coques (+ eau) par les FAB:Part de la consommation des coques (+ eau) pour la combustion</v>
      </c>
      <c r="BU12" s="937" t="str" cm="1">
        <f t="array" aca="1" ref="BU12" ca="1">IF(IF(INDIRECT("'"&amp;Etiquettes!BU13&amp;"'"&amp;"!I1")=$A$12,_xlfn.TEXTJOIN(":",TRUE,_xlfn.UNIQUE(INDIRECT("'"&amp;Etiquettes!BU13&amp;"'"&amp;"!I2:I1000"))),"")="0","",IF(INDIRECT("'"&amp;Etiquettes!BU13&amp;"'"&amp;"!I1")=$A$12,_xlfn.TEXTJOIN(":",TRUE,_xlfn.UNIQUE(INDIRECT("'"&amp;Etiquettes!BU13&amp;"'"&amp;"!I2:I1000"))),""))</f>
        <v/>
      </c>
      <c r="BV12" s="937" t="str" cm="1">
        <f t="array" aca="1" ref="BV12" ca="1">IF(IF(INDIRECT("'"&amp;Etiquettes!BV13&amp;"'"&amp;"!I1")=$A$12,_xlfn.TEXTJOIN(":",TRUE,_xlfn.UNIQUE(INDIRECT("'"&amp;Etiquettes!BV13&amp;"'"&amp;"!I2:I1000"))),"")="0","",IF(INDIRECT("'"&amp;Etiquettes!BV13&amp;"'"&amp;"!I1")=$A$12,_xlfn.TEXTJOIN(":",TRUE,_xlfn.UNIQUE(INDIRECT("'"&amp;Etiquettes!BV13&amp;"'"&amp;"!I2:I1000"))),""))</f>
        <v/>
      </c>
      <c r="BW12" s="937" t="str" cm="1">
        <f t="array" aca="1" ref="BW12" ca="1">IF(IF(INDIRECT("'"&amp;Etiquettes!BW13&amp;"'"&amp;"!I1")=$A$12,_xlfn.TEXTJOIN(":",TRUE,_xlfn.UNIQUE(INDIRECT("'"&amp;Etiquettes!BW13&amp;"'"&amp;"!I2:I1000"))),"")="0","",IF(INDIRECT("'"&amp;Etiquettes!BW13&amp;"'"&amp;"!I1")=$A$12,_xlfn.TEXTJOIN(":",TRUE,_xlfn.UNIQUE(INDIRECT("'"&amp;Etiquettes!BW13&amp;"'"&amp;"!I2:I1000"))),""))</f>
        <v>Part de consommation d'huile par les ménages:Part de consommation d'huile par les autres IAA:Part de consommation d'huile par les autres industries:Part de consommation d'huile en biocarburants:Part de consommation d'huile en alimentation humaine:Part de consommation d'huile pour des usages non-alimentaires</v>
      </c>
      <c r="BX12" s="937" t="str" cm="1">
        <f t="array" aca="1" ref="BX12" ca="1">IF(IF(INDIRECT("'"&amp;Etiquettes!BX13&amp;"'"&amp;"!I1")=$A$12,_xlfn.TEXTJOIN(":",TRUE,_xlfn.UNIQUE(INDIRECT("'"&amp;Etiquettes!BX13&amp;"'"&amp;"!I2:I1000"))),"")="0","",IF(INDIRECT("'"&amp;Etiquettes!BX13&amp;"'"&amp;"!I1")=$A$12,_xlfn.TEXTJOIN(":",TRUE,_xlfn.UNIQUE(INDIRECT("'"&amp;Etiquettes!BX13&amp;"'"&amp;"!I2:I1000"))),""))</f>
        <v/>
      </c>
      <c r="BY12" s="937" t="str" cm="1">
        <f t="array" aca="1" ref="BY12" ca="1">IF(IF(INDIRECT("'"&amp;Etiquettes!BY13&amp;"'"&amp;"!I1")=$A$12,_xlfn.TEXTJOIN(":",TRUE,_xlfn.UNIQUE(INDIRECT("'"&amp;Etiquettes!BY13&amp;"'"&amp;"!I2:I1000"))),"")="0","",IF(INDIRECT("'"&amp;Etiquettes!BY13&amp;"'"&amp;"!I1")=$A$12,_xlfn.TEXTJOIN(":",TRUE,_xlfn.UNIQUE(INDIRECT("'"&amp;Etiquettes!BY13&amp;"'"&amp;"!I2:I1000"))),""))</f>
        <v/>
      </c>
      <c r="BZ12" s="937" t="str" cm="1">
        <f t="array" aca="1" ref="BZ12" ca="1">IF(IF(INDIRECT("'"&amp;Etiquettes!BZ13&amp;"'"&amp;"!I1")=$A$12,_xlfn.TEXTJOIN(":",TRUE,_xlfn.UNIQUE(INDIRECT("'"&amp;Etiquettes!BZ13&amp;"'"&amp;"!I2:I1000"))),"")="0","",IF(INDIRECT("'"&amp;Etiquettes!BZ13&amp;"'"&amp;"!I1")=$A$12,_xlfn.TEXTJOIN(":",TRUE,_xlfn.UNIQUE(INDIRECT("'"&amp;Etiquettes!BZ13&amp;"'"&amp;"!I2:I1000"))),""))</f>
        <v>Part de consommation de tourteaux en FAB:Part de consommation de tourteaux en hors FAB</v>
      </c>
      <c r="CA12" s="937" t="str" cm="1">
        <f t="array" aca="1" ref="CA12" ca="1">IF(IF(INDIRECT("'"&amp;Etiquettes!CA13&amp;"'"&amp;"!I1")=$A$12,_xlfn.TEXTJOIN(":",TRUE,_xlfn.UNIQUE(INDIRECT("'"&amp;Etiquettes!CA13&amp;"'"&amp;"!I2:I1000"))),"")="0","",IF(INDIRECT("'"&amp;Etiquettes!CA13&amp;"'"&amp;"!I1")=$A$12,_xlfn.TEXTJOIN(":",TRUE,_xlfn.UNIQUE(INDIRECT("'"&amp;Etiquettes!CA13&amp;"'"&amp;"!I2:I1000"))),""))</f>
        <v/>
      </c>
      <c r="CB12" s="937" t="str" cm="1">
        <f t="array" aca="1" ref="CB12" ca="1">IF(IF(INDIRECT("'"&amp;Etiquettes!CB13&amp;"'"&amp;"!I1")=$A$12,_xlfn.TEXTJOIN(":",TRUE,_xlfn.UNIQUE(INDIRECT("'"&amp;Etiquettes!CB13&amp;"'"&amp;"!I2:I1000"))),"")="0","",IF(INDIRECT("'"&amp;Etiquettes!CB13&amp;"'"&amp;"!I1")=$A$12,_xlfn.TEXTJOIN(":",TRUE,_xlfn.UNIQUE(INDIRECT("'"&amp;Etiquettes!CB13&amp;"'"&amp;"!I2:I1000"))),""))</f>
        <v/>
      </c>
      <c r="CC12" s="937" t="str" cm="1">
        <f t="array" aca="1" ref="CC12" ca="1">IF(IF(INDIRECT("'"&amp;Etiquettes!CC13&amp;"'"&amp;"!I1")=$A$12,_xlfn.TEXTJOIN(":",TRUE,_xlfn.UNIQUE(INDIRECT("'"&amp;Etiquettes!CC13&amp;"'"&amp;"!I2:I1000"))),"")="0","",IF(INDIRECT("'"&amp;Etiquettes!CC13&amp;"'"&amp;"!I1")=$A$12,_xlfn.TEXTJOIN(":",TRUE,_xlfn.UNIQUE(INDIRECT("'"&amp;Etiquettes!CC13&amp;"'"&amp;"!I2:I1000"))),""))</f>
        <v/>
      </c>
      <c r="CD12" s="937" t="str" cm="1">
        <f t="array" aca="1" ref="CD12" ca="1">IF(IF(INDIRECT("'"&amp;Etiquettes!CD13&amp;"'"&amp;"!I1")=$A$12,_xlfn.TEXTJOIN(":",TRUE,_xlfn.UNIQUE(INDIRECT("'"&amp;Etiquettes!CD13&amp;"'"&amp;"!I2:I1000"))),"")="0","",IF(INDIRECT("'"&amp;Etiquettes!CD13&amp;"'"&amp;"!I1")=$A$12,_xlfn.TEXTJOIN(":",TRUE,_xlfn.UNIQUE(INDIRECT("'"&amp;Etiquettes!CD13&amp;"'"&amp;"!I2:I1000"))),""))</f>
        <v/>
      </c>
      <c r="CE12" s="937" t="str" cm="1">
        <f t="array" aca="1" ref="CE12" ca="1">IF(IF(INDIRECT("'"&amp;Etiquettes!CE13&amp;"'"&amp;"!I1")=$A$12,_xlfn.TEXTJOIN(":",TRUE,_xlfn.UNIQUE(INDIRECT("'"&amp;Etiquettes!CE13&amp;"'"&amp;"!I2:I1000"))),"")="0","",IF(INDIRECT("'"&amp;Etiquettes!CE13&amp;"'"&amp;"!I1")=$A$12,_xlfn.TEXTJOIN(":",TRUE,_xlfn.UNIQUE(INDIRECT("'"&amp;Etiquettes!CE13&amp;"'"&amp;"!I2:I1000"))),""))</f>
        <v/>
      </c>
      <c r="CF12" s="937" t="str" cm="1">
        <f t="array" aca="1" ref="CF12" ca="1">IF(IF(INDIRECT("'"&amp;Etiquettes!CF13&amp;"'"&amp;"!I1")=$A$12,_xlfn.TEXTJOIN(":",TRUE,_xlfn.UNIQUE(INDIRECT("'"&amp;Etiquettes!CF13&amp;"'"&amp;"!I2:I1000"))),"")="0","",IF(INDIRECT("'"&amp;Etiquettes!CF13&amp;"'"&amp;"!I1")=$A$12,_xlfn.TEXTJOIN(":",TRUE,_xlfn.UNIQUE(INDIRECT("'"&amp;Etiquettes!CF13&amp;"'"&amp;"!I2:I1000"))),""))</f>
        <v/>
      </c>
      <c r="CG12" s="937" t="str" cm="1">
        <f t="array" aca="1" ref="CG12" ca="1">IF(IF(INDIRECT("'"&amp;Etiquettes!CG13&amp;"'"&amp;"!I1")=$A$12,_xlfn.TEXTJOIN(":",TRUE,_xlfn.UNIQUE(INDIRECT("'"&amp;Etiquettes!CG13&amp;"'"&amp;"!I2:I1000"))),"")="0","",IF(INDIRECT("'"&amp;Etiquettes!CG13&amp;"'"&amp;"!I1")=$A$12,_xlfn.TEXTJOIN(":",TRUE,_xlfn.UNIQUE(INDIRECT("'"&amp;Etiquettes!CG13&amp;"'"&amp;"!I2:I1000"))),""))</f>
        <v>Ecart statistique constaté dans les données collectées, demandant une réconciliation</v>
      </c>
      <c r="CH12" s="937" t="str" cm="1">
        <f t="array" aca="1" ref="CH12" ca="1">IF(IF(INDIRECT("'"&amp;Etiquettes!CH13&amp;"'"&amp;"!I1")=$A$12,_xlfn.TEXTJOIN(":",TRUE,_xlfn.UNIQUE(INDIRECT("'"&amp;Etiquettes!CH13&amp;"'"&amp;"!I2:I1000"))),"")="0","",IF(INDIRECT("'"&amp;Etiquettes!CH13&amp;"'"&amp;"!I1")=$A$12,_xlfn.TEXTJOIN(":",TRUE,_xlfn.UNIQUE(INDIRECT("'"&amp;Etiquettes!CH13&amp;"'"&amp;"!I2:I1000"))),""))</f>
        <v>Stock initial collecteurs:Stock final collecteurs:Production de semences certifiées</v>
      </c>
      <c r="CI12" s="937" t="str" cm="1">
        <f t="array" aca="1" ref="CI12" ca="1">IF(IF(INDIRECT("'"&amp;Etiquettes!CI13&amp;"'"&amp;"!I1")=$A$12,_xlfn.TEXTJOIN(":",TRUE,_xlfn.UNIQUE(INDIRECT("'"&amp;Etiquettes!CI13&amp;"'"&amp;"!I2:I1000"))),"")="0","",IF(INDIRECT("'"&amp;Etiquettes!CI13&amp;"'"&amp;"!I1")=$A$12,_xlfn.TEXTJOIN(":",TRUE,_xlfn.UNIQUE(INDIRECT("'"&amp;Etiquettes!CI13&amp;"'"&amp;"!I2:I1000"))),""))</f>
        <v>Part du stock initial:Part du stock final:Part de la production de semences certifiées:Part de semences fermières (par rapport aux semences certifiées):Part de tourteaux consommés par les FAB:Part d'issues de silo consommées par les FAF:Part d'issues de silo consommées comme litière:Part d'issues de silo compostées:Part d'issues de silo consommées comme autres biomatériaux:Part d'issues de silo consommées en méthanisation:Part d'issues de silo brûlées:Part de consommation d'huile en biocarburants:Part de la consommation des coques (+ eau) pour la combustion:Part de consommation d'huile par les ménages:Consommation de graines en alimentation humaine:Consommation de graines à la ferme directement:Consommation de LS bruts par les autres IAA:Consommation de LS appertisés et surgelés par les autres IAA</v>
      </c>
      <c r="CJ12" s="937"/>
    </row>
    <row r="13" spans="1:88">
      <c r="A13" t="s">
        <v>693</v>
      </c>
      <c r="B13" s="34" t="s">
        <v>35</v>
      </c>
      <c r="C13" s="937" t="str">
        <f t="shared" si="0"/>
        <v>Informations générales:SOMMAIRE:Lecture du fichier:Etiquettes:Produits:Secteurs:Données: Données:Données :Bilans Colza - FAM:Données  :BIlans Tournesol - FAM:Données   :Bilans Soja - FAM:Données    :Bilans Pois - FAM:Données     :Bilans Féverole - FAM:Contraintes:  Données:Issues de silo - ONRB:Contraintes :   Données:Pertes ferme - TERRES UNIVIA:Contraintes  :    Données:Prétraitement semences fermière:Semences fermières - AGRESTE:Données      :Prétraitement échanges:Comext mensuel - EUROSTAT:Comext annuel - EUROSTAT:Données       :Contraintes   :     Données:Huiles et tourteaux - FEDIOL:Contraintes    :      Données:Usages tourteaux - ONRB:Données        :Biocarburants - CARBURE:Données         :Conso huile GMS -NIELSEN:Données          :Marché olive - AFIDOL, FAM:Récoltes olive - AGRESTE:Données           :Contraintes     :       Données:Prétraitement récolte, collecte:Récoltes - AGRESTE:Collectes, stocks - FAM:Collectes, stocks protéa - FAM:FAB - FAM:FAB protéagineux - FAM:Données            :Contraintes      :        Données:Prétraitement consommation:Consommation - OléoProtéines:Contraintes       :         Données:Fab. ingrédients - Diverses:Contraintes        :           Données:Rend. trituration-TERRES UNIVIA:Contraintes         :            Données:Usages huiles - TERRES UNIVIA:Contraintes          :             Données:Usages tourteaux -TERRES UNIVIA:Pertes - Diverses:Fabrication - PRODCOM:Transformation - TERRES UNIVIA:Alimentation animale - TERRES U:Collecte bio - TERRES UNIVIA:Données              :Données               :          Données</v>
      </c>
      <c r="G13" s="937" t="s">
        <v>1460</v>
      </c>
      <c r="H13" t="str" cm="1">
        <f t="array" ref="H13:CI13">NomsOnglets</f>
        <v>Informations générales</v>
      </c>
      <c r="I13" t="str">
        <v>SOMMAIRE</v>
      </c>
      <c r="J13" t="str">
        <v>Lecture du fichier</v>
      </c>
      <c r="K13" t="str">
        <v>Etiquettes</v>
      </c>
      <c r="L13" t="str">
        <v>Produits</v>
      </c>
      <c r="M13" t="str">
        <v>Secteurs</v>
      </c>
      <c r="N13" t="str">
        <v>Données</v>
      </c>
      <c r="O13" t="str">
        <v xml:space="preserve"> Données</v>
      </c>
      <c r="P13" t="str">
        <v xml:space="preserve">Données </v>
      </c>
      <c r="Q13" t="str">
        <v>Bilans Colza - FAM</v>
      </c>
      <c r="R13" t="str">
        <v xml:space="preserve">Données  </v>
      </c>
      <c r="S13" t="str">
        <v>BIlans Tournesol - FAM</v>
      </c>
      <c r="T13" t="str">
        <v xml:space="preserve">Données   </v>
      </c>
      <c r="U13" t="str">
        <v>Bilans Soja - FAM</v>
      </c>
      <c r="V13" t="str">
        <v xml:space="preserve">Données    </v>
      </c>
      <c r="W13" t="str">
        <v>Bilans Pois - FAM</v>
      </c>
      <c r="X13" t="str">
        <v xml:space="preserve">Données     </v>
      </c>
      <c r="Y13" t="str">
        <v>Bilans Féverole - FAM</v>
      </c>
      <c r="Z13" t="str">
        <v>Contraintes</v>
      </c>
      <c r="AA13" t="str">
        <v xml:space="preserve">  Données</v>
      </c>
      <c r="AB13" t="str">
        <v>Issues de silo - ONRB</v>
      </c>
      <c r="AC13" t="str">
        <v xml:space="preserve">Contraintes </v>
      </c>
      <c r="AD13" t="str">
        <v xml:space="preserve">   Données</v>
      </c>
      <c r="AE13" t="str">
        <v>Pertes ferme - TERRES UNIVIA</v>
      </c>
      <c r="AF13" t="str">
        <v xml:space="preserve">Contraintes  </v>
      </c>
      <c r="AG13" t="str">
        <v xml:space="preserve">    Données</v>
      </c>
      <c r="AH13" t="str">
        <v>Prétraitement semences fermière</v>
      </c>
      <c r="AI13" t="str">
        <v>Semences fermières - AGRESTE</v>
      </c>
      <c r="AJ13" t="str">
        <v xml:space="preserve">Données      </v>
      </c>
      <c r="AK13" t="str">
        <v>Prétraitement échanges</v>
      </c>
      <c r="AL13" t="str">
        <v>Comext mensuel - EUROSTAT</v>
      </c>
      <c r="AM13" t="str">
        <v>Comext annuel - EUROSTAT</v>
      </c>
      <c r="AN13" t="str">
        <v xml:space="preserve">Données       </v>
      </c>
      <c r="AO13" t="str">
        <v xml:space="preserve">Contraintes   </v>
      </c>
      <c r="AP13" t="str">
        <v xml:space="preserve">     Données</v>
      </c>
      <c r="AQ13" t="str">
        <v>Huiles et tourteaux - FEDIOL</v>
      </c>
      <c r="AR13" t="str">
        <v xml:space="preserve">Contraintes    </v>
      </c>
      <c r="AS13" t="str">
        <v xml:space="preserve">      Données</v>
      </c>
      <c r="AT13" t="str">
        <v>Usages tourteaux - ONRB</v>
      </c>
      <c r="AU13" t="str">
        <v xml:space="preserve">Données        </v>
      </c>
      <c r="AV13" t="str">
        <v>Biocarburants - CARBURE</v>
      </c>
      <c r="AW13" t="str">
        <v xml:space="preserve">Données         </v>
      </c>
      <c r="AX13" t="str">
        <v>Conso huile GMS -NIELSEN</v>
      </c>
      <c r="AY13" t="str">
        <v xml:space="preserve">Données          </v>
      </c>
      <c r="AZ13" t="str">
        <v>Marché olive - AFIDOL, FAM</v>
      </c>
      <c r="BA13" t="str">
        <v>Récoltes olive - AGRESTE</v>
      </c>
      <c r="BB13" t="str">
        <v xml:space="preserve">Données           </v>
      </c>
      <c r="BC13" t="str">
        <v xml:space="preserve">Contraintes     </v>
      </c>
      <c r="BD13" t="str">
        <v xml:space="preserve">       Données</v>
      </c>
      <c r="BE13" t="str">
        <v>Prétraitement récolte, collecte</v>
      </c>
      <c r="BF13" t="str">
        <v>Récoltes - AGRESTE</v>
      </c>
      <c r="BG13" t="str">
        <v>Collectes, stocks - FAM</v>
      </c>
      <c r="BH13" t="str">
        <v>Collectes, stocks protéa - FAM</v>
      </c>
      <c r="BI13" t="str">
        <v>FAB - FAM</v>
      </c>
      <c r="BJ13" t="str">
        <v>FAB protéagineux - FAM</v>
      </c>
      <c r="BK13" t="str">
        <v xml:space="preserve">Données            </v>
      </c>
      <c r="BL13" t="str">
        <v xml:space="preserve">Contraintes      </v>
      </c>
      <c r="BM13" t="str">
        <v xml:space="preserve">        Données</v>
      </c>
      <c r="BN13" t="str">
        <v>Prétraitement consommation</v>
      </c>
      <c r="BO13" t="str">
        <v>Consommation - OléoProtéines</v>
      </c>
      <c r="BP13" t="str">
        <v xml:space="preserve">Contraintes       </v>
      </c>
      <c r="BQ13" t="str">
        <v xml:space="preserve">         Données</v>
      </c>
      <c r="BR13" t="str">
        <v>Fab. ingrédients - Diverses</v>
      </c>
      <c r="BS13" t="str">
        <v xml:space="preserve">Contraintes        </v>
      </c>
      <c r="BT13" t="str">
        <v xml:space="preserve">           Données</v>
      </c>
      <c r="BU13" t="str">
        <v>Rend. trituration-TERRES UNIVIA</v>
      </c>
      <c r="BV13" t="str">
        <v xml:space="preserve">Contraintes         </v>
      </c>
      <c r="BW13" t="str">
        <v xml:space="preserve">            Données</v>
      </c>
      <c r="BX13" t="str">
        <v>Usages huiles - TERRES UNIVIA</v>
      </c>
      <c r="BY13" t="str">
        <v xml:space="preserve">Contraintes          </v>
      </c>
      <c r="BZ13" t="str">
        <v xml:space="preserve">             Données</v>
      </c>
      <c r="CA13" t="str">
        <v>Usages tourteaux -TERRES UNIVIA</v>
      </c>
      <c r="CB13" t="str">
        <v>Pertes - Diverses</v>
      </c>
      <c r="CC13" t="str">
        <v>Fabrication - PRODCOM</v>
      </c>
      <c r="CD13" t="str">
        <v>Transformation - TERRES UNIVIA</v>
      </c>
      <c r="CE13" t="str">
        <v>Alimentation animale - TERRES U</v>
      </c>
      <c r="CF13" t="str">
        <v>Collecte bio - TERRES UNIVIA</v>
      </c>
      <c r="CG13" t="str">
        <v xml:space="preserve">Données              </v>
      </c>
      <c r="CH13" t="str">
        <v xml:space="preserve">Données               </v>
      </c>
      <c r="CI13" t="str">
        <v xml:space="preserve">          Données</v>
      </c>
    </row>
    <row r="14" spans="1:88">
      <c r="A14" t="s">
        <v>694</v>
      </c>
      <c r="B14" s="34" t="s">
        <v>35</v>
      </c>
      <c r="C14" t="s">
        <v>703</v>
      </c>
      <c r="F14" t="s">
        <v>704</v>
      </c>
    </row>
    <row r="15" spans="1:88">
      <c r="A15" s="11" t="s">
        <v>1415</v>
      </c>
      <c r="B15" s="34" t="s">
        <v>35</v>
      </c>
      <c r="C15" s="11" t="s">
        <v>1462</v>
      </c>
      <c r="F15" t="s">
        <v>1463</v>
      </c>
      <c r="G15" s="12" t="s">
        <v>1464</v>
      </c>
      <c r="H15" s="963" t="s">
        <v>1416</v>
      </c>
      <c r="I15" s="964" t="s">
        <v>1417</v>
      </c>
      <c r="J15" s="80" t="s">
        <v>1418</v>
      </c>
      <c r="K15" s="965" t="s">
        <v>1419</v>
      </c>
      <c r="L15" s="966" t="s">
        <v>1420</v>
      </c>
    </row>
    <row r="16" spans="1:88" s="66" customFormat="1">
      <c r="A16" s="971" t="s">
        <v>1465</v>
      </c>
      <c r="B16" s="34" t="s">
        <v>35</v>
      </c>
      <c r="C16" s="11" t="s">
        <v>1466</v>
      </c>
      <c r="D16" s="971"/>
      <c r="F16" s="66" t="s">
        <v>1467</v>
      </c>
      <c r="H16" s="969" t="s">
        <v>1468</v>
      </c>
      <c r="I16" s="972" t="s">
        <v>1469</v>
      </c>
      <c r="J16" s="973" t="s">
        <v>1470</v>
      </c>
      <c r="K16" s="974" t="s">
        <v>1471</v>
      </c>
      <c r="L16" s="975" t="s">
        <v>1472</v>
      </c>
    </row>
    <row r="17" spans="1:11" s="66" customFormat="1">
      <c r="A17" s="971" t="s">
        <v>1473</v>
      </c>
      <c r="B17" s="34" t="s">
        <v>35</v>
      </c>
      <c r="C17" s="11" t="s">
        <v>1673</v>
      </c>
      <c r="D17" s="971"/>
      <c r="F17" s="66" t="s">
        <v>1474</v>
      </c>
      <c r="H17" s="969" t="s">
        <v>1475</v>
      </c>
      <c r="I17" s="973" t="s">
        <v>1672</v>
      </c>
      <c r="J17" s="974" t="s">
        <v>1476</v>
      </c>
      <c r="K17" s="975" t="s">
        <v>1477</v>
      </c>
    </row>
  </sheetData>
  <pageMargins left="0.75" right="0.75" top="1" bottom="1" header="0.5" footer="0.5"/>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614A6-6B83-4A04-9D07-7162EF6A3BC6}">
  <sheetPr>
    <tabColor rgb="FF92D050"/>
  </sheetPr>
  <dimension ref="A1:S9"/>
  <sheetViews>
    <sheetView workbookViewId="0">
      <pane xSplit="2" ySplit="1" topLeftCell="C2" activePane="bottomRight" state="frozen"/>
      <selection activeCell="B15" sqref="B15"/>
      <selection pane="topRight" activeCell="B15" sqref="B15"/>
      <selection pane="bottomLeft" activeCell="B15" sqref="B15"/>
      <selection pane="bottomRight" activeCell="P2" sqref="P2:Q10"/>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Produits!$B$13</f>
        <v>Huile</v>
      </c>
      <c r="B2" t="str">
        <f>Secteurs!$B$35</f>
        <v>Biocarburants</v>
      </c>
      <c r="C2" s="911">
        <f>'Biocarburants - CARBURE'!J6</f>
        <v>1985.0753099999999</v>
      </c>
      <c r="E2" t="str">
        <f>Etiquettes!$C$3</f>
        <v>kt</v>
      </c>
      <c r="F2" s="21" t="str">
        <f>Etiquettes!$H$6</f>
        <v>Colza</v>
      </c>
      <c r="G2" s="913">
        <v>0</v>
      </c>
      <c r="H2" t="str">
        <f>Etiquettes!$C$4</f>
        <v>France entière</v>
      </c>
      <c r="I2" s="101" t="s">
        <v>1094</v>
      </c>
      <c r="K2" s="21" t="s">
        <v>1077</v>
      </c>
      <c r="L2" s="101" t="s">
        <v>1493</v>
      </c>
      <c r="M2" s="21" t="str">
        <f>Etiquettes!$H$11</f>
        <v>Volume</v>
      </c>
      <c r="N2" s="21" t="str">
        <f t="shared" ref="N2:N9" si="0">_xlfn.CONCAT(I2,IF(ISBLANK(C2),"",_xlfn.CONCAT(" = ",MROUND(C2,1)," ",E2))," (",K2,")")</f>
        <v>Consommation d'huile pour la fabrication de biodiesel = 1985 kt (Carbure)</v>
      </c>
      <c r="O2" t="str">
        <f>Etiquettes!$K$15</f>
        <v>Approximative</v>
      </c>
      <c r="P2" s="976"/>
      <c r="Q2" s="976"/>
    </row>
    <row r="3" spans="1:19">
      <c r="A3" t="str">
        <f>Produits!$B$13</f>
        <v>Huile</v>
      </c>
      <c r="B3" t="str">
        <f>Secteurs!$B$35</f>
        <v>Biocarburants</v>
      </c>
      <c r="C3" s="915">
        <v>0</v>
      </c>
      <c r="E3" t="str">
        <f>Etiquettes!$C$3</f>
        <v>kt</v>
      </c>
      <c r="F3" s="21" t="s">
        <v>1092</v>
      </c>
      <c r="G3" s="913">
        <v>0</v>
      </c>
      <c r="H3" t="str">
        <f>Etiquettes!$C$4</f>
        <v>France entière</v>
      </c>
      <c r="I3" s="101" t="s">
        <v>1094</v>
      </c>
      <c r="J3" s="101" t="s">
        <v>1093</v>
      </c>
      <c r="K3" s="21" t="s">
        <v>1077</v>
      </c>
      <c r="L3" s="101" t="s">
        <v>1493</v>
      </c>
      <c r="M3" s="21" t="str">
        <f>Etiquettes!$H$11</f>
        <v>Volume</v>
      </c>
      <c r="N3" s="21" t="str">
        <f t="shared" si="0"/>
        <v>Consommation d'huile pour la fabrication de biodiesel = 0 kt (Carbure)</v>
      </c>
      <c r="O3" t="str">
        <f>Etiquettes!$K$15</f>
        <v>Approximative</v>
      </c>
      <c r="P3" s="976"/>
      <c r="Q3" s="976"/>
    </row>
    <row r="4" spans="1:19">
      <c r="A4" t="str">
        <f>Produits!$B$13</f>
        <v>Huile</v>
      </c>
      <c r="B4" t="str">
        <f>Secteurs!$B$35</f>
        <v>Biocarburants</v>
      </c>
      <c r="C4" s="911">
        <f>'Biocarburants - CARBURE'!J25</f>
        <v>1459.9957300000001</v>
      </c>
      <c r="E4" t="str">
        <f>Etiquettes!$C$3</f>
        <v>kt</v>
      </c>
      <c r="F4" s="21" t="str">
        <f>Etiquettes!$H$6</f>
        <v>Colza</v>
      </c>
      <c r="G4" s="913">
        <v>0</v>
      </c>
      <c r="H4" t="str">
        <f>Etiquettes!$C$4</f>
        <v>France entière</v>
      </c>
      <c r="I4" s="101" t="s">
        <v>1094</v>
      </c>
      <c r="K4" s="21" t="s">
        <v>1077</v>
      </c>
      <c r="L4" s="101" t="s">
        <v>1493</v>
      </c>
      <c r="M4" s="21" t="str">
        <f>Etiquettes!$H$11</f>
        <v>Volume</v>
      </c>
      <c r="N4" s="21" t="str">
        <f t="shared" si="0"/>
        <v>Consommation d'huile pour la fabrication de biodiesel = 1460 kt (Carbure)</v>
      </c>
      <c r="O4" t="str">
        <f>Etiquettes!$K$15</f>
        <v>Approximative</v>
      </c>
      <c r="P4" s="976"/>
      <c r="Q4" s="976"/>
    </row>
    <row r="5" spans="1:19">
      <c r="A5" t="str">
        <f>Produits!$B$13</f>
        <v>Huile</v>
      </c>
      <c r="B5" t="str">
        <f>Secteurs!$B$35</f>
        <v>Biocarburants</v>
      </c>
      <c r="C5" s="911">
        <f>'Biocarburants - CARBURE'!J28</f>
        <v>531.17759000000001</v>
      </c>
      <c r="E5" t="str">
        <f>Etiquettes!$C$3</f>
        <v>kt</v>
      </c>
      <c r="F5" s="21" t="str">
        <f>Etiquettes!$J$6</f>
        <v>Soja</v>
      </c>
      <c r="G5" s="913">
        <v>0</v>
      </c>
      <c r="H5" t="str">
        <f>Etiquettes!$C$4</f>
        <v>France entière</v>
      </c>
      <c r="I5" s="101" t="s">
        <v>1094</v>
      </c>
      <c r="K5" s="21" t="s">
        <v>1077</v>
      </c>
      <c r="L5" s="101" t="s">
        <v>1493</v>
      </c>
      <c r="M5" s="21" t="str">
        <f>Etiquettes!$H$11</f>
        <v>Volume</v>
      </c>
      <c r="N5" s="21" t="str">
        <f t="shared" si="0"/>
        <v>Consommation d'huile pour la fabrication de biodiesel = 531 kt (Carbure)</v>
      </c>
      <c r="O5" t="str">
        <f>Etiquettes!$K$15</f>
        <v>Approximative</v>
      </c>
      <c r="P5" s="976"/>
      <c r="Q5" s="976"/>
    </row>
    <row r="6" spans="1:19">
      <c r="A6" t="str">
        <f>Produits!$B$13</f>
        <v>Huile</v>
      </c>
      <c r="B6" t="str">
        <f>Secteurs!$B$35</f>
        <v>Biocarburants</v>
      </c>
      <c r="C6" s="915">
        <v>0</v>
      </c>
      <c r="E6" t="str">
        <f>Etiquettes!$C$3</f>
        <v>kt</v>
      </c>
      <c r="F6" s="21" t="s">
        <v>1095</v>
      </c>
      <c r="G6" s="913">
        <v>0</v>
      </c>
      <c r="H6" t="str">
        <f>Etiquettes!$C$4</f>
        <v>France entière</v>
      </c>
      <c r="I6" s="101" t="s">
        <v>1094</v>
      </c>
      <c r="J6" s="101" t="s">
        <v>1093</v>
      </c>
      <c r="K6" s="21" t="s">
        <v>1077</v>
      </c>
      <c r="L6" s="101" t="s">
        <v>1493</v>
      </c>
      <c r="M6" s="21" t="str">
        <f>Etiquettes!$H$11</f>
        <v>Volume</v>
      </c>
      <c r="N6" s="21" t="str">
        <f t="shared" si="0"/>
        <v>Consommation d'huile pour la fabrication de biodiesel = 0 kt (Carbure)</v>
      </c>
      <c r="O6" t="str">
        <f>Etiquettes!$K$15</f>
        <v>Approximative</v>
      </c>
      <c r="P6" s="976"/>
      <c r="Q6" s="976"/>
    </row>
    <row r="7" spans="1:19">
      <c r="A7" t="str">
        <f>Produits!$B$13</f>
        <v>Huile</v>
      </c>
      <c r="B7" t="str">
        <f>Secteurs!$B$35</f>
        <v>Biocarburants</v>
      </c>
      <c r="C7" s="911">
        <f>'Biocarburants - CARBURE'!J44</f>
        <v>2175.6665499999999</v>
      </c>
      <c r="E7" t="str">
        <f>Etiquettes!$C$3</f>
        <v>kt</v>
      </c>
      <c r="F7" s="21" t="str">
        <f>Etiquettes!$H$6</f>
        <v>Colza</v>
      </c>
      <c r="G7" s="913">
        <v>0</v>
      </c>
      <c r="H7" t="str">
        <f>Etiquettes!$C$4</f>
        <v>France entière</v>
      </c>
      <c r="I7" s="101" t="s">
        <v>1094</v>
      </c>
      <c r="K7" s="21" t="s">
        <v>1077</v>
      </c>
      <c r="L7" s="101" t="s">
        <v>1493</v>
      </c>
      <c r="M7" s="21" t="str">
        <f>Etiquettes!$H$11</f>
        <v>Volume</v>
      </c>
      <c r="N7" s="21" t="str">
        <f t="shared" si="0"/>
        <v>Consommation d'huile pour la fabrication de biodiesel = 2176 kt (Carbure)</v>
      </c>
      <c r="O7" t="str">
        <f>Etiquettes!$K$15</f>
        <v>Approximative</v>
      </c>
      <c r="P7" s="976"/>
      <c r="Q7" s="976"/>
    </row>
    <row r="8" spans="1:19">
      <c r="A8" t="str">
        <f>Produits!$B$13</f>
        <v>Huile</v>
      </c>
      <c r="B8" t="str">
        <f>Secteurs!$B$35</f>
        <v>Biocarburants</v>
      </c>
      <c r="C8" s="911">
        <f>'Biocarburants - CARBURE'!J48</f>
        <v>90.20523</v>
      </c>
      <c r="E8" t="str">
        <f>Etiquettes!$C$3</f>
        <v>kt</v>
      </c>
      <c r="F8" s="21" t="str">
        <f>Etiquettes!$I$6</f>
        <v>Tournesol</v>
      </c>
      <c r="G8" s="913">
        <v>0</v>
      </c>
      <c r="H8" t="str">
        <f>Etiquettes!$C$4</f>
        <v>France entière</v>
      </c>
      <c r="I8" s="101" t="s">
        <v>1094</v>
      </c>
      <c r="K8" s="21" t="s">
        <v>1077</v>
      </c>
      <c r="L8" s="101" t="s">
        <v>1493</v>
      </c>
      <c r="M8" s="21" t="str">
        <f>Etiquettes!$H$11</f>
        <v>Volume</v>
      </c>
      <c r="N8" s="21" t="str">
        <f t="shared" si="0"/>
        <v>Consommation d'huile pour la fabrication de biodiesel = 90 kt (Carbure)</v>
      </c>
      <c r="O8" t="str">
        <f>Etiquettes!$K$15</f>
        <v>Approximative</v>
      </c>
      <c r="P8" s="976"/>
      <c r="Q8" s="976"/>
    </row>
    <row r="9" spans="1:19">
      <c r="A9" t="str">
        <f>Produits!$B$13</f>
        <v>Huile</v>
      </c>
      <c r="B9" t="str">
        <f>Secteurs!$B$35</f>
        <v>Biocarburants</v>
      </c>
      <c r="C9" s="915">
        <v>0</v>
      </c>
      <c r="E9" t="str">
        <f>Etiquettes!$C$3</f>
        <v>kt</v>
      </c>
      <c r="F9" s="21" t="s">
        <v>1096</v>
      </c>
      <c r="G9" s="913">
        <v>0</v>
      </c>
      <c r="H9" t="str">
        <f>Etiquettes!$C$4</f>
        <v>France entière</v>
      </c>
      <c r="I9" s="101" t="s">
        <v>1094</v>
      </c>
      <c r="J9" s="101" t="s">
        <v>1093</v>
      </c>
      <c r="K9" s="21" t="s">
        <v>1077</v>
      </c>
      <c r="L9" s="101" t="s">
        <v>1493</v>
      </c>
      <c r="M9" s="21" t="str">
        <f>Etiquettes!$H$11</f>
        <v>Volume</v>
      </c>
      <c r="N9" s="21" t="str">
        <f t="shared" si="0"/>
        <v>Consommation d'huile pour la fabrication de biodiesel = 0 kt (Carbure)</v>
      </c>
      <c r="O9" t="str">
        <f>Etiquettes!$K$15</f>
        <v>Approximative</v>
      </c>
      <c r="P9" s="976"/>
      <c r="Q9" s="976"/>
    </row>
  </sheetData>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8EAC-2E60-4257-B7C5-8F8AB5C40515}">
  <sheetPr>
    <tabColor rgb="FFFFC000"/>
  </sheetPr>
  <dimension ref="A1:J60"/>
  <sheetViews>
    <sheetView topLeftCell="A34" workbookViewId="0">
      <selection activeCell="I41" sqref="I41"/>
    </sheetView>
  </sheetViews>
  <sheetFormatPr baseColWidth="10" defaultRowHeight="14.4"/>
  <cols>
    <col min="6" max="6" width="11.44140625" customWidth="1"/>
    <col min="7" max="7" width="11.6640625" bestFit="1" customWidth="1"/>
    <col min="8" max="8" width="23.44140625" customWidth="1"/>
  </cols>
  <sheetData>
    <row r="1" spans="1:10">
      <c r="A1" s="894" t="s">
        <v>17</v>
      </c>
      <c r="B1" s="894" t="s">
        <v>1077</v>
      </c>
    </row>
    <row r="2" spans="1:10">
      <c r="I2" s="894">
        <v>2015</v>
      </c>
    </row>
    <row r="4" spans="1:10">
      <c r="H4" t="s">
        <v>1082</v>
      </c>
      <c r="I4">
        <v>830</v>
      </c>
      <c r="J4" t="s">
        <v>1078</v>
      </c>
    </row>
    <row r="5" spans="1:10">
      <c r="I5" t="s">
        <v>1071</v>
      </c>
      <c r="J5" t="s">
        <v>18</v>
      </c>
    </row>
    <row r="6" spans="1:10">
      <c r="H6" t="s">
        <v>80</v>
      </c>
      <c r="I6" s="911">
        <v>2391657</v>
      </c>
      <c r="J6" s="914">
        <f>I6*$I$4/10^6</f>
        <v>1985.0753099999999</v>
      </c>
    </row>
    <row r="7" spans="1:10">
      <c r="H7" t="s">
        <v>1079</v>
      </c>
      <c r="I7" s="911">
        <v>101899</v>
      </c>
      <c r="J7" s="911">
        <f>I7*$I$4/10^6</f>
        <v>84.576170000000005</v>
      </c>
    </row>
    <row r="8" spans="1:10">
      <c r="H8" t="s">
        <v>1080</v>
      </c>
      <c r="I8" s="911">
        <v>563292</v>
      </c>
      <c r="J8" s="911">
        <f>I8*$I$4/10^6</f>
        <v>467.53235999999998</v>
      </c>
    </row>
    <row r="9" spans="1:10">
      <c r="H9" t="s">
        <v>1081</v>
      </c>
      <c r="I9" s="911">
        <v>187004</v>
      </c>
      <c r="J9" s="911">
        <f>I9*$I$4/10^6</f>
        <v>155.21332000000001</v>
      </c>
    </row>
    <row r="12" spans="1:10">
      <c r="H12" t="s">
        <v>1083</v>
      </c>
      <c r="I12">
        <v>745</v>
      </c>
      <c r="J12" t="s">
        <v>1078</v>
      </c>
    </row>
    <row r="13" spans="1:10">
      <c r="I13" t="s">
        <v>1071</v>
      </c>
      <c r="J13" t="s">
        <v>18</v>
      </c>
    </row>
    <row r="14" spans="1:10">
      <c r="H14" t="s">
        <v>1084</v>
      </c>
      <c r="I14" s="911">
        <v>254894</v>
      </c>
      <c r="J14" s="911">
        <f t="shared" ref="J14:J19" si="0">I14*$I$12/10^6</f>
        <v>189.89603</v>
      </c>
    </row>
    <row r="15" spans="1:10">
      <c r="H15" t="s">
        <v>1085</v>
      </c>
      <c r="I15" s="911">
        <v>301981</v>
      </c>
      <c r="J15" s="911">
        <f t="shared" si="0"/>
        <v>224.97584499999999</v>
      </c>
    </row>
    <row r="16" spans="1:10">
      <c r="H16" t="s">
        <v>1080</v>
      </c>
      <c r="I16" s="911">
        <v>25614</v>
      </c>
      <c r="J16" s="911">
        <f t="shared" si="0"/>
        <v>19.082429999999999</v>
      </c>
    </row>
    <row r="17" spans="8:10">
      <c r="H17" t="s">
        <v>701</v>
      </c>
      <c r="I17" s="911">
        <v>244935</v>
      </c>
      <c r="J17" s="911">
        <f t="shared" si="0"/>
        <v>182.476575</v>
      </c>
    </row>
    <row r="18" spans="8:10">
      <c r="H18" t="s">
        <v>1086</v>
      </c>
      <c r="I18" s="911">
        <v>33901</v>
      </c>
      <c r="J18" s="911">
        <f t="shared" si="0"/>
        <v>25.256245</v>
      </c>
    </row>
    <row r="19" spans="8:10">
      <c r="H19" t="s">
        <v>1081</v>
      </c>
      <c r="I19" s="911">
        <v>7726</v>
      </c>
      <c r="J19" s="911">
        <f t="shared" si="0"/>
        <v>5.7558699999999998</v>
      </c>
    </row>
    <row r="22" spans="8:10">
      <c r="I22" s="894">
        <v>2019</v>
      </c>
    </row>
    <row r="24" spans="8:10">
      <c r="I24" t="s">
        <v>1071</v>
      </c>
      <c r="J24" t="s">
        <v>18</v>
      </c>
    </row>
    <row r="25" spans="8:10">
      <c r="H25" t="s">
        <v>80</v>
      </c>
      <c r="I25" s="911">
        <v>1759031</v>
      </c>
      <c r="J25" s="914">
        <f>I25*$I$4/10^6</f>
        <v>1459.9957300000001</v>
      </c>
    </row>
    <row r="26" spans="8:10">
      <c r="H26" t="s">
        <v>1079</v>
      </c>
      <c r="I26" s="911">
        <v>195446</v>
      </c>
      <c r="J26" s="911">
        <f>I26*$I$4/10^6</f>
        <v>162.22018</v>
      </c>
    </row>
    <row r="27" spans="8:10">
      <c r="H27" t="s">
        <v>1080</v>
      </c>
      <c r="I27" s="911">
        <v>806087</v>
      </c>
      <c r="J27" s="911">
        <f>I27*$I$4/10^6</f>
        <v>669.05220999999995</v>
      </c>
    </row>
    <row r="28" spans="8:10">
      <c r="H28" t="s">
        <v>82</v>
      </c>
      <c r="I28" s="911">
        <v>639973</v>
      </c>
      <c r="J28" s="914">
        <f>I28*$I$4/10^6</f>
        <v>531.17759000000001</v>
      </c>
    </row>
    <row r="29" spans="8:10">
      <c r="H29" t="s">
        <v>1081</v>
      </c>
      <c r="I29" s="911">
        <v>137301</v>
      </c>
      <c r="J29" s="911">
        <f>I29*$I$4/10^6</f>
        <v>113.95983</v>
      </c>
    </row>
    <row r="31" spans="8:10">
      <c r="I31" t="s">
        <v>1071</v>
      </c>
      <c r="J31" t="s">
        <v>18</v>
      </c>
    </row>
    <row r="32" spans="8:10">
      <c r="H32" t="s">
        <v>1084</v>
      </c>
      <c r="I32" s="911">
        <v>249641</v>
      </c>
      <c r="J32" s="911">
        <f t="shared" ref="J32:J37" si="1">I32*$I$12/10^6</f>
        <v>185.98254499999999</v>
      </c>
    </row>
    <row r="33" spans="8:10">
      <c r="H33" t="s">
        <v>1085</v>
      </c>
      <c r="I33" s="911">
        <v>352620</v>
      </c>
      <c r="J33" s="911">
        <f t="shared" si="1"/>
        <v>262.70190000000002</v>
      </c>
    </row>
    <row r="34" spans="8:10">
      <c r="H34" t="s">
        <v>1080</v>
      </c>
      <c r="I34" s="911">
        <v>83404</v>
      </c>
      <c r="J34" s="911">
        <f t="shared" si="1"/>
        <v>62.135980000000004</v>
      </c>
    </row>
    <row r="35" spans="8:10">
      <c r="H35" t="s">
        <v>701</v>
      </c>
      <c r="I35" s="911">
        <v>449035</v>
      </c>
      <c r="J35" s="911">
        <f t="shared" si="1"/>
        <v>334.53107499999999</v>
      </c>
    </row>
    <row r="36" spans="8:10">
      <c r="H36" t="s">
        <v>1086</v>
      </c>
      <c r="I36" s="911">
        <v>68263</v>
      </c>
      <c r="J36" s="911">
        <f t="shared" si="1"/>
        <v>50.855935000000002</v>
      </c>
    </row>
    <row r="37" spans="8:10">
      <c r="H37" t="s">
        <v>1081</v>
      </c>
      <c r="I37" s="911">
        <v>58853</v>
      </c>
      <c r="J37" s="911">
        <f t="shared" si="1"/>
        <v>43.845484999999996</v>
      </c>
    </row>
    <row r="41" spans="8:10">
      <c r="I41" s="894">
        <v>2023</v>
      </c>
    </row>
    <row r="43" spans="8:10">
      <c r="I43" t="s">
        <v>1071</v>
      </c>
      <c r="J43" t="s">
        <v>18</v>
      </c>
    </row>
    <row r="44" spans="8:10">
      <c r="H44" t="s">
        <v>80</v>
      </c>
      <c r="I44" s="911">
        <v>2621285</v>
      </c>
      <c r="J44" s="914">
        <f>I44*$I$4/10^6</f>
        <v>2175.6665499999999</v>
      </c>
    </row>
    <row r="45" spans="8:10">
      <c r="H45" t="s">
        <v>1087</v>
      </c>
      <c r="I45" s="911">
        <v>117075</v>
      </c>
      <c r="J45" s="911">
        <f t="shared" ref="J45:J46" si="2">I45*$I$4/10^6</f>
        <v>97.172250000000005</v>
      </c>
    </row>
    <row r="46" spans="8:10">
      <c r="H46" t="s">
        <v>1088</v>
      </c>
      <c r="I46" s="911">
        <v>110736</v>
      </c>
      <c r="J46" s="911">
        <f t="shared" si="2"/>
        <v>91.910880000000006</v>
      </c>
    </row>
    <row r="47" spans="8:10">
      <c r="H47" t="s">
        <v>1079</v>
      </c>
      <c r="I47" s="911">
        <v>257400</v>
      </c>
      <c r="J47" s="911">
        <f>I47*$I$4/10^6</f>
        <v>213.642</v>
      </c>
    </row>
    <row r="48" spans="8:10">
      <c r="H48" t="s">
        <v>81</v>
      </c>
      <c r="I48" s="911">
        <v>108681</v>
      </c>
      <c r="J48" s="914">
        <f>I48*$I$4/10^6</f>
        <v>90.20523</v>
      </c>
    </row>
    <row r="49" spans="8:10">
      <c r="H49" t="s">
        <v>1081</v>
      </c>
      <c r="I49" s="911">
        <v>87107</v>
      </c>
      <c r="J49" s="911">
        <f>I49*$I$4/10^6</f>
        <v>72.298810000000003</v>
      </c>
    </row>
    <row r="52" spans="8:10">
      <c r="I52" t="s">
        <v>1071</v>
      </c>
      <c r="J52" t="s">
        <v>18</v>
      </c>
    </row>
    <row r="53" spans="8:10">
      <c r="H53" t="s">
        <v>1084</v>
      </c>
      <c r="I53" s="911">
        <v>106063</v>
      </c>
      <c r="J53" s="911">
        <f>I53*$I$12/10^6</f>
        <v>79.016935000000004</v>
      </c>
    </row>
    <row r="54" spans="8:10">
      <c r="H54" t="s">
        <v>1085</v>
      </c>
      <c r="I54" s="911">
        <v>350615</v>
      </c>
      <c r="J54" s="911">
        <f>I54*$I$12/10^6</f>
        <v>261.20817499999998</v>
      </c>
    </row>
    <row r="55" spans="8:10">
      <c r="H55" t="s">
        <v>1089</v>
      </c>
      <c r="I55" s="911">
        <v>111970</v>
      </c>
      <c r="J55" s="911">
        <f t="shared" ref="J55:J60" si="3">I55*$I$12/10^6</f>
        <v>83.417649999999995</v>
      </c>
    </row>
    <row r="56" spans="8:10">
      <c r="H56" t="s">
        <v>1087</v>
      </c>
      <c r="I56" s="911">
        <v>41147</v>
      </c>
      <c r="J56" s="911">
        <f t="shared" si="3"/>
        <v>30.654515</v>
      </c>
    </row>
    <row r="57" spans="8:10">
      <c r="H57" t="s">
        <v>1090</v>
      </c>
      <c r="I57" s="911">
        <v>185292</v>
      </c>
      <c r="J57" s="911">
        <f t="shared" si="3"/>
        <v>138.04254</v>
      </c>
    </row>
    <row r="58" spans="8:10">
      <c r="H58" t="s">
        <v>701</v>
      </c>
      <c r="I58" s="911">
        <v>641504</v>
      </c>
      <c r="J58" s="911">
        <f t="shared" si="3"/>
        <v>477.92048</v>
      </c>
    </row>
    <row r="59" spans="8:10">
      <c r="H59" t="s">
        <v>1091</v>
      </c>
      <c r="I59" s="911">
        <v>74067</v>
      </c>
      <c r="J59" s="911">
        <f t="shared" si="3"/>
        <v>55.179915000000001</v>
      </c>
    </row>
    <row r="60" spans="8:10">
      <c r="H60" t="s">
        <v>1081</v>
      </c>
      <c r="I60" s="911">
        <v>141498</v>
      </c>
      <c r="J60" s="911">
        <f t="shared" si="3"/>
        <v>105.41601</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58D96-4FAD-43FA-B432-C61BB7171E99}">
  <sheetPr>
    <tabColor rgb="FF92D050"/>
  </sheetPr>
  <dimension ref="A1:S14"/>
  <sheetViews>
    <sheetView workbookViewId="0">
      <pane xSplit="2" ySplit="1" topLeftCell="C2" activePane="bottomRight" state="frozen"/>
      <selection activeCell="B15" sqref="B15"/>
      <selection pane="topRight" activeCell="B15" sqref="B15"/>
      <selection pane="bottomLeft" activeCell="B15" sqref="B15"/>
      <selection pane="bottomRight"/>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Produits!$B$13</f>
        <v>Huile</v>
      </c>
      <c r="B2" t="str">
        <f>Secteurs!$B$19</f>
        <v>GMS</v>
      </c>
      <c r="C2" s="911">
        <f>'Conso huile GMS -NIELSEN'!L45</f>
        <v>26.811222995600005</v>
      </c>
      <c r="E2" t="str">
        <f>Etiquettes!$C$3</f>
        <v>kt</v>
      </c>
      <c r="F2" s="21" t="str">
        <f>Etiquettes!$H$6</f>
        <v>Colza</v>
      </c>
      <c r="G2" s="913" t="str">
        <f>Etiquettes!$H$5</f>
        <v>2015-16</v>
      </c>
      <c r="H2" t="str">
        <f>Etiquettes!$C$4</f>
        <v>France entière</v>
      </c>
      <c r="I2" s="101" t="s">
        <v>1171</v>
      </c>
      <c r="J2" s="21" t="s">
        <v>1299</v>
      </c>
      <c r="K2" s="21" t="s">
        <v>1133</v>
      </c>
      <c r="L2" s="101" t="s">
        <v>1494</v>
      </c>
      <c r="M2" s="21" t="str">
        <f>Etiquettes!$H$11</f>
        <v>Volume</v>
      </c>
      <c r="N2" s="21" t="str">
        <f t="shared" ref="N2:N7" si="0">_xlfn.CONCAT(I2,IF(ISBLANK(C2),"",_xlfn.CONCAT(" = ",MROUND(C2,1)," ",E2))," (",K2,")")</f>
        <v>Consommation d'huile par les GMS = 27 kt (Nielsen)</v>
      </c>
      <c r="O2" t="str">
        <f>Etiquettes!$K$15</f>
        <v>Approximative</v>
      </c>
      <c r="P2" s="976" t="s">
        <v>1468</v>
      </c>
      <c r="Q2" s="976" t="str">
        <f>Etiquettes!$H$17</f>
        <v>Donnée collectée (valeur du flux ou coefficient)</v>
      </c>
    </row>
    <row r="3" spans="1:19">
      <c r="A3" t="str">
        <f>Produits!$B$13</f>
        <v>Huile</v>
      </c>
      <c r="B3" t="str">
        <f>Secteurs!$B$19</f>
        <v>GMS</v>
      </c>
      <c r="C3" s="958">
        <f>'Conso huile GMS -NIELSEN'!L46</f>
        <v>119.92696570000001</v>
      </c>
      <c r="E3" t="str">
        <f>Etiquettes!$C$3</f>
        <v>kt</v>
      </c>
      <c r="F3" s="21" t="str">
        <f>Etiquettes!$I$6</f>
        <v>Tournesol</v>
      </c>
      <c r="G3" s="913" t="str">
        <f>Etiquettes!$H$5</f>
        <v>2015-16</v>
      </c>
      <c r="H3" t="str">
        <f>Etiquettes!$C$4</f>
        <v>France entière</v>
      </c>
      <c r="I3" s="101" t="s">
        <v>1171</v>
      </c>
      <c r="J3" s="21" t="s">
        <v>1299</v>
      </c>
      <c r="K3" s="21" t="s">
        <v>1133</v>
      </c>
      <c r="L3" s="101" t="s">
        <v>1494</v>
      </c>
      <c r="M3" s="21" t="str">
        <f>Etiquettes!$H$11</f>
        <v>Volume</v>
      </c>
      <c r="N3" s="21" t="str">
        <f t="shared" si="0"/>
        <v>Consommation d'huile par les GMS = 120 kt (Nielsen)</v>
      </c>
      <c r="O3" t="str">
        <f>Etiquettes!$K$15</f>
        <v>Approximative</v>
      </c>
      <c r="P3" s="976" t="s">
        <v>1468</v>
      </c>
      <c r="Q3" s="976" t="str">
        <f>Etiquettes!$H$17</f>
        <v>Donnée collectée (valeur du flux ou coefficient)</v>
      </c>
    </row>
    <row r="4" spans="1:19">
      <c r="A4" t="str">
        <f>Produits!$B$13</f>
        <v>Huile</v>
      </c>
      <c r="B4" t="str">
        <f>Secteurs!$B$19</f>
        <v>GMS</v>
      </c>
      <c r="C4" s="911">
        <f>'Conso huile GMS -NIELSEN'!P45</f>
        <v>27.078449819040006</v>
      </c>
      <c r="E4" t="str">
        <f>Etiquettes!$C$3</f>
        <v>kt</v>
      </c>
      <c r="F4" s="21" t="str">
        <f>Etiquettes!$H$6</f>
        <v>Colza</v>
      </c>
      <c r="G4" s="913" t="str">
        <f>Etiquettes!$I$5</f>
        <v>2019-20</v>
      </c>
      <c r="H4" t="str">
        <f>Etiquettes!$C$4</f>
        <v>France entière</v>
      </c>
      <c r="I4" s="101" t="s">
        <v>1171</v>
      </c>
      <c r="J4" s="21" t="s">
        <v>1300</v>
      </c>
      <c r="K4" s="21" t="s">
        <v>1133</v>
      </c>
      <c r="L4" s="101" t="s">
        <v>1494</v>
      </c>
      <c r="M4" s="21" t="str">
        <f>Etiquettes!$H$11</f>
        <v>Volume</v>
      </c>
      <c r="N4" s="21" t="str">
        <f t="shared" si="0"/>
        <v>Consommation d'huile par les GMS = 27 kt (Nielsen)</v>
      </c>
      <c r="O4" t="str">
        <f>Etiquettes!$K$15</f>
        <v>Approximative</v>
      </c>
      <c r="P4" s="976" t="s">
        <v>1468</v>
      </c>
      <c r="Q4" s="976" t="str">
        <f>Etiquettes!$H$17</f>
        <v>Donnée collectée (valeur du flux ou coefficient)</v>
      </c>
    </row>
    <row r="5" spans="1:19">
      <c r="A5" t="str">
        <f>Produits!$B$13</f>
        <v>Huile</v>
      </c>
      <c r="B5" t="str">
        <f>Secteurs!$B$19</f>
        <v>GMS</v>
      </c>
      <c r="C5" s="911">
        <f>'Conso huile GMS -NIELSEN'!P46</f>
        <v>101.58693601500001</v>
      </c>
      <c r="E5" t="str">
        <f>Etiquettes!$C$3</f>
        <v>kt</v>
      </c>
      <c r="F5" s="21" t="str">
        <f>Etiquettes!$I$6</f>
        <v>Tournesol</v>
      </c>
      <c r="G5" s="913" t="str">
        <f>Etiquettes!$I$5</f>
        <v>2019-20</v>
      </c>
      <c r="H5" t="str">
        <f>Etiquettes!$C$4</f>
        <v>France entière</v>
      </c>
      <c r="I5" s="101" t="s">
        <v>1171</v>
      </c>
      <c r="J5" s="21" t="s">
        <v>1300</v>
      </c>
      <c r="K5" s="21" t="s">
        <v>1133</v>
      </c>
      <c r="L5" s="101" t="s">
        <v>1494</v>
      </c>
      <c r="M5" s="21" t="str">
        <f>Etiquettes!$H$11</f>
        <v>Volume</v>
      </c>
      <c r="N5" s="21" t="str">
        <f t="shared" si="0"/>
        <v>Consommation d'huile par les GMS = 102 kt (Nielsen)</v>
      </c>
      <c r="O5" t="str">
        <f>Etiquettes!$K$15</f>
        <v>Approximative</v>
      </c>
      <c r="P5" s="976" t="s">
        <v>1468</v>
      </c>
      <c r="Q5" s="976" t="str">
        <f>Etiquettes!$H$17</f>
        <v>Donnée collectée (valeur du flux ou coefficient)</v>
      </c>
    </row>
    <row r="6" spans="1:19">
      <c r="A6" t="str">
        <f>Produits!$B$13</f>
        <v>Huile</v>
      </c>
      <c r="B6" t="str">
        <f>Secteurs!$B$19</f>
        <v>GMS</v>
      </c>
      <c r="C6" s="911">
        <f>'Conso huile GMS -NIELSEN'!T45</f>
        <v>30.353870397401604</v>
      </c>
      <c r="E6" t="str">
        <f>Etiquettes!$C$3</f>
        <v>kt</v>
      </c>
      <c r="F6" s="21" t="str">
        <f>Etiquettes!$H$6</f>
        <v>Colza</v>
      </c>
      <c r="G6" s="913" t="str">
        <f>Etiquettes!$J$5</f>
        <v>2023-24</v>
      </c>
      <c r="H6" t="str">
        <f>Etiquettes!$C$4</f>
        <v>France entière</v>
      </c>
      <c r="I6" s="101" t="s">
        <v>1171</v>
      </c>
      <c r="J6" s="21" t="s">
        <v>1301</v>
      </c>
      <c r="K6" s="21" t="s">
        <v>1133</v>
      </c>
      <c r="L6" s="101" t="s">
        <v>1494</v>
      </c>
      <c r="M6" s="21" t="str">
        <f>Etiquettes!$H$11</f>
        <v>Volume</v>
      </c>
      <c r="N6" s="21" t="str">
        <f t="shared" si="0"/>
        <v>Consommation d'huile par les GMS = 30 kt (Nielsen)</v>
      </c>
      <c r="O6" t="str">
        <f>Etiquettes!$K$15</f>
        <v>Approximative</v>
      </c>
      <c r="P6" s="976" t="s">
        <v>1468</v>
      </c>
      <c r="Q6" s="976" t="str">
        <f>Etiquettes!$H$17</f>
        <v>Donnée collectée (valeur du flux ou coefficient)</v>
      </c>
    </row>
    <row r="7" spans="1:19">
      <c r="A7" t="str">
        <f>Produits!$B$13</f>
        <v>Huile</v>
      </c>
      <c r="B7" t="str">
        <f>Secteurs!$B$19</f>
        <v>GMS</v>
      </c>
      <c r="C7" s="911">
        <f>'Conso huile GMS -NIELSEN'!T46</f>
        <v>88.553492335548015</v>
      </c>
      <c r="E7" t="str">
        <f>Etiquettes!$C$3</f>
        <v>kt</v>
      </c>
      <c r="F7" s="21" t="str">
        <f>Etiquettes!$I$6</f>
        <v>Tournesol</v>
      </c>
      <c r="G7" s="913" t="str">
        <f>Etiquettes!$J$5</f>
        <v>2023-24</v>
      </c>
      <c r="H7" t="str">
        <f>Etiquettes!$C$4</f>
        <v>France entière</v>
      </c>
      <c r="I7" s="101" t="s">
        <v>1171</v>
      </c>
      <c r="J7" s="21" t="s">
        <v>1301</v>
      </c>
      <c r="K7" s="21" t="s">
        <v>1133</v>
      </c>
      <c r="L7" s="101" t="s">
        <v>1494</v>
      </c>
      <c r="M7" s="21" t="str">
        <f>Etiquettes!$H$11</f>
        <v>Volume</v>
      </c>
      <c r="N7" s="21" t="str">
        <f t="shared" si="0"/>
        <v>Consommation d'huile par les GMS = 89 kt (Nielsen)</v>
      </c>
      <c r="O7" t="str">
        <f>Etiquettes!$K$15</f>
        <v>Approximative</v>
      </c>
      <c r="P7" s="976" t="s">
        <v>1468</v>
      </c>
      <c r="Q7" s="976" t="str">
        <f>Etiquettes!$H$17</f>
        <v>Donnée collectée (valeur du flux ou coefficient)</v>
      </c>
    </row>
    <row r="9" spans="1:19">
      <c r="G9" s="913"/>
    </row>
    <row r="10" spans="1:19">
      <c r="G10" s="913"/>
    </row>
    <row r="11" spans="1:19">
      <c r="G11" s="913"/>
    </row>
    <row r="12" spans="1:19">
      <c r="G12" s="913"/>
    </row>
    <row r="13" spans="1:19">
      <c r="G13" s="913"/>
    </row>
    <row r="14" spans="1:19">
      <c r="G14" s="913"/>
    </row>
  </sheetData>
  <phoneticPr fontId="114" type="noConversion"/>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A5518-1CA1-4814-9C34-7AE05B035907}">
  <sheetPr>
    <tabColor rgb="FFFFC000"/>
  </sheetPr>
  <dimension ref="A6:U46"/>
  <sheetViews>
    <sheetView topLeftCell="A10" workbookViewId="0">
      <selection activeCell="A34" sqref="A34"/>
    </sheetView>
  </sheetViews>
  <sheetFormatPr baseColWidth="10" defaultRowHeight="14.4"/>
  <cols>
    <col min="2" max="2" width="13" customWidth="1"/>
    <col min="3" max="3" width="12.77734375" customWidth="1"/>
    <col min="4" max="4" width="13.77734375" customWidth="1"/>
    <col min="5" max="5" width="13.33203125" customWidth="1"/>
    <col min="6" max="6" width="13.109375" customWidth="1"/>
    <col min="7" max="7" width="12.5546875" customWidth="1"/>
    <col min="8" max="8" width="13.21875" customWidth="1"/>
    <col min="9" max="9" width="13.109375" customWidth="1"/>
    <col min="10" max="10" width="13.21875" customWidth="1"/>
    <col min="11" max="11" width="13.77734375" customWidth="1"/>
    <col min="12" max="12" width="13.21875" customWidth="1"/>
    <col min="13" max="13" width="13.6640625" customWidth="1"/>
    <col min="14" max="14" width="13.88671875" customWidth="1"/>
    <col min="15" max="15" width="13.109375" customWidth="1"/>
    <col min="16" max="16" width="13.21875" customWidth="1"/>
    <col min="17" max="17" width="12.77734375" customWidth="1"/>
    <col min="18" max="18" width="12.44140625" customWidth="1"/>
    <col min="19" max="19" width="12.77734375" customWidth="1"/>
    <col min="20" max="20" width="12.5546875" customWidth="1"/>
    <col min="21" max="21" width="13.33203125" customWidth="1"/>
  </cols>
  <sheetData>
    <row r="6" spans="13:16">
      <c r="M6" t="s">
        <v>1105</v>
      </c>
      <c r="N6">
        <v>2015</v>
      </c>
      <c r="O6">
        <v>2019</v>
      </c>
      <c r="P6">
        <v>2023</v>
      </c>
    </row>
    <row r="7" spans="13:16">
      <c r="M7" t="s">
        <v>946</v>
      </c>
      <c r="N7">
        <v>5</v>
      </c>
      <c r="O7">
        <v>5</v>
      </c>
      <c r="P7">
        <v>3</v>
      </c>
    </row>
    <row r="8" spans="13:16">
      <c r="M8" t="s">
        <v>81</v>
      </c>
      <c r="N8">
        <v>130</v>
      </c>
      <c r="O8">
        <v>110</v>
      </c>
      <c r="P8">
        <v>100</v>
      </c>
    </row>
    <row r="9" spans="13:16">
      <c r="M9" t="s">
        <v>1102</v>
      </c>
      <c r="N9">
        <v>5</v>
      </c>
      <c r="O9">
        <v>2</v>
      </c>
      <c r="P9">
        <v>2</v>
      </c>
    </row>
    <row r="10" spans="13:16">
      <c r="M10" t="s">
        <v>1012</v>
      </c>
      <c r="N10">
        <v>80</v>
      </c>
      <c r="O10">
        <v>80</v>
      </c>
      <c r="P10">
        <v>75</v>
      </c>
    </row>
    <row r="11" spans="13:16">
      <c r="M11" t="s">
        <v>1103</v>
      </c>
      <c r="N11">
        <v>20</v>
      </c>
      <c r="O11">
        <v>18</v>
      </c>
      <c r="P11">
        <v>18</v>
      </c>
    </row>
    <row r="12" spans="13:16">
      <c r="M12" t="s">
        <v>1104</v>
      </c>
      <c r="N12">
        <v>35</v>
      </c>
      <c r="O12">
        <v>35</v>
      </c>
      <c r="P12">
        <v>30</v>
      </c>
    </row>
    <row r="13" spans="13:16">
      <c r="M13" t="s">
        <v>80</v>
      </c>
      <c r="N13">
        <v>25</v>
      </c>
      <c r="O13">
        <v>25</v>
      </c>
      <c r="P13">
        <v>25</v>
      </c>
    </row>
    <row r="14" spans="13:16">
      <c r="M14" t="s">
        <v>1018</v>
      </c>
      <c r="N14">
        <v>5</v>
      </c>
      <c r="O14">
        <v>3</v>
      </c>
      <c r="P14">
        <v>2</v>
      </c>
    </row>
    <row r="15" spans="13:16">
      <c r="N15">
        <f>SUM(N7:N14)</f>
        <v>305</v>
      </c>
      <c r="O15">
        <f t="shared" ref="O15:P15" si="0">SUM(O7:O14)</f>
        <v>278</v>
      </c>
      <c r="P15">
        <f t="shared" si="0"/>
        <v>255</v>
      </c>
    </row>
    <row r="17" spans="13:17">
      <c r="M17" t="s">
        <v>1106</v>
      </c>
      <c r="P17">
        <v>920</v>
      </c>
      <c r="Q17" t="s">
        <v>1078</v>
      </c>
    </row>
    <row r="19" spans="13:17">
      <c r="M19" t="s">
        <v>1107</v>
      </c>
      <c r="N19">
        <v>2015</v>
      </c>
      <c r="O19">
        <v>2019</v>
      </c>
      <c r="P19">
        <v>2023</v>
      </c>
    </row>
    <row r="20" spans="13:17">
      <c r="M20" t="s">
        <v>946</v>
      </c>
      <c r="N20">
        <f t="shared" ref="N20:P27" si="1">N7*$P$17/10^3</f>
        <v>4.5999999999999996</v>
      </c>
      <c r="O20">
        <f t="shared" si="1"/>
        <v>4.5999999999999996</v>
      </c>
      <c r="P20">
        <f t="shared" si="1"/>
        <v>2.76</v>
      </c>
    </row>
    <row r="21" spans="13:17">
      <c r="M21" t="s">
        <v>81</v>
      </c>
      <c r="N21" s="928">
        <f t="shared" si="1"/>
        <v>119.6</v>
      </c>
      <c r="O21" s="928">
        <f t="shared" si="1"/>
        <v>101.2</v>
      </c>
      <c r="P21" s="928">
        <f t="shared" si="1"/>
        <v>92</v>
      </c>
    </row>
    <row r="22" spans="13:17">
      <c r="M22" t="s">
        <v>1102</v>
      </c>
      <c r="N22">
        <f t="shared" si="1"/>
        <v>4.5999999999999996</v>
      </c>
      <c r="O22">
        <f t="shared" si="1"/>
        <v>1.84</v>
      </c>
      <c r="P22">
        <f t="shared" si="1"/>
        <v>1.84</v>
      </c>
    </row>
    <row r="23" spans="13:17">
      <c r="M23" t="s">
        <v>1012</v>
      </c>
      <c r="N23">
        <f t="shared" si="1"/>
        <v>73.599999999999994</v>
      </c>
      <c r="O23">
        <f t="shared" si="1"/>
        <v>73.599999999999994</v>
      </c>
      <c r="P23">
        <f t="shared" si="1"/>
        <v>69</v>
      </c>
    </row>
    <row r="24" spans="13:17">
      <c r="M24" t="s">
        <v>1103</v>
      </c>
      <c r="N24">
        <f t="shared" si="1"/>
        <v>18.399999999999999</v>
      </c>
      <c r="O24">
        <f t="shared" si="1"/>
        <v>16.559999999999999</v>
      </c>
      <c r="P24">
        <f t="shared" si="1"/>
        <v>16.559999999999999</v>
      </c>
    </row>
    <row r="25" spans="13:17">
      <c r="M25" t="s">
        <v>1104</v>
      </c>
      <c r="N25">
        <f t="shared" si="1"/>
        <v>32.200000000000003</v>
      </c>
      <c r="O25">
        <f t="shared" si="1"/>
        <v>32.200000000000003</v>
      </c>
      <c r="P25">
        <f t="shared" si="1"/>
        <v>27.6</v>
      </c>
    </row>
    <row r="26" spans="13:17">
      <c r="M26" t="s">
        <v>80</v>
      </c>
      <c r="N26" s="928">
        <f t="shared" si="1"/>
        <v>23</v>
      </c>
      <c r="O26" s="928">
        <f t="shared" si="1"/>
        <v>23</v>
      </c>
      <c r="P26" s="928">
        <f t="shared" si="1"/>
        <v>23</v>
      </c>
    </row>
    <row r="27" spans="13:17">
      <c r="M27" t="s">
        <v>1018</v>
      </c>
      <c r="N27">
        <f t="shared" si="1"/>
        <v>4.5999999999999996</v>
      </c>
      <c r="O27">
        <f t="shared" si="1"/>
        <v>2.76</v>
      </c>
      <c r="P27">
        <f t="shared" si="1"/>
        <v>1.84</v>
      </c>
    </row>
    <row r="28" spans="13:17">
      <c r="N28">
        <f>SUM(N20:N27)</f>
        <v>280.60000000000002</v>
      </c>
      <c r="O28">
        <f t="shared" ref="O28" si="2">SUM(O20:O27)</f>
        <v>255.76</v>
      </c>
      <c r="P28">
        <f t="shared" ref="P28" si="3">SUM(P20:P27)</f>
        <v>234.60000000000002</v>
      </c>
    </row>
    <row r="33" spans="1:21">
      <c r="A33" t="s">
        <v>1380</v>
      </c>
    </row>
    <row r="35" spans="1:21">
      <c r="A35" s="949" t="s">
        <v>1353</v>
      </c>
      <c r="B35" s="949" t="s">
        <v>1354</v>
      </c>
      <c r="C35" s="949" t="s">
        <v>1355</v>
      </c>
      <c r="D35" s="949"/>
      <c r="E35" s="949"/>
      <c r="F35" s="949"/>
      <c r="G35" s="949"/>
      <c r="H35" s="949"/>
      <c r="I35" s="949"/>
      <c r="J35" s="949"/>
      <c r="K35" s="949"/>
      <c r="L35" s="949"/>
      <c r="M35" s="949"/>
      <c r="N35" s="949"/>
      <c r="O35" s="950"/>
      <c r="P35" s="951"/>
      <c r="Q35" s="951"/>
      <c r="R35" s="951"/>
      <c r="S35" s="951"/>
      <c r="T35" s="951"/>
      <c r="U35" s="951"/>
    </row>
    <row r="36" spans="1:21">
      <c r="A36" s="952"/>
      <c r="B36" s="953" t="s">
        <v>1356</v>
      </c>
      <c r="C36" s="953" t="s">
        <v>1357</v>
      </c>
      <c r="D36" s="953" t="s">
        <v>1358</v>
      </c>
      <c r="E36" s="953" t="s">
        <v>1359</v>
      </c>
      <c r="F36" s="953" t="s">
        <v>1360</v>
      </c>
      <c r="G36" s="953" t="s">
        <v>1361</v>
      </c>
      <c r="H36" s="953" t="s">
        <v>1362</v>
      </c>
      <c r="I36" s="953" t="s">
        <v>1363</v>
      </c>
      <c r="J36" s="953" t="s">
        <v>1364</v>
      </c>
      <c r="K36" s="953" t="s">
        <v>1365</v>
      </c>
      <c r="L36" s="953" t="s">
        <v>198</v>
      </c>
      <c r="M36" s="953" t="s">
        <v>1366</v>
      </c>
      <c r="N36" s="953" t="s">
        <v>1367</v>
      </c>
      <c r="O36" s="954" t="s">
        <v>1368</v>
      </c>
      <c r="P36" s="954" t="s">
        <v>199</v>
      </c>
      <c r="Q36" s="954" t="s">
        <v>1369</v>
      </c>
      <c r="R36" s="954" t="s">
        <v>1370</v>
      </c>
      <c r="S36" s="954" t="s">
        <v>1371</v>
      </c>
      <c r="T36" s="954" t="s">
        <v>200</v>
      </c>
      <c r="U36" s="954" t="s">
        <v>1372</v>
      </c>
    </row>
    <row r="37" spans="1:21">
      <c r="A37" s="955" t="s">
        <v>1373</v>
      </c>
      <c r="B37" s="956">
        <v>27619737.699999999</v>
      </c>
      <c r="C37" s="956">
        <v>25145904.599999998</v>
      </c>
      <c r="D37" s="956">
        <v>20278904.399999999</v>
      </c>
      <c r="E37" s="956">
        <v>29171016.599999998</v>
      </c>
      <c r="F37" s="956">
        <v>30104941.599999994</v>
      </c>
      <c r="G37" s="956">
        <v>25503382.099999998</v>
      </c>
      <c r="H37" s="956">
        <v>28761288.300000001</v>
      </c>
      <c r="I37" s="956">
        <v>28539537.100000001</v>
      </c>
      <c r="J37" s="956">
        <v>29455567.299999997</v>
      </c>
      <c r="K37" s="956">
        <v>28534576.800000001</v>
      </c>
      <c r="L37" s="956">
        <v>29269894.100000001</v>
      </c>
      <c r="M37" s="956">
        <v>28834383.300000001</v>
      </c>
      <c r="N37" s="956">
        <v>29412609</v>
      </c>
      <c r="O37" s="957">
        <v>30229194.253000006</v>
      </c>
      <c r="P37" s="957">
        <v>29561626.440000005</v>
      </c>
      <c r="Q37" s="957">
        <v>28857410.25</v>
      </c>
      <c r="R37" s="957">
        <v>31161836.344000001</v>
      </c>
      <c r="S37" s="957">
        <v>32888458.502</v>
      </c>
      <c r="T37" s="957">
        <v>33137413.097600002</v>
      </c>
      <c r="U37" s="957">
        <v>32754048.111499999</v>
      </c>
    </row>
    <row r="38" spans="1:21">
      <c r="A38" s="955" t="s">
        <v>1374</v>
      </c>
      <c r="B38" s="956">
        <v>151283930.09999999</v>
      </c>
      <c r="C38" s="956">
        <v>153958492.99999997</v>
      </c>
      <c r="D38" s="956">
        <v>152035104.10000002</v>
      </c>
      <c r="E38" s="956">
        <v>139452492.30000001</v>
      </c>
      <c r="F38" s="956">
        <v>142869454</v>
      </c>
      <c r="G38" s="956">
        <v>135887769.5</v>
      </c>
      <c r="H38" s="956">
        <v>128430585.09999999</v>
      </c>
      <c r="I38" s="956">
        <v>128411156.7</v>
      </c>
      <c r="J38" s="956">
        <v>126856536.60000001</v>
      </c>
      <c r="K38" s="956">
        <v>126921802.80000001</v>
      </c>
      <c r="L38" s="956">
        <v>130355397.5</v>
      </c>
      <c r="M38" s="956">
        <v>119521556</v>
      </c>
      <c r="N38" s="956">
        <v>125513303</v>
      </c>
      <c r="O38" s="957">
        <v>114420084.125</v>
      </c>
      <c r="P38" s="957">
        <v>110420582.625</v>
      </c>
      <c r="Q38" s="957">
        <v>121936278</v>
      </c>
      <c r="R38" s="957">
        <v>124634797.87899999</v>
      </c>
      <c r="S38" s="957">
        <v>114158469.28399999</v>
      </c>
      <c r="T38" s="957">
        <v>96253796.016900003</v>
      </c>
      <c r="U38" s="957">
        <v>108432305.3515</v>
      </c>
    </row>
    <row r="40" spans="1:21">
      <c r="A40" t="s">
        <v>1375</v>
      </c>
      <c r="B40" s="937" t="s">
        <v>1376</v>
      </c>
      <c r="C40">
        <f>916*10^-9</f>
        <v>9.160000000000001E-7</v>
      </c>
    </row>
    <row r="41" spans="1:21">
      <c r="A41" t="s">
        <v>1379</v>
      </c>
      <c r="B41" s="937" t="s">
        <v>1377</v>
      </c>
      <c r="C41">
        <f>920*10^-9</f>
        <v>9.2000000000000009E-7</v>
      </c>
    </row>
    <row r="43" spans="1:21">
      <c r="A43" t="s">
        <v>1378</v>
      </c>
    </row>
    <row r="44" spans="1:21">
      <c r="A44" s="952"/>
      <c r="B44" s="953" t="s">
        <v>1356</v>
      </c>
      <c r="C44" s="953" t="s">
        <v>1357</v>
      </c>
      <c r="D44" s="953" t="s">
        <v>1358</v>
      </c>
      <c r="E44" s="953" t="s">
        <v>1359</v>
      </c>
      <c r="F44" s="953" t="s">
        <v>1360</v>
      </c>
      <c r="G44" s="953" t="s">
        <v>1361</v>
      </c>
      <c r="H44" s="953" t="s">
        <v>1362</v>
      </c>
      <c r="I44" s="953" t="s">
        <v>1363</v>
      </c>
      <c r="J44" s="953" t="s">
        <v>1364</v>
      </c>
      <c r="K44" s="953" t="s">
        <v>1365</v>
      </c>
      <c r="L44" s="953" t="s">
        <v>198</v>
      </c>
      <c r="M44" s="953" t="s">
        <v>1366</v>
      </c>
      <c r="N44" s="953" t="s">
        <v>1367</v>
      </c>
      <c r="O44" s="954" t="s">
        <v>1368</v>
      </c>
      <c r="P44" s="954" t="s">
        <v>199</v>
      </c>
      <c r="Q44" s="954" t="s">
        <v>1369</v>
      </c>
      <c r="R44" s="954" t="s">
        <v>1370</v>
      </c>
      <c r="S44" s="954" t="s">
        <v>1371</v>
      </c>
      <c r="T44" s="954" t="s">
        <v>200</v>
      </c>
      <c r="U44" s="954" t="s">
        <v>1372</v>
      </c>
    </row>
    <row r="45" spans="1:21">
      <c r="A45" s="955" t="s">
        <v>1373</v>
      </c>
      <c r="B45" s="911">
        <f>B37*$C$40</f>
        <v>25.299679733200001</v>
      </c>
      <c r="C45" s="911">
        <f t="shared" ref="C45:U45" si="4">C37*$C$40</f>
        <v>23.0336486136</v>
      </c>
      <c r="D45" s="911">
        <f t="shared" si="4"/>
        <v>18.575476430400002</v>
      </c>
      <c r="E45" s="911">
        <f t="shared" si="4"/>
        <v>26.720651205599999</v>
      </c>
      <c r="F45" s="911">
        <f t="shared" si="4"/>
        <v>27.576126505599998</v>
      </c>
      <c r="G45" s="911">
        <f t="shared" si="4"/>
        <v>23.361098003600002</v>
      </c>
      <c r="H45" s="911">
        <f t="shared" si="4"/>
        <v>26.345340082800004</v>
      </c>
      <c r="I45" s="911">
        <f t="shared" si="4"/>
        <v>26.142215983600003</v>
      </c>
      <c r="J45" s="911">
        <f t="shared" si="4"/>
        <v>26.9812996468</v>
      </c>
      <c r="K45" s="911">
        <f t="shared" si="4"/>
        <v>26.137672348800002</v>
      </c>
      <c r="L45" s="914">
        <f t="shared" si="4"/>
        <v>26.811222995600005</v>
      </c>
      <c r="M45" s="911">
        <f t="shared" si="4"/>
        <v>26.412295102800005</v>
      </c>
      <c r="N45" s="911">
        <f t="shared" si="4"/>
        <v>26.941949844000003</v>
      </c>
      <c r="O45" s="911">
        <f t="shared" si="4"/>
        <v>27.68994193574801</v>
      </c>
      <c r="P45" s="914">
        <f t="shared" si="4"/>
        <v>27.078449819040006</v>
      </c>
      <c r="Q45" s="911">
        <f t="shared" si="4"/>
        <v>26.433387789000005</v>
      </c>
      <c r="R45" s="911">
        <f t="shared" si="4"/>
        <v>28.544242091104003</v>
      </c>
      <c r="S45" s="911">
        <f t="shared" si="4"/>
        <v>30.125827987832004</v>
      </c>
      <c r="T45" s="914">
        <f t="shared" si="4"/>
        <v>30.353870397401604</v>
      </c>
      <c r="U45" s="911">
        <f t="shared" si="4"/>
        <v>30.002708070134002</v>
      </c>
    </row>
    <row r="46" spans="1:21">
      <c r="A46" s="955" t="s">
        <v>1374</v>
      </c>
      <c r="B46" s="858">
        <f>B38*$C$41</f>
        <v>139.18121569199999</v>
      </c>
      <c r="C46" s="858">
        <f t="shared" ref="C46:U46" si="5">C38*$C$41</f>
        <v>141.64181355999997</v>
      </c>
      <c r="D46" s="858">
        <f t="shared" si="5"/>
        <v>139.87229577200003</v>
      </c>
      <c r="E46" s="858">
        <f t="shared" si="5"/>
        <v>128.29629291600003</v>
      </c>
      <c r="F46" s="858">
        <f t="shared" si="5"/>
        <v>131.43989768</v>
      </c>
      <c r="G46" s="858">
        <f t="shared" si="5"/>
        <v>125.01674794000002</v>
      </c>
      <c r="H46" s="858">
        <f t="shared" si="5"/>
        <v>118.15613829200001</v>
      </c>
      <c r="I46" s="858">
        <f t="shared" si="5"/>
        <v>118.13826416400002</v>
      </c>
      <c r="J46" s="858">
        <f t="shared" si="5"/>
        <v>116.70801367200002</v>
      </c>
      <c r="K46" s="858">
        <f t="shared" si="5"/>
        <v>116.76805857600002</v>
      </c>
      <c r="L46" s="932">
        <f t="shared" si="5"/>
        <v>119.92696570000001</v>
      </c>
      <c r="M46" s="858">
        <f t="shared" si="5"/>
        <v>109.95983152000001</v>
      </c>
      <c r="N46" s="858">
        <f t="shared" si="5"/>
        <v>115.47223876000001</v>
      </c>
      <c r="O46" s="858">
        <f t="shared" si="5"/>
        <v>105.26647739500001</v>
      </c>
      <c r="P46" s="932">
        <f t="shared" si="5"/>
        <v>101.58693601500001</v>
      </c>
      <c r="Q46" s="858">
        <f t="shared" si="5"/>
        <v>112.18137576000001</v>
      </c>
      <c r="R46" s="858">
        <f t="shared" si="5"/>
        <v>114.66401404868</v>
      </c>
      <c r="S46" s="858">
        <f t="shared" si="5"/>
        <v>105.02579174128</v>
      </c>
      <c r="T46" s="932">
        <f t="shared" si="5"/>
        <v>88.553492335548015</v>
      </c>
      <c r="U46" s="858">
        <f t="shared" si="5"/>
        <v>99.75772092338002</v>
      </c>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F99D4-D27B-4552-9A44-B06856DD522E}">
  <sheetPr>
    <tabColor rgb="FF92D050"/>
  </sheetPr>
  <dimension ref="A1:S25"/>
  <sheetViews>
    <sheetView workbookViewId="0">
      <pane xSplit="2" ySplit="1" topLeftCell="C2" activePane="bottomRight" state="frozen"/>
      <selection activeCell="B15" sqref="B15"/>
      <selection pane="topRight" activeCell="B15" sqref="B15"/>
      <selection pane="bottomLeft" activeCell="B15" sqref="B15"/>
      <selection pane="bottomRight" activeCell="P2" sqref="P2:Q25"/>
    </sheetView>
  </sheetViews>
  <sheetFormatPr baseColWidth="10" defaultColWidth="9.109375" defaultRowHeight="14.4"/>
  <cols>
    <col min="1" max="1" width="13.88671875" bestFit="1" customWidth="1"/>
    <col min="2" max="2" width="33.21875" bestFit="1" customWidth="1"/>
    <col min="3" max="3" width="7.77734375"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Secteurs!$B$2</f>
        <v>Récolte</v>
      </c>
      <c r="B2" t="str">
        <f>Produits!$B$3</f>
        <v>Olives</v>
      </c>
      <c r="C2" s="911">
        <f>'Marché olive - AFIDOL, FAM'!C2</f>
        <v>35.445300000000003</v>
      </c>
      <c r="E2" t="str">
        <f>Etiquettes!$C$3</f>
        <v>kt</v>
      </c>
      <c r="F2" s="21" t="str">
        <f>Etiquettes!$R$6</f>
        <v>Olive</v>
      </c>
      <c r="G2" s="913" t="str">
        <f>Etiquettes!$H$5</f>
        <v>2015-16</v>
      </c>
      <c r="H2" t="str">
        <f>Etiquettes!$C$4</f>
        <v>France entière</v>
      </c>
      <c r="I2" s="101" t="s">
        <v>722</v>
      </c>
      <c r="K2" s="21" t="s">
        <v>1132</v>
      </c>
      <c r="L2" s="101" t="s">
        <v>1496</v>
      </c>
      <c r="M2" s="21" t="str">
        <f>Etiquettes!$H$11</f>
        <v>Volume</v>
      </c>
      <c r="N2" s="21" t="str">
        <f t="shared" ref="N2:N25" si="0">_xlfn.CONCAT(I2,IF(ISBLANK(C2),"",_xlfn.CONCAT(" = ",MROUND(C2,1)," ",E2))," (",K2,")")</f>
        <v>Récolte = 35 kt (Statistique Agricole Annuelle - SSP)</v>
      </c>
      <c r="O2" t="str">
        <f>Etiquettes!$H$15</f>
        <v>Fiable</v>
      </c>
      <c r="P2" s="976" t="s">
        <v>1468</v>
      </c>
      <c r="Q2" s="976" t="str">
        <f>Etiquettes!$H$17</f>
        <v>Donnée collectée (valeur du flux ou coefficient)</v>
      </c>
    </row>
    <row r="3" spans="1:19">
      <c r="A3" t="str">
        <f>Secteurs!$B$2</f>
        <v>Récolte</v>
      </c>
      <c r="B3" t="str">
        <f>Produits!$B$3</f>
        <v>Olives</v>
      </c>
      <c r="C3" s="911">
        <f>'Marché olive - AFIDOL, FAM'!D2</f>
        <v>25.034600000000001</v>
      </c>
      <c r="E3" t="str">
        <f>Etiquettes!$C$3</f>
        <v>kt</v>
      </c>
      <c r="F3" s="21" t="str">
        <f>Etiquettes!$R$6</f>
        <v>Olive</v>
      </c>
      <c r="G3" s="913" t="str">
        <f>Etiquettes!$I$5</f>
        <v>2019-20</v>
      </c>
      <c r="H3" t="str">
        <f>Etiquettes!$C$4</f>
        <v>France entière</v>
      </c>
      <c r="I3" s="101" t="s">
        <v>722</v>
      </c>
      <c r="J3" s="101"/>
      <c r="K3" s="21" t="s">
        <v>1132</v>
      </c>
      <c r="L3" s="101" t="s">
        <v>1496</v>
      </c>
      <c r="M3" s="21" t="str">
        <f>Etiquettes!$H$11</f>
        <v>Volume</v>
      </c>
      <c r="N3" s="21" t="str">
        <f t="shared" si="0"/>
        <v>Récolte = 25 kt (Statistique Agricole Annuelle - SSP)</v>
      </c>
      <c r="O3" t="str">
        <f>Etiquettes!$H$15</f>
        <v>Fiable</v>
      </c>
      <c r="P3" s="976" t="s">
        <v>1468</v>
      </c>
      <c r="Q3" s="976" t="str">
        <f>Etiquettes!$H$17</f>
        <v>Donnée collectée (valeur du flux ou coefficient)</v>
      </c>
    </row>
    <row r="4" spans="1:19">
      <c r="A4" t="str">
        <f>Secteurs!$B$2</f>
        <v>Récolte</v>
      </c>
      <c r="B4" t="str">
        <f>Produits!$B$3</f>
        <v>Olives</v>
      </c>
      <c r="C4" s="911">
        <f>'Marché olive - AFIDOL, FAM'!E2</f>
        <v>29.741700000000002</v>
      </c>
      <c r="E4" t="str">
        <f>Etiquettes!$C$3</f>
        <v>kt</v>
      </c>
      <c r="F4" s="21" t="str">
        <f>Etiquettes!$R$6</f>
        <v>Olive</v>
      </c>
      <c r="G4" s="913" t="str">
        <f>Etiquettes!$J$5</f>
        <v>2023-24</v>
      </c>
      <c r="H4" t="str">
        <f>Etiquettes!$C$4</f>
        <v>France entière</v>
      </c>
      <c r="I4" s="101" t="s">
        <v>722</v>
      </c>
      <c r="K4" s="21" t="s">
        <v>1132</v>
      </c>
      <c r="L4" s="101" t="s">
        <v>1496</v>
      </c>
      <c r="M4" s="21" t="str">
        <f>Etiquettes!$H$11</f>
        <v>Volume</v>
      </c>
      <c r="N4" s="21" t="str">
        <f t="shared" si="0"/>
        <v>Récolte = 30 kt (Statistique Agricole Annuelle - SSP)</v>
      </c>
      <c r="O4" t="str">
        <f>Etiquettes!$H$15</f>
        <v>Fiable</v>
      </c>
      <c r="P4" s="976" t="s">
        <v>1468</v>
      </c>
      <c r="Q4" s="976" t="str">
        <f>Etiquettes!$H$17</f>
        <v>Donnée collectée (valeur du flux ou coefficient)</v>
      </c>
    </row>
    <row r="5" spans="1:19">
      <c r="A5" t="str">
        <f>Produits!$B$3</f>
        <v>Olives</v>
      </c>
      <c r="B5" t="str">
        <f>Secteurs!$B$6</f>
        <v>Moulin</v>
      </c>
      <c r="C5" s="911">
        <f>'Marché olive - AFIDOL, FAM'!C3</f>
        <v>36.88666666666667</v>
      </c>
      <c r="E5" t="str">
        <f>Etiquettes!$C$3</f>
        <v>kt</v>
      </c>
      <c r="F5" s="21" t="str">
        <f>Etiquettes!$R$6</f>
        <v>Olive</v>
      </c>
      <c r="G5" s="913" t="str">
        <f>Etiquettes!$H$5</f>
        <v>2015-16</v>
      </c>
      <c r="H5" t="str">
        <f>Etiquettes!$C$4</f>
        <v>France entière</v>
      </c>
      <c r="I5" s="101" t="s">
        <v>1131</v>
      </c>
      <c r="K5" s="21" t="s">
        <v>867</v>
      </c>
      <c r="L5" s="101" t="s">
        <v>1495</v>
      </c>
      <c r="M5" s="21" t="str">
        <f>Etiquettes!$H$11</f>
        <v>Volume</v>
      </c>
      <c r="N5" s="21" t="str">
        <f t="shared" si="0"/>
        <v>Consommation d'olives par les moulins = 37 kt (FranceAgriMer)</v>
      </c>
      <c r="O5" t="str">
        <f>Etiquettes!$J$15</f>
        <v>Probable</v>
      </c>
      <c r="P5" s="976" t="s">
        <v>1468</v>
      </c>
      <c r="Q5" s="976" t="str">
        <f>Etiquettes!$H$17</f>
        <v>Donnée collectée (valeur du flux ou coefficient)</v>
      </c>
    </row>
    <row r="6" spans="1:19">
      <c r="A6" t="str">
        <f>Produits!$B$3</f>
        <v>Olives</v>
      </c>
      <c r="B6" t="str">
        <f>Secteurs!$B$6</f>
        <v>Moulin</v>
      </c>
      <c r="C6" s="911">
        <f>'Marché olive - AFIDOL, FAM'!D3</f>
        <v>22.035714285714285</v>
      </c>
      <c r="E6" t="str">
        <f>Etiquettes!$C$3</f>
        <v>kt</v>
      </c>
      <c r="F6" s="21" t="str">
        <f>Etiquettes!$R$6</f>
        <v>Olive</v>
      </c>
      <c r="G6" s="913" t="str">
        <f>Etiquettes!$I$5</f>
        <v>2019-20</v>
      </c>
      <c r="H6" t="str">
        <f>Etiquettes!$C$4</f>
        <v>France entière</v>
      </c>
      <c r="I6" s="101" t="s">
        <v>1131</v>
      </c>
      <c r="J6" s="101"/>
      <c r="K6" s="21" t="s">
        <v>867</v>
      </c>
      <c r="L6" s="101" t="s">
        <v>1495</v>
      </c>
      <c r="M6" s="21" t="str">
        <f>Etiquettes!$H$11</f>
        <v>Volume</v>
      </c>
      <c r="N6" s="21" t="str">
        <f t="shared" si="0"/>
        <v>Consommation d'olives par les moulins = 22 kt (FranceAgriMer)</v>
      </c>
      <c r="O6" t="str">
        <f>Etiquettes!$J$15</f>
        <v>Probable</v>
      </c>
      <c r="P6" s="976" t="s">
        <v>1468</v>
      </c>
      <c r="Q6" s="976" t="str">
        <f>Etiquettes!$H$17</f>
        <v>Donnée collectée (valeur du flux ou coefficient)</v>
      </c>
    </row>
    <row r="7" spans="1:19">
      <c r="A7" t="str">
        <f>Produits!$B$3</f>
        <v>Olives</v>
      </c>
      <c r="B7" t="str">
        <f>Secteurs!$B$6</f>
        <v>Moulin</v>
      </c>
      <c r="C7" s="911">
        <f>'Marché olive - AFIDOL, FAM'!E3</f>
        <v>41</v>
      </c>
      <c r="E7" t="str">
        <f>Etiquettes!$C$3</f>
        <v>kt</v>
      </c>
      <c r="F7" s="21" t="str">
        <f>Etiquettes!$R$6</f>
        <v>Olive</v>
      </c>
      <c r="G7" s="913" t="str">
        <f>Etiquettes!$J$5</f>
        <v>2023-24</v>
      </c>
      <c r="H7" t="str">
        <f>Etiquettes!$C$4</f>
        <v>France entière</v>
      </c>
      <c r="I7" s="101" t="s">
        <v>1131</v>
      </c>
      <c r="K7" s="21" t="s">
        <v>867</v>
      </c>
      <c r="L7" s="101" t="s">
        <v>1495</v>
      </c>
      <c r="M7" s="21" t="str">
        <f>Etiquettes!$H$11</f>
        <v>Volume</v>
      </c>
      <c r="N7" s="21" t="str">
        <f t="shared" si="0"/>
        <v>Consommation d'olives par les moulins = 41 kt (FranceAgriMer)</v>
      </c>
      <c r="O7" t="str">
        <f>Etiquettes!$J$15</f>
        <v>Probable</v>
      </c>
      <c r="P7" s="976" t="s">
        <v>1468</v>
      </c>
      <c r="Q7" s="976" t="str">
        <f>Etiquettes!$H$17</f>
        <v>Donnée collectée (valeur du flux ou coefficient)</v>
      </c>
    </row>
    <row r="8" spans="1:19">
      <c r="A8" t="str">
        <f>Secteurs!$B$6</f>
        <v>Moulin</v>
      </c>
      <c r="B8" t="str">
        <f>Produits!$B$16</f>
        <v>Huile d'olive</v>
      </c>
      <c r="C8" s="911">
        <f>'Marché olive - AFIDOL, FAM'!C4</f>
        <v>5.5330000000000004</v>
      </c>
      <c r="E8" t="str">
        <f>Etiquettes!$C$3</f>
        <v>kt</v>
      </c>
      <c r="F8" s="21" t="str">
        <f>Etiquettes!$R$6</f>
        <v>Olive</v>
      </c>
      <c r="G8" s="913" t="str">
        <f>Etiquettes!$H$5</f>
        <v>2015-16</v>
      </c>
      <c r="H8" t="str">
        <f>Etiquettes!$C$4</f>
        <v>France entière</v>
      </c>
      <c r="I8" s="101" t="s">
        <v>1134</v>
      </c>
      <c r="K8" s="21" t="s">
        <v>867</v>
      </c>
      <c r="L8" s="101" t="s">
        <v>1495</v>
      </c>
      <c r="M8" s="21" t="str">
        <f>Etiquettes!$H$11</f>
        <v>Volume</v>
      </c>
      <c r="N8" s="21" t="str">
        <f t="shared" si="0"/>
        <v>Production d'huile d'olive = 6 kt (FranceAgriMer)</v>
      </c>
      <c r="O8" t="str">
        <f>Etiquettes!$J$15</f>
        <v>Probable</v>
      </c>
      <c r="P8" s="976" t="s">
        <v>1468</v>
      </c>
      <c r="Q8" s="976" t="str">
        <f>Etiquettes!$H$17</f>
        <v>Donnée collectée (valeur du flux ou coefficient)</v>
      </c>
    </row>
    <row r="9" spans="1:19">
      <c r="A9" t="str">
        <f>Secteurs!$B$6</f>
        <v>Moulin</v>
      </c>
      <c r="B9" t="str">
        <f>Produits!$B$16</f>
        <v>Huile d'olive</v>
      </c>
      <c r="C9" s="911">
        <f>'Marché olive - AFIDOL, FAM'!D4</f>
        <v>3.375</v>
      </c>
      <c r="E9" t="str">
        <f>Etiquettes!$C$3</f>
        <v>kt</v>
      </c>
      <c r="F9" s="21" t="str">
        <f>Etiquettes!$R$6</f>
        <v>Olive</v>
      </c>
      <c r="G9" s="913" t="str">
        <f>Etiquettes!$I$5</f>
        <v>2019-20</v>
      </c>
      <c r="H9" t="str">
        <f>Etiquettes!$C$4</f>
        <v>France entière</v>
      </c>
      <c r="I9" s="101" t="s">
        <v>1134</v>
      </c>
      <c r="J9" s="101"/>
      <c r="K9" s="21" t="s">
        <v>867</v>
      </c>
      <c r="L9" s="101" t="s">
        <v>1495</v>
      </c>
      <c r="M9" s="21" t="str">
        <f>Etiquettes!$H$11</f>
        <v>Volume</v>
      </c>
      <c r="N9" s="21" t="str">
        <f t="shared" si="0"/>
        <v>Production d'huile d'olive = 3 kt (FranceAgriMer)</v>
      </c>
      <c r="O9" t="str">
        <f>Etiquettes!$J$15</f>
        <v>Probable</v>
      </c>
      <c r="P9" s="976" t="s">
        <v>1468</v>
      </c>
      <c r="Q9" s="976" t="str">
        <f>Etiquettes!$H$17</f>
        <v>Donnée collectée (valeur du flux ou coefficient)</v>
      </c>
    </row>
    <row r="10" spans="1:19">
      <c r="A10" t="str">
        <f>Secteurs!$B$6</f>
        <v>Moulin</v>
      </c>
      <c r="B10" t="str">
        <f>Produits!$B$16</f>
        <v>Huile d'olive</v>
      </c>
      <c r="C10" s="911">
        <f>'Marché olive - AFIDOL, FAM'!E4</f>
        <v>6.6219999999999999</v>
      </c>
      <c r="E10" t="str">
        <f>Etiquettes!$C$3</f>
        <v>kt</v>
      </c>
      <c r="F10" s="21" t="str">
        <f>Etiquettes!$R$6</f>
        <v>Olive</v>
      </c>
      <c r="G10" s="913" t="str">
        <f>Etiquettes!$J$5</f>
        <v>2023-24</v>
      </c>
      <c r="H10" t="str">
        <f>Etiquettes!$C$4</f>
        <v>France entière</v>
      </c>
      <c r="I10" s="101" t="s">
        <v>1134</v>
      </c>
      <c r="K10" s="21" t="s">
        <v>867</v>
      </c>
      <c r="L10" s="101" t="s">
        <v>1495</v>
      </c>
      <c r="M10" s="21" t="str">
        <f>Etiquettes!$H$11</f>
        <v>Volume</v>
      </c>
      <c r="N10" s="21" t="str">
        <f t="shared" si="0"/>
        <v>Production d'huile d'olive = 7 kt (FranceAgriMer)</v>
      </c>
      <c r="O10" t="str">
        <f>Etiquettes!$J$15</f>
        <v>Probable</v>
      </c>
      <c r="P10" s="976" t="s">
        <v>1468</v>
      </c>
      <c r="Q10" s="976" t="str">
        <f>Etiquettes!$H$17</f>
        <v>Donnée collectée (valeur du flux ou coefficient)</v>
      </c>
    </row>
    <row r="11" spans="1:19">
      <c r="A11" t="str">
        <f>Produits!$B$16</f>
        <v>Huile d'olive</v>
      </c>
      <c r="B11" t="str">
        <f>Secteurs!$B$19</f>
        <v>GMS</v>
      </c>
      <c r="C11" s="911">
        <f>'Marché olive - AFIDOL, FAM'!C8</f>
        <v>65.765000000000001</v>
      </c>
      <c r="E11" t="str">
        <f>Etiquettes!$C$3</f>
        <v>kt</v>
      </c>
      <c r="F11" s="21" t="str">
        <f>Etiquettes!$R$6</f>
        <v>Olive</v>
      </c>
      <c r="G11" s="913" t="str">
        <f>Etiquettes!$H$5</f>
        <v>2015-16</v>
      </c>
      <c r="H11" t="str">
        <f>Etiquettes!$C$4</f>
        <v>France entière</v>
      </c>
      <c r="I11" s="101" t="s">
        <v>1135</v>
      </c>
      <c r="J11" s="21" t="s">
        <v>1299</v>
      </c>
      <c r="K11" s="21" t="s">
        <v>1133</v>
      </c>
      <c r="L11" s="101" t="s">
        <v>1495</v>
      </c>
      <c r="M11" s="21" t="str">
        <f>Etiquettes!$H$11</f>
        <v>Volume</v>
      </c>
      <c r="N11" s="21" t="str">
        <f t="shared" si="0"/>
        <v>Consommation d'huile d'olive par les GMS = 66 kt (Nielsen)</v>
      </c>
      <c r="O11" t="str">
        <f>Etiquettes!$K$15</f>
        <v>Approximative</v>
      </c>
      <c r="P11" s="976" t="s">
        <v>1468</v>
      </c>
      <c r="Q11" s="976" t="str">
        <f>Etiquettes!$H$17</f>
        <v>Donnée collectée (valeur du flux ou coefficient)</v>
      </c>
    </row>
    <row r="12" spans="1:19">
      <c r="A12" t="str">
        <f>Produits!$B$16</f>
        <v>Huile d'olive</v>
      </c>
      <c r="B12" t="str">
        <f>Secteurs!$B$19</f>
        <v>GMS</v>
      </c>
      <c r="C12" s="911">
        <f>'Marché olive - AFIDOL, FAM'!D8</f>
        <v>62.594000000000001</v>
      </c>
      <c r="E12" t="str">
        <f>Etiquettes!$C$3</f>
        <v>kt</v>
      </c>
      <c r="F12" s="21" t="str">
        <f>Etiquettes!$R$6</f>
        <v>Olive</v>
      </c>
      <c r="G12" s="913" t="str">
        <f>Etiquettes!$I$5</f>
        <v>2019-20</v>
      </c>
      <c r="H12" t="str">
        <f>Etiquettes!$C$4</f>
        <v>France entière</v>
      </c>
      <c r="I12" s="101" t="s">
        <v>1135</v>
      </c>
      <c r="J12" s="21" t="s">
        <v>1300</v>
      </c>
      <c r="K12" s="21" t="s">
        <v>1133</v>
      </c>
      <c r="L12" s="101" t="s">
        <v>1495</v>
      </c>
      <c r="M12" s="21" t="str">
        <f>Etiquettes!$H$11</f>
        <v>Volume</v>
      </c>
      <c r="N12" s="21" t="str">
        <f t="shared" si="0"/>
        <v>Consommation d'huile d'olive par les GMS = 63 kt (Nielsen)</v>
      </c>
      <c r="O12" t="str">
        <f>Etiquettes!$K$15</f>
        <v>Approximative</v>
      </c>
      <c r="P12" s="976" t="s">
        <v>1468</v>
      </c>
      <c r="Q12" s="976" t="str">
        <f>Etiquettes!$H$17</f>
        <v>Donnée collectée (valeur du flux ou coefficient)</v>
      </c>
    </row>
    <row r="13" spans="1:19">
      <c r="A13" t="str">
        <f>Produits!$B$16</f>
        <v>Huile d'olive</v>
      </c>
      <c r="B13" t="str">
        <f>Secteurs!$B$19</f>
        <v>GMS</v>
      </c>
      <c r="C13" s="911">
        <f>'Marché olive - AFIDOL, FAM'!E8</f>
        <v>62.704999999999998</v>
      </c>
      <c r="E13" t="str">
        <f>Etiquettes!$C$3</f>
        <v>kt</v>
      </c>
      <c r="F13" s="21" t="str">
        <f>Etiquettes!$R$6</f>
        <v>Olive</v>
      </c>
      <c r="G13" s="913" t="str">
        <f>Etiquettes!$J$5</f>
        <v>2023-24</v>
      </c>
      <c r="H13" t="str">
        <f>Etiquettes!$C$4</f>
        <v>France entière</v>
      </c>
      <c r="I13" s="101" t="s">
        <v>1135</v>
      </c>
      <c r="J13" s="21" t="s">
        <v>1301</v>
      </c>
      <c r="K13" s="21" t="s">
        <v>1133</v>
      </c>
      <c r="L13" s="101" t="s">
        <v>1495</v>
      </c>
      <c r="M13" s="21" t="str">
        <f>Etiquettes!$H$11</f>
        <v>Volume</v>
      </c>
      <c r="N13" s="21" t="str">
        <f t="shared" si="0"/>
        <v>Consommation d'huile d'olive par les GMS = 63 kt (Nielsen)</v>
      </c>
      <c r="O13" t="str">
        <f>Etiquettes!$K$15</f>
        <v>Approximative</v>
      </c>
      <c r="P13" s="976" t="s">
        <v>1468</v>
      </c>
      <c r="Q13" s="976" t="str">
        <f>Etiquettes!$H$17</f>
        <v>Donnée collectée (valeur du flux ou coefficient)</v>
      </c>
    </row>
    <row r="14" spans="1:19">
      <c r="A14" t="str">
        <f>Produits!$B$16</f>
        <v>Huile d'olive</v>
      </c>
      <c r="B14" t="str">
        <f>Secteurs!$B$14</f>
        <v>Alimentation humaine</v>
      </c>
      <c r="C14" s="911">
        <f>'Marché olive - AFIDOL, FAM'!C9</f>
        <v>99.31</v>
      </c>
      <c r="E14" t="str">
        <f>Etiquettes!$C$3</f>
        <v>kt</v>
      </c>
      <c r="F14" s="21" t="str">
        <f>Etiquettes!$R$6</f>
        <v>Olive</v>
      </c>
      <c r="G14" s="913" t="str">
        <f>Etiquettes!$H$5</f>
        <v>2015-16</v>
      </c>
      <c r="H14" t="str">
        <f>Etiquettes!$C$4</f>
        <v>France entière</v>
      </c>
      <c r="I14" s="101" t="s">
        <v>1136</v>
      </c>
      <c r="J14" s="21" t="s">
        <v>1299</v>
      </c>
      <c r="K14" s="21" t="s">
        <v>1122</v>
      </c>
      <c r="L14" s="101" t="s">
        <v>1495</v>
      </c>
      <c r="M14" s="21" t="str">
        <f>Etiquettes!$H$11</f>
        <v>Volume</v>
      </c>
      <c r="N14" s="21" t="str">
        <f t="shared" si="0"/>
        <v>Consommation totale d'huile d'olive = 99 kt (AFIDOL)</v>
      </c>
      <c r="O14" t="str">
        <f>Etiquettes!$K$15</f>
        <v>Approximative</v>
      </c>
      <c r="P14" s="976" t="s">
        <v>1468</v>
      </c>
      <c r="Q14" s="976" t="str">
        <f>Etiquettes!$H$17</f>
        <v>Donnée collectée (valeur du flux ou coefficient)</v>
      </c>
    </row>
    <row r="15" spans="1:19">
      <c r="A15" t="str">
        <f>Produits!$B$16</f>
        <v>Huile d'olive</v>
      </c>
      <c r="B15" t="str">
        <f>Secteurs!$B$14</f>
        <v>Alimentation humaine</v>
      </c>
      <c r="C15" s="911">
        <f>'Marché olive - AFIDOL, FAM'!D9</f>
        <v>113.56100000000001</v>
      </c>
      <c r="E15" t="str">
        <f>Etiquettes!$C$3</f>
        <v>kt</v>
      </c>
      <c r="F15" s="21" t="str">
        <f>Etiquettes!$R$6</f>
        <v>Olive</v>
      </c>
      <c r="G15" s="913" t="str">
        <f>Etiquettes!$I$5</f>
        <v>2019-20</v>
      </c>
      <c r="H15" t="str">
        <f>Etiquettes!$C$4</f>
        <v>France entière</v>
      </c>
      <c r="I15" s="101" t="s">
        <v>1136</v>
      </c>
      <c r="J15" s="21" t="s">
        <v>1300</v>
      </c>
      <c r="K15" s="21" t="s">
        <v>1122</v>
      </c>
      <c r="L15" s="101" t="s">
        <v>1495</v>
      </c>
      <c r="M15" s="21" t="str">
        <f>Etiquettes!$H$11</f>
        <v>Volume</v>
      </c>
      <c r="N15" s="21" t="str">
        <f t="shared" si="0"/>
        <v>Consommation totale d'huile d'olive = 114 kt (AFIDOL)</v>
      </c>
      <c r="O15" t="str">
        <f>Etiquettes!$K$15</f>
        <v>Approximative</v>
      </c>
      <c r="P15" s="976" t="s">
        <v>1468</v>
      </c>
      <c r="Q15" s="976" t="str">
        <f>Etiquettes!$H$17</f>
        <v>Donnée collectée (valeur du flux ou coefficient)</v>
      </c>
    </row>
    <row r="16" spans="1:19">
      <c r="A16" t="str">
        <f>Produits!$B$16</f>
        <v>Huile d'olive</v>
      </c>
      <c r="B16" t="str">
        <f>Secteurs!$B$14</f>
        <v>Alimentation humaine</v>
      </c>
      <c r="C16" s="911">
        <f>'Marché olive - AFIDOL, FAM'!E9</f>
        <v>99.801000000000002</v>
      </c>
      <c r="E16" t="str">
        <f>Etiquettes!$C$3</f>
        <v>kt</v>
      </c>
      <c r="F16" s="21" t="str">
        <f>Etiquettes!$R$6</f>
        <v>Olive</v>
      </c>
      <c r="G16" s="913" t="str">
        <f>Etiquettes!$J$5</f>
        <v>2023-24</v>
      </c>
      <c r="H16" t="str">
        <f>Etiquettes!$C$4</f>
        <v>France entière</v>
      </c>
      <c r="I16" s="101" t="s">
        <v>1136</v>
      </c>
      <c r="J16" s="21" t="s">
        <v>1301</v>
      </c>
      <c r="K16" s="21" t="s">
        <v>1122</v>
      </c>
      <c r="L16" s="101" t="s">
        <v>1495</v>
      </c>
      <c r="M16" s="21" t="str">
        <f>Etiquettes!$H$11</f>
        <v>Volume</v>
      </c>
      <c r="N16" s="21" t="str">
        <f t="shared" si="0"/>
        <v>Consommation totale d'huile d'olive = 100 kt (AFIDOL)</v>
      </c>
      <c r="O16" t="str">
        <f>Etiquettes!$K$15</f>
        <v>Approximative</v>
      </c>
      <c r="P16" s="976" t="s">
        <v>1468</v>
      </c>
      <c r="Q16" s="976" t="str">
        <f>Etiquettes!$H$17</f>
        <v>Donnée collectée (valeur du flux ou coefficient)</v>
      </c>
    </row>
    <row r="17" spans="1:17">
      <c r="A17" t="str">
        <f>Produits!$B$3</f>
        <v>Olives</v>
      </c>
      <c r="B17" t="str">
        <f>Secteurs!$B$7</f>
        <v>Conservation ou préparation d'olives</v>
      </c>
      <c r="C17" s="911">
        <f>'Marché olive - AFIDOL, FAM'!C11</f>
        <v>1.591</v>
      </c>
      <c r="E17" t="str">
        <f>Etiquettes!$C$3</f>
        <v>kt</v>
      </c>
      <c r="F17" s="21" t="str">
        <f>Etiquettes!$R$6</f>
        <v>Olive</v>
      </c>
      <c r="G17" s="913" t="str">
        <f>Etiquettes!$H$5</f>
        <v>2015-16</v>
      </c>
      <c r="H17" t="str">
        <f>Etiquettes!$C$4</f>
        <v>France entière</v>
      </c>
      <c r="I17" s="101" t="s">
        <v>1137</v>
      </c>
      <c r="K17" s="21" t="s">
        <v>867</v>
      </c>
      <c r="L17" s="101" t="s">
        <v>1495</v>
      </c>
      <c r="M17" s="21" t="str">
        <f>Etiquettes!$H$11</f>
        <v>Volume</v>
      </c>
      <c r="N17" s="21" t="str">
        <f t="shared" si="0"/>
        <v>Production d'olives de table = 2 kt (FranceAgriMer)</v>
      </c>
      <c r="O17" t="str">
        <f>Etiquettes!$K$15</f>
        <v>Approximative</v>
      </c>
      <c r="P17" s="976" t="s">
        <v>1468</v>
      </c>
      <c r="Q17" s="976" t="str">
        <f>Etiquettes!$H$17</f>
        <v>Donnée collectée (valeur du flux ou coefficient)</v>
      </c>
    </row>
    <row r="18" spans="1:17">
      <c r="A18" t="str">
        <f>Produits!$B$3</f>
        <v>Olives</v>
      </c>
      <c r="B18" t="str">
        <f>Secteurs!$B$7</f>
        <v>Conservation ou préparation d'olives</v>
      </c>
      <c r="C18" s="911">
        <f>'Marché olive - AFIDOL, FAM'!D11</f>
        <v>1.012</v>
      </c>
      <c r="E18" t="str">
        <f>Etiquettes!$C$3</f>
        <v>kt</v>
      </c>
      <c r="F18" s="21" t="str">
        <f>Etiquettes!$R$6</f>
        <v>Olive</v>
      </c>
      <c r="G18" s="913" t="str">
        <f>Etiquettes!$I$5</f>
        <v>2019-20</v>
      </c>
      <c r="H18" t="str">
        <f>Etiquettes!$C$4</f>
        <v>France entière</v>
      </c>
      <c r="I18" s="101" t="s">
        <v>1137</v>
      </c>
      <c r="K18" s="21" t="s">
        <v>867</v>
      </c>
      <c r="L18" s="101" t="s">
        <v>1495</v>
      </c>
      <c r="M18" s="21" t="str">
        <f>Etiquettes!$H$11</f>
        <v>Volume</v>
      </c>
      <c r="N18" s="21" t="str">
        <f t="shared" si="0"/>
        <v>Production d'olives de table = 1 kt (FranceAgriMer)</v>
      </c>
      <c r="O18" t="str">
        <f>Etiquettes!$K$15</f>
        <v>Approximative</v>
      </c>
      <c r="P18" s="976" t="s">
        <v>1468</v>
      </c>
      <c r="Q18" s="976" t="str">
        <f>Etiquettes!$H$17</f>
        <v>Donnée collectée (valeur du flux ou coefficient)</v>
      </c>
    </row>
    <row r="19" spans="1:17">
      <c r="A19" t="str">
        <f>Produits!$B$3</f>
        <v>Olives</v>
      </c>
      <c r="B19" t="str">
        <f>Secteurs!$B$7</f>
        <v>Conservation ou préparation d'olives</v>
      </c>
      <c r="C19" s="911">
        <f>'Marché olive - AFIDOL, FAM'!E11</f>
        <v>0.9</v>
      </c>
      <c r="E19" t="str">
        <f>Etiquettes!$C$3</f>
        <v>kt</v>
      </c>
      <c r="F19" s="21" t="str">
        <f>Etiquettes!$R$6</f>
        <v>Olive</v>
      </c>
      <c r="G19" s="913" t="str">
        <f>Etiquettes!$J$5</f>
        <v>2023-24</v>
      </c>
      <c r="H19" t="str">
        <f>Etiquettes!$C$4</f>
        <v>France entière</v>
      </c>
      <c r="I19" s="101" t="s">
        <v>1137</v>
      </c>
      <c r="K19" s="21" t="s">
        <v>867</v>
      </c>
      <c r="L19" s="101" t="s">
        <v>1495</v>
      </c>
      <c r="M19" s="21" t="str">
        <f>Etiquettes!$H$11</f>
        <v>Volume</v>
      </c>
      <c r="N19" s="21" t="str">
        <f t="shared" si="0"/>
        <v>Production d'olives de table = 1 kt (FranceAgriMer)</v>
      </c>
      <c r="O19" t="str">
        <f>Etiquettes!$K$15</f>
        <v>Approximative</v>
      </c>
      <c r="P19" s="976" t="s">
        <v>1468</v>
      </c>
      <c r="Q19" s="976" t="str">
        <f>Etiquettes!$H$17</f>
        <v>Donnée collectée (valeur du flux ou coefficient)</v>
      </c>
    </row>
    <row r="20" spans="1:17">
      <c r="A20" t="str">
        <f>Produits!$B$18</f>
        <v>Olives de table</v>
      </c>
      <c r="B20" t="str">
        <f>Secteurs!$B$19</f>
        <v>GMS</v>
      </c>
      <c r="C20" s="911">
        <f>'Marché olive - AFIDOL, FAM'!C13</f>
        <v>27.8</v>
      </c>
      <c r="E20" t="str">
        <f>Etiquettes!$C$3</f>
        <v>kt</v>
      </c>
      <c r="F20" s="21" t="str">
        <f>Etiquettes!$R$6</f>
        <v>Olive</v>
      </c>
      <c r="G20" s="913" t="str">
        <f>Etiquettes!$H$5</f>
        <v>2015-16</v>
      </c>
      <c r="H20" t="str">
        <f>Etiquettes!$C$4</f>
        <v>France entière</v>
      </c>
      <c r="I20" s="101" t="s">
        <v>1138</v>
      </c>
      <c r="J20" s="21" t="s">
        <v>1299</v>
      </c>
      <c r="K20" s="21" t="s">
        <v>1133</v>
      </c>
      <c r="L20" s="101" t="s">
        <v>1495</v>
      </c>
      <c r="M20" s="21" t="str">
        <f>Etiquettes!$H$11</f>
        <v>Volume</v>
      </c>
      <c r="N20" s="21" t="str">
        <f t="shared" si="0"/>
        <v>Consommation d'olives de table par les GMS = 28 kt (Nielsen)</v>
      </c>
      <c r="O20" t="str">
        <f>Etiquettes!$K$15</f>
        <v>Approximative</v>
      </c>
      <c r="P20" s="976" t="s">
        <v>1468</v>
      </c>
      <c r="Q20" s="976" t="str">
        <f>Etiquettes!$H$17</f>
        <v>Donnée collectée (valeur du flux ou coefficient)</v>
      </c>
    </row>
    <row r="21" spans="1:17">
      <c r="A21" t="str">
        <f>Produits!$B$18</f>
        <v>Olives de table</v>
      </c>
      <c r="B21" t="str">
        <f>Secteurs!$B$19</f>
        <v>GMS</v>
      </c>
      <c r="C21" s="911">
        <f>'Marché olive - AFIDOL, FAM'!D13</f>
        <v>28.268000000000001</v>
      </c>
      <c r="E21" t="str">
        <f>Etiquettes!$C$3</f>
        <v>kt</v>
      </c>
      <c r="F21" s="21" t="str">
        <f>Etiquettes!$R$6</f>
        <v>Olive</v>
      </c>
      <c r="G21" s="913" t="str">
        <f>Etiquettes!$I$5</f>
        <v>2019-20</v>
      </c>
      <c r="H21" t="str">
        <f>Etiquettes!$C$4</f>
        <v>France entière</v>
      </c>
      <c r="I21" s="101" t="s">
        <v>1138</v>
      </c>
      <c r="J21" s="21" t="s">
        <v>1300</v>
      </c>
      <c r="K21" s="21" t="s">
        <v>1133</v>
      </c>
      <c r="L21" s="101" t="s">
        <v>1495</v>
      </c>
      <c r="M21" s="21" t="str">
        <f>Etiquettes!$H$11</f>
        <v>Volume</v>
      </c>
      <c r="N21" s="21" t="str">
        <f t="shared" si="0"/>
        <v>Consommation d'olives de table par les GMS = 28 kt (Nielsen)</v>
      </c>
      <c r="O21" t="str">
        <f>Etiquettes!$K$15</f>
        <v>Approximative</v>
      </c>
      <c r="P21" s="976" t="s">
        <v>1468</v>
      </c>
      <c r="Q21" s="976" t="str">
        <f>Etiquettes!$H$17</f>
        <v>Donnée collectée (valeur du flux ou coefficient)</v>
      </c>
    </row>
    <row r="22" spans="1:17">
      <c r="A22" t="str">
        <f>Produits!$B$18</f>
        <v>Olives de table</v>
      </c>
      <c r="B22" t="str">
        <f>Secteurs!$B$19</f>
        <v>GMS</v>
      </c>
      <c r="C22" s="911">
        <f>'Marché olive - AFIDOL, FAM'!E13</f>
        <v>31.756</v>
      </c>
      <c r="E22" t="str">
        <f>Etiquettes!$C$3</f>
        <v>kt</v>
      </c>
      <c r="F22" s="21" t="str">
        <f>Etiquettes!$R$6</f>
        <v>Olive</v>
      </c>
      <c r="G22" s="913" t="str">
        <f>Etiquettes!$J$5</f>
        <v>2023-24</v>
      </c>
      <c r="H22" t="str">
        <f>Etiquettes!$C$4</f>
        <v>France entière</v>
      </c>
      <c r="I22" s="101" t="s">
        <v>1138</v>
      </c>
      <c r="J22" s="21" t="s">
        <v>1301</v>
      </c>
      <c r="K22" s="21" t="s">
        <v>1133</v>
      </c>
      <c r="L22" s="101" t="s">
        <v>1495</v>
      </c>
      <c r="M22" s="21" t="str">
        <f>Etiquettes!$H$11</f>
        <v>Volume</v>
      </c>
      <c r="N22" s="21" t="str">
        <f t="shared" si="0"/>
        <v>Consommation d'olives de table par les GMS = 32 kt (Nielsen)</v>
      </c>
      <c r="O22" t="str">
        <f>Etiquettes!$K$15</f>
        <v>Approximative</v>
      </c>
      <c r="P22" s="976" t="s">
        <v>1468</v>
      </c>
      <c r="Q22" s="976" t="str">
        <f>Etiquettes!$H$17</f>
        <v>Donnée collectée (valeur du flux ou coefficient)</v>
      </c>
    </row>
    <row r="23" spans="1:17">
      <c r="A23" t="str">
        <f>Produits!$B$18</f>
        <v>Olives de table</v>
      </c>
      <c r="B23" t="str">
        <f>Secteurs!$B$14</f>
        <v>Alimentation humaine</v>
      </c>
      <c r="C23" s="911">
        <f>'Marché olive - AFIDOL, FAM'!C14</f>
        <v>67</v>
      </c>
      <c r="E23" t="str">
        <f>Etiquettes!$C$3</f>
        <v>kt</v>
      </c>
      <c r="F23" s="21" t="str">
        <f>Etiquettes!$R$6</f>
        <v>Olive</v>
      </c>
      <c r="G23" s="913" t="str">
        <f>Etiquettes!$H$5</f>
        <v>2015-16</v>
      </c>
      <c r="H23" t="str">
        <f>Etiquettes!$C$4</f>
        <v>France entière</v>
      </c>
      <c r="I23" s="101" t="s">
        <v>1139</v>
      </c>
      <c r="J23" s="21" t="s">
        <v>1299</v>
      </c>
      <c r="K23" s="21" t="s">
        <v>1122</v>
      </c>
      <c r="L23" s="101" t="s">
        <v>1495</v>
      </c>
      <c r="M23" s="21" t="str">
        <f>Etiquettes!$H$11</f>
        <v>Volume</v>
      </c>
      <c r="N23" s="21" t="str">
        <f t="shared" si="0"/>
        <v>Consommation totale d'olives de table = 67 kt (AFIDOL)</v>
      </c>
      <c r="O23" t="str">
        <f>Etiquettes!$K$15</f>
        <v>Approximative</v>
      </c>
      <c r="P23" s="976" t="s">
        <v>1468</v>
      </c>
      <c r="Q23" s="976" t="str">
        <f>Etiquettes!$H$17</f>
        <v>Donnée collectée (valeur du flux ou coefficient)</v>
      </c>
    </row>
    <row r="24" spans="1:17">
      <c r="A24" t="str">
        <f>Produits!$B$18</f>
        <v>Olives de table</v>
      </c>
      <c r="B24" t="str">
        <f>Secteurs!$B$14</f>
        <v>Alimentation humaine</v>
      </c>
      <c r="C24" s="911">
        <f>'Marché olive - AFIDOL, FAM'!D14</f>
        <v>86.575000000000003</v>
      </c>
      <c r="E24" t="str">
        <f>Etiquettes!$C$3</f>
        <v>kt</v>
      </c>
      <c r="F24" s="21" t="str">
        <f>Etiquettes!$R$6</f>
        <v>Olive</v>
      </c>
      <c r="G24" s="913" t="str">
        <f>Etiquettes!$I$5</f>
        <v>2019-20</v>
      </c>
      <c r="H24" t="str">
        <f>Etiquettes!$C$4</f>
        <v>France entière</v>
      </c>
      <c r="I24" s="101" t="s">
        <v>1139</v>
      </c>
      <c r="J24" s="21" t="s">
        <v>1300</v>
      </c>
      <c r="K24" s="21" t="s">
        <v>1122</v>
      </c>
      <c r="L24" s="101" t="s">
        <v>1495</v>
      </c>
      <c r="M24" s="21" t="str">
        <f>Etiquettes!$H$11</f>
        <v>Volume</v>
      </c>
      <c r="N24" s="21" t="str">
        <f t="shared" si="0"/>
        <v>Consommation totale d'olives de table = 87 kt (AFIDOL)</v>
      </c>
      <c r="O24" t="str">
        <f>Etiquettes!$K$15</f>
        <v>Approximative</v>
      </c>
      <c r="P24" s="976" t="s">
        <v>1468</v>
      </c>
      <c r="Q24" s="976" t="str">
        <f>Etiquettes!$H$17</f>
        <v>Donnée collectée (valeur du flux ou coefficient)</v>
      </c>
    </row>
    <row r="25" spans="1:17">
      <c r="A25" t="str">
        <f>Produits!$B$18</f>
        <v>Olives de table</v>
      </c>
      <c r="B25" t="str">
        <f>Secteurs!$B$14</f>
        <v>Alimentation humaine</v>
      </c>
      <c r="C25" s="911">
        <f>'Marché olive - AFIDOL, FAM'!E14</f>
        <v>90.911000000000001</v>
      </c>
      <c r="E25" t="str">
        <f>Etiquettes!$C$3</f>
        <v>kt</v>
      </c>
      <c r="F25" s="21" t="str">
        <f>Etiquettes!$R$6</f>
        <v>Olive</v>
      </c>
      <c r="G25" s="913" t="str">
        <f>Etiquettes!$J$5</f>
        <v>2023-24</v>
      </c>
      <c r="H25" t="str">
        <f>Etiquettes!$C$4</f>
        <v>France entière</v>
      </c>
      <c r="I25" s="101" t="s">
        <v>1139</v>
      </c>
      <c r="J25" s="21" t="s">
        <v>1301</v>
      </c>
      <c r="K25" s="21" t="s">
        <v>1122</v>
      </c>
      <c r="L25" s="101" t="s">
        <v>1495</v>
      </c>
      <c r="M25" s="21" t="str">
        <f>Etiquettes!$H$11</f>
        <v>Volume</v>
      </c>
      <c r="N25" s="21" t="str">
        <f t="shared" si="0"/>
        <v>Consommation totale d'olives de table = 91 kt (AFIDOL)</v>
      </c>
      <c r="O25" t="str">
        <f>Etiquettes!$K$15</f>
        <v>Approximative</v>
      </c>
      <c r="P25" s="976" t="s">
        <v>1468</v>
      </c>
      <c r="Q25" s="976" t="str">
        <f>Etiquettes!$H$17</f>
        <v>Donnée collectée (valeur du flux ou coefficient)</v>
      </c>
    </row>
  </sheetData>
  <phoneticPr fontId="114" type="noConversion"/>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63D11-A2C6-488A-9077-997FEF7F9647}">
  <sheetPr>
    <tabColor rgb="FFFFC000"/>
  </sheetPr>
  <dimension ref="A1:S62"/>
  <sheetViews>
    <sheetView workbookViewId="0">
      <selection activeCell="C24" sqref="C24"/>
    </sheetView>
  </sheetViews>
  <sheetFormatPr baseColWidth="10" defaultRowHeight="14.4"/>
  <cols>
    <col min="2" max="2" width="20.6640625" bestFit="1" customWidth="1"/>
  </cols>
  <sheetData>
    <row r="1" spans="1:17">
      <c r="A1" t="s">
        <v>17</v>
      </c>
      <c r="B1" t="s">
        <v>1108</v>
      </c>
      <c r="C1" t="s">
        <v>698</v>
      </c>
      <c r="D1" t="s">
        <v>699</v>
      </c>
      <c r="E1" t="s">
        <v>700</v>
      </c>
    </row>
    <row r="2" spans="1:17">
      <c r="A2" t="s">
        <v>1109</v>
      </c>
      <c r="B2" t="s">
        <v>722</v>
      </c>
      <c r="C2" s="919">
        <f>'Récoltes olive - AGRESTE'!C7/10^4</f>
        <v>35.445300000000003</v>
      </c>
      <c r="D2" s="919">
        <f>'Récoltes olive - AGRESTE'!D7/10^4</f>
        <v>25.034600000000001</v>
      </c>
      <c r="E2" s="919">
        <f>'Récoltes olive - AGRESTE'!E7/10^4</f>
        <v>29.741700000000002</v>
      </c>
      <c r="K2" s="894" t="s">
        <v>17</v>
      </c>
      <c r="L2" s="894" t="s">
        <v>1113</v>
      </c>
      <c r="P2" s="894" t="s">
        <v>17</v>
      </c>
      <c r="Q2" s="894" t="s">
        <v>1112</v>
      </c>
    </row>
    <row r="3" spans="1:17">
      <c r="B3" t="s">
        <v>861</v>
      </c>
      <c r="C3" s="920">
        <f>C4/0.15</f>
        <v>36.88666666666667</v>
      </c>
      <c r="D3" s="920">
        <f>21.5+(0.075/0.14)</f>
        <v>22.035714285714285</v>
      </c>
      <c r="E3" s="912">
        <v>41</v>
      </c>
      <c r="F3" t="s">
        <v>867</v>
      </c>
    </row>
    <row r="4" spans="1:17">
      <c r="B4" t="s">
        <v>720</v>
      </c>
      <c r="C4" s="912">
        <v>5.5330000000000004</v>
      </c>
      <c r="D4" s="912">
        <v>3.375</v>
      </c>
      <c r="E4" s="912">
        <v>6.6219999999999999</v>
      </c>
    </row>
    <row r="5" spans="1:17">
      <c r="B5" t="s">
        <v>1114</v>
      </c>
      <c r="C5">
        <v>2.218</v>
      </c>
      <c r="D5">
        <v>2.5830000000000002</v>
      </c>
      <c r="E5" s="917">
        <v>2.25</v>
      </c>
      <c r="F5" t="s">
        <v>867</v>
      </c>
    </row>
    <row r="6" spans="1:17">
      <c r="B6" t="s">
        <v>1115</v>
      </c>
      <c r="C6">
        <f>C4-C5</f>
        <v>3.3150000000000004</v>
      </c>
      <c r="D6">
        <f t="shared" ref="D6:E6" si="0">D4-D5</f>
        <v>0.79199999999999982</v>
      </c>
      <c r="E6">
        <f t="shared" si="0"/>
        <v>4.3719999999999999</v>
      </c>
    </row>
    <row r="7" spans="1:17">
      <c r="C7" s="862">
        <v>2015</v>
      </c>
      <c r="D7" s="862">
        <v>2019</v>
      </c>
      <c r="E7" s="862">
        <v>2023</v>
      </c>
    </row>
    <row r="8" spans="1:17">
      <c r="A8" t="s">
        <v>1111</v>
      </c>
      <c r="B8" t="s">
        <v>1117</v>
      </c>
      <c r="C8" s="912">
        <v>65.765000000000001</v>
      </c>
      <c r="D8" s="912">
        <v>62.594000000000001</v>
      </c>
      <c r="E8" s="912">
        <v>62.704999999999998</v>
      </c>
      <c r="F8" t="s">
        <v>1122</v>
      </c>
    </row>
    <row r="9" spans="1:17">
      <c r="B9" t="s">
        <v>1124</v>
      </c>
      <c r="C9" s="912">
        <v>99.31</v>
      </c>
      <c r="D9" s="912">
        <v>113.56100000000001</v>
      </c>
      <c r="E9" s="912">
        <v>99.801000000000002</v>
      </c>
    </row>
    <row r="10" spans="1:17">
      <c r="C10" s="862" t="s">
        <v>698</v>
      </c>
      <c r="D10" s="862" t="s">
        <v>699</v>
      </c>
      <c r="E10" s="862" t="s">
        <v>700</v>
      </c>
    </row>
    <row r="11" spans="1:17">
      <c r="A11" t="s">
        <v>1111</v>
      </c>
      <c r="B11" t="s">
        <v>1110</v>
      </c>
      <c r="C11" s="912">
        <v>1.591</v>
      </c>
      <c r="D11" s="912">
        <v>1.012</v>
      </c>
      <c r="E11" s="912">
        <v>0.9</v>
      </c>
      <c r="F11" t="s">
        <v>867</v>
      </c>
    </row>
    <row r="12" spans="1:17">
      <c r="C12" s="862">
        <v>2015</v>
      </c>
      <c r="D12" s="862">
        <v>2019</v>
      </c>
      <c r="E12" s="862">
        <v>2023</v>
      </c>
    </row>
    <row r="13" spans="1:17">
      <c r="B13" t="s">
        <v>1121</v>
      </c>
      <c r="C13" s="920">
        <v>27.8</v>
      </c>
      <c r="D13" s="912">
        <v>28.268000000000001</v>
      </c>
      <c r="E13" s="912">
        <v>31.756</v>
      </c>
      <c r="F13" t="s">
        <v>1122</v>
      </c>
    </row>
    <row r="14" spans="1:17">
      <c r="B14" t="s">
        <v>1124</v>
      </c>
      <c r="C14" s="920">
        <v>67</v>
      </c>
      <c r="D14" s="912">
        <v>86.575000000000003</v>
      </c>
      <c r="E14" s="912">
        <v>90.911000000000001</v>
      </c>
    </row>
    <row r="15" spans="1:17">
      <c r="E15" s="894" t="s">
        <v>17</v>
      </c>
      <c r="F15" s="894" t="s">
        <v>1116</v>
      </c>
    </row>
    <row r="37" spans="5:19">
      <c r="E37" s="894" t="s">
        <v>17</v>
      </c>
      <c r="F37" s="894" t="s">
        <v>1118</v>
      </c>
      <c r="K37" s="894" t="s">
        <v>17</v>
      </c>
      <c r="L37" s="894" t="s">
        <v>1119</v>
      </c>
      <c r="R37" s="894" t="s">
        <v>17</v>
      </c>
      <c r="S37" s="894" t="s">
        <v>1123</v>
      </c>
    </row>
    <row r="52" spans="5:12">
      <c r="E52" s="894" t="s">
        <v>17</v>
      </c>
      <c r="F52" s="894" t="s">
        <v>1125</v>
      </c>
    </row>
    <row r="62" spans="5:12">
      <c r="K62" s="894" t="s">
        <v>17</v>
      </c>
      <c r="L62" s="894" t="s">
        <v>1120</v>
      </c>
    </row>
  </sheetData>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A75D-C79B-4AFA-A077-1C8C75947147}">
  <sheetPr>
    <tabColor rgb="FFFFC000"/>
  </sheetPr>
  <dimension ref="A1:E8"/>
  <sheetViews>
    <sheetView workbookViewId="0">
      <pane xSplit="2" ySplit="6" topLeftCell="C7" activePane="bottomRight" state="frozen"/>
      <selection pane="topRight"/>
      <selection pane="bottomLeft"/>
      <selection pane="bottomRight" activeCell="A4" sqref="A4"/>
    </sheetView>
  </sheetViews>
  <sheetFormatPr baseColWidth="10" defaultRowHeight="14.4"/>
  <cols>
    <col min="1" max="2" width="11.5546875" style="39"/>
    <col min="3" max="5" width="15.6640625" style="39" customWidth="1"/>
    <col min="6" max="16384" width="11.5546875" style="39"/>
  </cols>
  <sheetData>
    <row r="1" spans="1:5" ht="19.8">
      <c r="A1" s="38" t="s">
        <v>50</v>
      </c>
      <c r="C1" s="40"/>
      <c r="D1" s="40"/>
      <c r="E1" s="40"/>
    </row>
    <row r="2" spans="1:5" ht="15.6">
      <c r="A2" s="41" t="s">
        <v>51</v>
      </c>
      <c r="C2" s="40"/>
      <c r="D2" s="40"/>
      <c r="E2" s="40"/>
    </row>
    <row r="3" spans="1:5">
      <c r="A3" s="39" t="s">
        <v>52</v>
      </c>
      <c r="C3" s="40"/>
      <c r="D3" s="40"/>
      <c r="E3" s="40"/>
    </row>
    <row r="4" spans="1:5">
      <c r="A4" s="39" t="s">
        <v>53</v>
      </c>
      <c r="C4" s="40"/>
      <c r="D4" s="40"/>
      <c r="E4" s="40"/>
    </row>
    <row r="5" spans="1:5">
      <c r="C5" s="40"/>
      <c r="D5" s="40"/>
      <c r="E5" s="40"/>
    </row>
    <row r="6" spans="1:5">
      <c r="A6" s="39" t="s">
        <v>54</v>
      </c>
      <c r="B6" s="39" t="s">
        <v>55</v>
      </c>
      <c r="C6" s="40" t="s">
        <v>56</v>
      </c>
      <c r="D6" s="40" t="s">
        <v>57</v>
      </c>
      <c r="E6" s="40" t="s">
        <v>58</v>
      </c>
    </row>
    <row r="7" spans="1:5">
      <c r="A7" s="39" t="s">
        <v>59</v>
      </c>
      <c r="B7" s="39" t="s">
        <v>143</v>
      </c>
      <c r="C7" s="916">
        <v>354453</v>
      </c>
      <c r="D7" s="916">
        <v>250346</v>
      </c>
      <c r="E7" s="916">
        <v>297417</v>
      </c>
    </row>
    <row r="8" spans="1:5">
      <c r="A8" s="39" t="s">
        <v>78</v>
      </c>
      <c r="B8" s="39" t="s">
        <v>143</v>
      </c>
      <c r="C8" s="40">
        <v>0</v>
      </c>
      <c r="D8" s="40">
        <v>0</v>
      </c>
      <c r="E8" s="40">
        <v>0</v>
      </c>
    </row>
  </sheetData>
  <pageMargins left="0.7" right="0.7" top="0.75" bottom="0.75" header="0.3" footer="0.3"/>
  <pageSetup paperSize="9" orientation="portrait" horizontalDpi="300" verticalDpi="300"/>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2D7F-8D63-4CA2-98C9-FC1DF7A8EC9E}">
  <sheetPr>
    <tabColor rgb="FF92D050"/>
  </sheetPr>
  <dimension ref="A1:S56"/>
  <sheetViews>
    <sheetView workbookViewId="0">
      <pane xSplit="2" ySplit="1" topLeftCell="C17" activePane="bottomRight" state="frozen"/>
      <selection activeCell="B15" sqref="B15"/>
      <selection pane="topRight" activeCell="B15" sqref="B15"/>
      <selection pane="bottomLeft" activeCell="B15" sqref="B15"/>
      <selection pane="bottomRight" activeCell="P48" sqref="P48:Q48"/>
    </sheetView>
  </sheetViews>
  <sheetFormatPr baseColWidth="10" defaultColWidth="9.109375" defaultRowHeight="14.4"/>
  <cols>
    <col min="1" max="1" width="21.109375" bestFit="1" customWidth="1"/>
    <col min="2" max="2" width="19.88671875" bestFit="1" customWidth="1"/>
    <col min="3" max="3" width="7.77734375"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
        <v>722</v>
      </c>
      <c r="B2" t="s">
        <v>1002</v>
      </c>
      <c r="C2" s="911">
        <f>'Prétraitement récolte, collecte'!C3</f>
        <v>42.593600000000002</v>
      </c>
      <c r="E2" t="str">
        <f>Etiquettes!$C$3</f>
        <v>kt</v>
      </c>
      <c r="F2" s="21" t="str">
        <f>Etiquettes!$K$6</f>
        <v>Lin</v>
      </c>
      <c r="G2" s="913" t="str">
        <f>Etiquettes!$H$5</f>
        <v>2015-16</v>
      </c>
      <c r="H2" t="str">
        <f>Etiquettes!$C$4</f>
        <v>France entière</v>
      </c>
      <c r="I2" s="101" t="s">
        <v>722</v>
      </c>
      <c r="K2" s="21" t="s">
        <v>1132</v>
      </c>
      <c r="L2" s="101" t="s">
        <v>1483</v>
      </c>
      <c r="M2" s="21" t="str">
        <f>Etiquettes!$H$11</f>
        <v>Volume</v>
      </c>
      <c r="N2" s="21" t="str">
        <f t="shared" ref="N2:N33" si="0">_xlfn.CONCAT(I2,IF(ISBLANK(C2),"",_xlfn.CONCAT(" = ",MROUND(C2,1)," ",E2))," (",K2,")")</f>
        <v>Récolte = 43 kt (Statistique Agricole Annuelle - SSP)</v>
      </c>
      <c r="O2" t="str">
        <f>Etiquettes!$H$15</f>
        <v>Fiable</v>
      </c>
      <c r="P2" s="976" t="s">
        <v>1468</v>
      </c>
      <c r="Q2" s="976" t="str">
        <f>Etiquettes!$H$17</f>
        <v>Donnée collectée (valeur du flux ou coefficient)</v>
      </c>
    </row>
    <row r="3" spans="1:19">
      <c r="A3" t="s">
        <v>1002</v>
      </c>
      <c r="B3" t="s">
        <v>724</v>
      </c>
      <c r="C3" s="911">
        <f>'Prétraitement récolte, collecte'!C4</f>
        <v>32.4998</v>
      </c>
      <c r="E3" t="str">
        <f>Etiquettes!$C$3</f>
        <v>kt</v>
      </c>
      <c r="F3" s="21" t="str">
        <f>Etiquettes!$K$6</f>
        <v>Lin</v>
      </c>
      <c r="G3" s="913" t="str">
        <f>Etiquettes!$H$5</f>
        <v>2015-16</v>
      </c>
      <c r="H3" t="str">
        <f>Etiquettes!$C$4</f>
        <v>France entière</v>
      </c>
      <c r="I3" s="101" t="s">
        <v>743</v>
      </c>
      <c r="J3" s="101"/>
      <c r="K3" s="21" t="s">
        <v>1223</v>
      </c>
      <c r="L3" s="101" t="s">
        <v>1499</v>
      </c>
      <c r="M3" s="21" t="str">
        <f>Etiquettes!$H$11</f>
        <v>Volume</v>
      </c>
      <c r="N3" s="21" t="str">
        <f t="shared" si="0"/>
        <v>Collecte = 32 kt (Collectes, stocks - FranceAgriMer)</v>
      </c>
      <c r="O3" t="str">
        <f>Etiquettes!$I$15</f>
        <v>Robuste</v>
      </c>
      <c r="P3" s="976" t="s">
        <v>1468</v>
      </c>
      <c r="Q3" s="976" t="str">
        <f>Etiquettes!$H$17</f>
        <v>Donnée collectée (valeur du flux ou coefficient)</v>
      </c>
    </row>
    <row r="4" spans="1:19">
      <c r="A4" t="s">
        <v>712</v>
      </c>
      <c r="B4" t="s">
        <v>724</v>
      </c>
      <c r="C4" s="911">
        <f>'Prétraitement récolte, collecte'!C5</f>
        <v>1.6696</v>
      </c>
      <c r="E4" t="str">
        <f>Etiquettes!$C$3</f>
        <v>kt</v>
      </c>
      <c r="F4" s="21" t="str">
        <f>Etiquettes!$K$6</f>
        <v>Lin</v>
      </c>
      <c r="G4" s="913" t="str">
        <f>Etiquettes!$H$5</f>
        <v>2015-16</v>
      </c>
      <c r="H4" t="str">
        <f>Etiquettes!$C$4</f>
        <v>France entière</v>
      </c>
      <c r="I4" s="101" t="s">
        <v>712</v>
      </c>
      <c r="K4" s="21" t="s">
        <v>1223</v>
      </c>
      <c r="L4" s="101" t="s">
        <v>1499</v>
      </c>
      <c r="M4" s="21" t="str">
        <f>Etiquettes!$H$11</f>
        <v>Volume</v>
      </c>
      <c r="N4" s="21" t="str">
        <f t="shared" si="0"/>
        <v>Stock initial collecteurs = 2 kt (Collectes, stocks - FranceAgriMer)</v>
      </c>
      <c r="O4" t="str">
        <f>Etiquettes!$I$15</f>
        <v>Robuste</v>
      </c>
      <c r="P4" s="976" t="s">
        <v>1468</v>
      </c>
      <c r="Q4" s="976" t="str">
        <f>Etiquettes!$H$17</f>
        <v>Donnée collectée (valeur du flux ou coefficient)</v>
      </c>
    </row>
    <row r="5" spans="1:19">
      <c r="A5" t="s">
        <v>724</v>
      </c>
      <c r="B5" t="s">
        <v>715</v>
      </c>
      <c r="C5" s="911">
        <f>'Prétraitement récolte, collecte'!C6</f>
        <v>5.6355000000000004</v>
      </c>
      <c r="E5" t="str">
        <f>Etiquettes!$C$3</f>
        <v>kt</v>
      </c>
      <c r="F5" s="21" t="str">
        <f>Etiquettes!$K$6</f>
        <v>Lin</v>
      </c>
      <c r="G5" s="913" t="str">
        <f>Etiquettes!$H$5</f>
        <v>2015-16</v>
      </c>
      <c r="H5" t="str">
        <f>Etiquettes!$C$4</f>
        <v>France entière</v>
      </c>
      <c r="I5" s="101" t="s">
        <v>715</v>
      </c>
      <c r="K5" s="21" t="s">
        <v>1223</v>
      </c>
      <c r="L5" s="101" t="s">
        <v>1499</v>
      </c>
      <c r="M5" s="21" t="str">
        <f>Etiquettes!$H$11</f>
        <v>Volume</v>
      </c>
      <c r="N5" s="21" t="str">
        <f t="shared" si="0"/>
        <v>Stock final collecteurs = 6 kt (Collectes, stocks - FranceAgriMer)</v>
      </c>
      <c r="O5" t="str">
        <f>Etiquettes!$I$15</f>
        <v>Robuste</v>
      </c>
      <c r="P5" s="976" t="s">
        <v>1468</v>
      </c>
      <c r="Q5" s="976" t="str">
        <f>Etiquettes!$H$17</f>
        <v>Donnée collectée (valeur du flux ou coefficient)</v>
      </c>
    </row>
    <row r="6" spans="1:19">
      <c r="A6" t="str">
        <f>Produits!$B$11</f>
        <v>Graines collectées</v>
      </c>
      <c r="B6" t="str">
        <f>Secteurs!$B$44</f>
        <v>Semences certifiées</v>
      </c>
      <c r="C6" s="911">
        <f>'Prétraitement récolte, collecte'!C7</f>
        <v>1.39</v>
      </c>
      <c r="E6" t="str">
        <f>Etiquettes!$C$3</f>
        <v>kt</v>
      </c>
      <c r="F6" s="21" t="str">
        <f>Etiquettes!$K$6</f>
        <v>Lin</v>
      </c>
      <c r="G6" s="913" t="str">
        <f>Etiquettes!$H$5</f>
        <v>2015-16</v>
      </c>
      <c r="H6" t="str">
        <f>Etiquettes!$C$4</f>
        <v>France entière</v>
      </c>
      <c r="I6" s="101" t="s">
        <v>744</v>
      </c>
      <c r="K6" s="21" t="s">
        <v>1223</v>
      </c>
      <c r="L6" s="101" t="s">
        <v>1499</v>
      </c>
      <c r="M6" s="21" t="str">
        <f>Etiquettes!$H$11</f>
        <v>Volume</v>
      </c>
      <c r="N6" s="21" t="str">
        <f t="shared" si="0"/>
        <v>Production de semences certifiées = 1 kt (Collectes, stocks - FranceAgriMer)</v>
      </c>
      <c r="O6" t="str">
        <f>Etiquettes!$J$15</f>
        <v>Probable</v>
      </c>
      <c r="P6" s="976" t="s">
        <v>1468</v>
      </c>
      <c r="Q6" s="976" t="str">
        <f>Etiquettes!$H$17</f>
        <v>Donnée collectée (valeur du flux ou coefficient)</v>
      </c>
    </row>
    <row r="7" spans="1:19">
      <c r="A7" t="s">
        <v>1004</v>
      </c>
      <c r="B7" t="s">
        <v>729</v>
      </c>
      <c r="C7" s="911">
        <f>'Prétraitement récolte, collecte'!C9</f>
        <v>0.4415</v>
      </c>
      <c r="E7" t="str">
        <f>Etiquettes!$C$3</f>
        <v>kt</v>
      </c>
      <c r="F7" s="21" t="str">
        <f>Etiquettes!$K$6</f>
        <v>Lin</v>
      </c>
      <c r="G7" s="913" t="str">
        <f>Etiquettes!$H$5</f>
        <v>2015-16</v>
      </c>
      <c r="H7" t="str">
        <f>Etiquettes!$C$4</f>
        <v>France entière</v>
      </c>
      <c r="I7" s="101" t="s">
        <v>1011</v>
      </c>
      <c r="J7" s="101"/>
      <c r="K7" s="21" t="s">
        <v>1224</v>
      </c>
      <c r="L7" s="101" t="s">
        <v>1497</v>
      </c>
      <c r="M7" s="21" t="str">
        <f>Etiquettes!$H$11</f>
        <v>Volume</v>
      </c>
      <c r="N7" s="21" t="str">
        <f t="shared" si="0"/>
        <v>Consommation de graines par les FAB = 0 kt (Etat 13 - FranceAgriMer)</v>
      </c>
      <c r="O7" t="str">
        <f>Etiquettes!$J$15</f>
        <v>Probable</v>
      </c>
      <c r="P7" s="976" t="s">
        <v>1468</v>
      </c>
      <c r="Q7" s="976" t="str">
        <f>Etiquettes!$H$17</f>
        <v>Donnée collectée (valeur du flux ou coefficient)</v>
      </c>
    </row>
    <row r="8" spans="1:19">
      <c r="A8" t="s">
        <v>722</v>
      </c>
      <c r="B8" t="s">
        <v>1002</v>
      </c>
      <c r="C8" s="911">
        <f>'Prétraitement récolte, collecte'!D3</f>
        <v>45.531300000000002</v>
      </c>
      <c r="E8" t="str">
        <f>Etiquettes!$C$3</f>
        <v>kt</v>
      </c>
      <c r="F8" s="21" t="str">
        <f>Etiquettes!$K$6</f>
        <v>Lin</v>
      </c>
      <c r="G8" s="913" t="str">
        <f>Etiquettes!$I$5</f>
        <v>2019-20</v>
      </c>
      <c r="H8" t="str">
        <f>Etiquettes!$C$4</f>
        <v>France entière</v>
      </c>
      <c r="I8" s="101" t="s">
        <v>722</v>
      </c>
      <c r="K8" s="21" t="s">
        <v>1132</v>
      </c>
      <c r="L8" s="101" t="s">
        <v>1483</v>
      </c>
      <c r="M8" s="21" t="str">
        <f>Etiquettes!$H$11</f>
        <v>Volume</v>
      </c>
      <c r="N8" s="21" t="str">
        <f t="shared" si="0"/>
        <v>Récolte = 46 kt (Statistique Agricole Annuelle - SSP)</v>
      </c>
      <c r="O8" t="str">
        <f>Etiquettes!$H$15</f>
        <v>Fiable</v>
      </c>
      <c r="P8" s="976" t="s">
        <v>1468</v>
      </c>
      <c r="Q8" s="976" t="str">
        <f>Etiquettes!$H$17</f>
        <v>Donnée collectée (valeur du flux ou coefficient)</v>
      </c>
    </row>
    <row r="9" spans="1:19">
      <c r="A9" t="s">
        <v>1002</v>
      </c>
      <c r="B9" t="s">
        <v>724</v>
      </c>
      <c r="C9" s="911">
        <f>'Prétraitement récolte, collecte'!D4</f>
        <v>30.716700000000003</v>
      </c>
      <c r="E9" t="str">
        <f>Etiquettes!$C$3</f>
        <v>kt</v>
      </c>
      <c r="F9" s="21" t="str">
        <f>Etiquettes!$K$6</f>
        <v>Lin</v>
      </c>
      <c r="G9" s="913" t="str">
        <f>Etiquettes!$I$5</f>
        <v>2019-20</v>
      </c>
      <c r="H9" t="str">
        <f>Etiquettes!$C$4</f>
        <v>France entière</v>
      </c>
      <c r="I9" s="101" t="s">
        <v>743</v>
      </c>
      <c r="J9" s="101"/>
      <c r="K9" s="21" t="s">
        <v>1223</v>
      </c>
      <c r="L9" s="101" t="s">
        <v>1499</v>
      </c>
      <c r="M9" s="21" t="str">
        <f>Etiquettes!$H$11</f>
        <v>Volume</v>
      </c>
      <c r="N9" s="21" t="str">
        <f t="shared" si="0"/>
        <v>Collecte = 31 kt (Collectes, stocks - FranceAgriMer)</v>
      </c>
      <c r="O9" t="str">
        <f>Etiquettes!$I$15</f>
        <v>Robuste</v>
      </c>
      <c r="P9" s="976" t="s">
        <v>1468</v>
      </c>
      <c r="Q9" s="976" t="str">
        <f>Etiquettes!$H$17</f>
        <v>Donnée collectée (valeur du flux ou coefficient)</v>
      </c>
    </row>
    <row r="10" spans="1:19">
      <c r="A10" t="s">
        <v>712</v>
      </c>
      <c r="B10" t="s">
        <v>724</v>
      </c>
      <c r="C10" s="911">
        <f>'Prétraitement récolte, collecte'!D5</f>
        <v>6.2431000000000001</v>
      </c>
      <c r="E10" t="str">
        <f>Etiquettes!$C$3</f>
        <v>kt</v>
      </c>
      <c r="F10" s="21" t="str">
        <f>Etiquettes!$K$6</f>
        <v>Lin</v>
      </c>
      <c r="G10" s="913" t="str">
        <f>Etiquettes!$I$5</f>
        <v>2019-20</v>
      </c>
      <c r="H10" t="str">
        <f>Etiquettes!$C$4</f>
        <v>France entière</v>
      </c>
      <c r="I10" s="101" t="s">
        <v>712</v>
      </c>
      <c r="K10" s="21" t="s">
        <v>1223</v>
      </c>
      <c r="L10" s="101" t="s">
        <v>1499</v>
      </c>
      <c r="M10" s="21" t="str">
        <f>Etiquettes!$H$11</f>
        <v>Volume</v>
      </c>
      <c r="N10" s="21" t="str">
        <f t="shared" si="0"/>
        <v>Stock initial collecteurs = 6 kt (Collectes, stocks - FranceAgriMer)</v>
      </c>
      <c r="O10" t="str">
        <f>Etiquettes!$I$15</f>
        <v>Robuste</v>
      </c>
      <c r="P10" s="976" t="s">
        <v>1468</v>
      </c>
      <c r="Q10" s="976" t="str">
        <f>Etiquettes!$H$17</f>
        <v>Donnée collectée (valeur du flux ou coefficient)</v>
      </c>
    </row>
    <row r="11" spans="1:19">
      <c r="A11" t="s">
        <v>724</v>
      </c>
      <c r="B11" t="s">
        <v>715</v>
      </c>
      <c r="C11" s="911">
        <f>'Prétraitement récolte, collecte'!D6</f>
        <v>4.2187000000000001</v>
      </c>
      <c r="E11" t="str">
        <f>Etiquettes!$C$3</f>
        <v>kt</v>
      </c>
      <c r="F11" s="21" t="str">
        <f>Etiquettes!$K$6</f>
        <v>Lin</v>
      </c>
      <c r="G11" s="913" t="str">
        <f>Etiquettes!$I$5</f>
        <v>2019-20</v>
      </c>
      <c r="H11" t="str">
        <f>Etiquettes!$C$4</f>
        <v>France entière</v>
      </c>
      <c r="I11" s="101" t="s">
        <v>715</v>
      </c>
      <c r="K11" s="21" t="s">
        <v>1223</v>
      </c>
      <c r="L11" s="101" t="s">
        <v>1499</v>
      </c>
      <c r="M11" s="21" t="str">
        <f>Etiquettes!$H$11</f>
        <v>Volume</v>
      </c>
      <c r="N11" s="21" t="str">
        <f t="shared" si="0"/>
        <v>Stock final collecteurs = 4 kt (Collectes, stocks - FranceAgriMer)</v>
      </c>
      <c r="O11" t="str">
        <f>Etiquettes!$I$15</f>
        <v>Robuste</v>
      </c>
      <c r="P11" s="976" t="s">
        <v>1468</v>
      </c>
      <c r="Q11" s="976" t="str">
        <f>Etiquettes!$H$17</f>
        <v>Donnée collectée (valeur du flux ou coefficient)</v>
      </c>
    </row>
    <row r="12" spans="1:19">
      <c r="A12" t="str">
        <f>Produits!$B$11</f>
        <v>Graines collectées</v>
      </c>
      <c r="B12" t="str">
        <f>Secteurs!$B$44</f>
        <v>Semences certifiées</v>
      </c>
      <c r="C12" s="911">
        <f>'Prétraitement récolte, collecte'!D7</f>
        <v>1.8577999999999997</v>
      </c>
      <c r="E12" t="str">
        <f>Etiquettes!$C$3</f>
        <v>kt</v>
      </c>
      <c r="F12" s="21" t="str">
        <f>Etiquettes!$K$6</f>
        <v>Lin</v>
      </c>
      <c r="G12" s="913" t="str">
        <f>Etiquettes!$I$5</f>
        <v>2019-20</v>
      </c>
      <c r="H12" t="str">
        <f>Etiquettes!$C$4</f>
        <v>France entière</v>
      </c>
      <c r="I12" s="101" t="s">
        <v>744</v>
      </c>
      <c r="K12" s="21" t="s">
        <v>1223</v>
      </c>
      <c r="L12" s="101" t="s">
        <v>1499</v>
      </c>
      <c r="M12" s="21" t="str">
        <f>Etiquettes!$H$11</f>
        <v>Volume</v>
      </c>
      <c r="N12" s="21" t="str">
        <f t="shared" si="0"/>
        <v>Production de semences certifiées = 2 kt (Collectes, stocks - FranceAgriMer)</v>
      </c>
      <c r="O12" t="str">
        <f>Etiquettes!$J$15</f>
        <v>Probable</v>
      </c>
      <c r="P12" s="976" t="s">
        <v>1468</v>
      </c>
      <c r="Q12" s="976" t="str">
        <f>Etiquettes!$H$17</f>
        <v>Donnée collectée (valeur du flux ou coefficient)</v>
      </c>
    </row>
    <row r="13" spans="1:19">
      <c r="A13" t="s">
        <v>1004</v>
      </c>
      <c r="B13" t="s">
        <v>729</v>
      </c>
      <c r="C13" s="911">
        <f>'Prétraitement récolte, collecte'!D9</f>
        <v>4.1491030000000002</v>
      </c>
      <c r="E13" t="str">
        <f>Etiquettes!$C$3</f>
        <v>kt</v>
      </c>
      <c r="F13" s="21" t="str">
        <f>Etiquettes!$K$6</f>
        <v>Lin</v>
      </c>
      <c r="G13" s="913" t="str">
        <f>Etiquettes!$I$5</f>
        <v>2019-20</v>
      </c>
      <c r="H13" t="str">
        <f>Etiquettes!$C$4</f>
        <v>France entière</v>
      </c>
      <c r="I13" s="101" t="s">
        <v>1011</v>
      </c>
      <c r="J13" s="101"/>
      <c r="K13" s="21" t="s">
        <v>1224</v>
      </c>
      <c r="L13" s="101" t="s">
        <v>1497</v>
      </c>
      <c r="M13" s="21" t="str">
        <f>Etiquettes!$H$11</f>
        <v>Volume</v>
      </c>
      <c r="N13" s="21" t="str">
        <f t="shared" si="0"/>
        <v>Consommation de graines par les FAB = 4 kt (Etat 13 - FranceAgriMer)</v>
      </c>
      <c r="O13" t="str">
        <f>Etiquettes!$J$15</f>
        <v>Probable</v>
      </c>
      <c r="P13" s="976" t="s">
        <v>1468</v>
      </c>
      <c r="Q13" s="976" t="str">
        <f>Etiquettes!$H$17</f>
        <v>Donnée collectée (valeur du flux ou coefficient)</v>
      </c>
    </row>
    <row r="14" spans="1:19">
      <c r="A14" t="s">
        <v>722</v>
      </c>
      <c r="B14" t="s">
        <v>1002</v>
      </c>
      <c r="C14" s="911">
        <f>'Prétraitement récolte, collecte'!E3</f>
        <v>51.6892</v>
      </c>
      <c r="E14" t="str">
        <f>Etiquettes!$C$3</f>
        <v>kt</v>
      </c>
      <c r="F14" s="21" t="str">
        <f>Etiquettes!$K$6</f>
        <v>Lin</v>
      </c>
      <c r="G14" s="913" t="str">
        <f>Etiquettes!$J$5</f>
        <v>2023-24</v>
      </c>
      <c r="H14" t="str">
        <f>Etiquettes!$C$4</f>
        <v>France entière</v>
      </c>
      <c r="I14" s="101" t="s">
        <v>722</v>
      </c>
      <c r="K14" s="21" t="s">
        <v>1132</v>
      </c>
      <c r="L14" s="101" t="s">
        <v>1483</v>
      </c>
      <c r="M14" s="21" t="str">
        <f>Etiquettes!$H$11</f>
        <v>Volume</v>
      </c>
      <c r="N14" s="21" t="str">
        <f t="shared" si="0"/>
        <v>Récolte = 52 kt (Statistique Agricole Annuelle - SSP)</v>
      </c>
      <c r="O14" t="str">
        <f>Etiquettes!$H$15</f>
        <v>Fiable</v>
      </c>
      <c r="P14" s="976" t="s">
        <v>1468</v>
      </c>
      <c r="Q14" s="976" t="str">
        <f>Etiquettes!$H$17</f>
        <v>Donnée collectée (valeur du flux ou coefficient)</v>
      </c>
    </row>
    <row r="15" spans="1:19">
      <c r="A15" t="s">
        <v>1002</v>
      </c>
      <c r="B15" t="s">
        <v>724</v>
      </c>
      <c r="C15" s="911">
        <f>'Prétraitement récolte, collecte'!E4</f>
        <v>35.433800000000005</v>
      </c>
      <c r="E15" t="str">
        <f>Etiquettes!$C$3</f>
        <v>kt</v>
      </c>
      <c r="F15" s="21" t="str">
        <f>Etiquettes!$K$6</f>
        <v>Lin</v>
      </c>
      <c r="G15" s="913" t="str">
        <f>Etiquettes!$J$5</f>
        <v>2023-24</v>
      </c>
      <c r="H15" t="str">
        <f>Etiquettes!$C$4</f>
        <v>France entière</v>
      </c>
      <c r="I15" s="101" t="s">
        <v>743</v>
      </c>
      <c r="J15" s="101"/>
      <c r="K15" s="21" t="s">
        <v>1223</v>
      </c>
      <c r="L15" s="101" t="s">
        <v>1499</v>
      </c>
      <c r="M15" s="21" t="str">
        <f>Etiquettes!$H$11</f>
        <v>Volume</v>
      </c>
      <c r="N15" s="21" t="str">
        <f t="shared" si="0"/>
        <v>Collecte = 35 kt (Collectes, stocks - FranceAgriMer)</v>
      </c>
      <c r="O15" t="str">
        <f>Etiquettes!$I$15</f>
        <v>Robuste</v>
      </c>
      <c r="P15" s="976" t="s">
        <v>1468</v>
      </c>
      <c r="Q15" s="976" t="str">
        <f>Etiquettes!$H$17</f>
        <v>Donnée collectée (valeur du flux ou coefficient)</v>
      </c>
    </row>
    <row r="16" spans="1:19">
      <c r="A16" t="s">
        <v>712</v>
      </c>
      <c r="B16" t="s">
        <v>724</v>
      </c>
      <c r="C16" s="911">
        <f>'Prétraitement récolte, collecte'!E5</f>
        <v>6.2282000000000002</v>
      </c>
      <c r="E16" t="str">
        <f>Etiquettes!$C$3</f>
        <v>kt</v>
      </c>
      <c r="F16" s="21" t="str">
        <f>Etiquettes!$K$6</f>
        <v>Lin</v>
      </c>
      <c r="G16" s="913" t="str">
        <f>Etiquettes!$J$5</f>
        <v>2023-24</v>
      </c>
      <c r="H16" t="str">
        <f>Etiquettes!$C$4</f>
        <v>France entière</v>
      </c>
      <c r="I16" s="101" t="s">
        <v>712</v>
      </c>
      <c r="K16" s="21" t="s">
        <v>1223</v>
      </c>
      <c r="L16" s="101" t="s">
        <v>1499</v>
      </c>
      <c r="M16" s="21" t="str">
        <f>Etiquettes!$H$11</f>
        <v>Volume</v>
      </c>
      <c r="N16" s="21" t="str">
        <f t="shared" si="0"/>
        <v>Stock initial collecteurs = 6 kt (Collectes, stocks - FranceAgriMer)</v>
      </c>
      <c r="O16" t="str">
        <f>Etiquettes!$I$15</f>
        <v>Robuste</v>
      </c>
      <c r="P16" s="976" t="s">
        <v>1468</v>
      </c>
      <c r="Q16" s="976" t="str">
        <f>Etiquettes!$H$17</f>
        <v>Donnée collectée (valeur du flux ou coefficient)</v>
      </c>
    </row>
    <row r="17" spans="1:17">
      <c r="A17" t="s">
        <v>724</v>
      </c>
      <c r="B17" t="s">
        <v>715</v>
      </c>
      <c r="C17" s="911">
        <f>'Prétraitement récolte, collecte'!E6</f>
        <v>6.9329999999999998</v>
      </c>
      <c r="E17" t="str">
        <f>Etiquettes!$C$3</f>
        <v>kt</v>
      </c>
      <c r="F17" s="21" t="str">
        <f>Etiquettes!$K$6</f>
        <v>Lin</v>
      </c>
      <c r="G17" s="913" t="str">
        <f>Etiquettes!$J$5</f>
        <v>2023-24</v>
      </c>
      <c r="H17" t="str">
        <f>Etiquettes!$C$4</f>
        <v>France entière</v>
      </c>
      <c r="I17" s="101" t="s">
        <v>715</v>
      </c>
      <c r="K17" s="21" t="s">
        <v>1223</v>
      </c>
      <c r="L17" s="101" t="s">
        <v>1499</v>
      </c>
      <c r="M17" s="21" t="str">
        <f>Etiquettes!$H$11</f>
        <v>Volume</v>
      </c>
      <c r="N17" s="21" t="str">
        <f t="shared" si="0"/>
        <v>Stock final collecteurs = 7 kt (Collectes, stocks - FranceAgriMer)</v>
      </c>
      <c r="O17" t="str">
        <f>Etiquettes!$I$15</f>
        <v>Robuste</v>
      </c>
      <c r="P17" s="976" t="s">
        <v>1468</v>
      </c>
      <c r="Q17" s="976" t="str">
        <f>Etiquettes!$H$17</f>
        <v>Donnée collectée (valeur du flux ou coefficient)</v>
      </c>
    </row>
    <row r="18" spans="1:17">
      <c r="A18" t="str">
        <f>Produits!$B$11</f>
        <v>Graines collectées</v>
      </c>
      <c r="B18" t="str">
        <f>Secteurs!$B$44</f>
        <v>Semences certifiées</v>
      </c>
      <c r="C18" s="911">
        <f>'Prétraitement récolte, collecte'!E7</f>
        <v>1.2687999999999999</v>
      </c>
      <c r="E18" t="str">
        <f>Etiquettes!$C$3</f>
        <v>kt</v>
      </c>
      <c r="F18" s="21" t="str">
        <f>Etiquettes!$K$6</f>
        <v>Lin</v>
      </c>
      <c r="G18" s="913" t="str">
        <f>Etiquettes!$J$5</f>
        <v>2023-24</v>
      </c>
      <c r="H18" t="str">
        <f>Etiquettes!$C$4</f>
        <v>France entière</v>
      </c>
      <c r="I18" s="101" t="s">
        <v>744</v>
      </c>
      <c r="K18" s="21" t="s">
        <v>1223</v>
      </c>
      <c r="L18" s="101" t="s">
        <v>1499</v>
      </c>
      <c r="M18" s="21" t="str">
        <f>Etiquettes!$H$11</f>
        <v>Volume</v>
      </c>
      <c r="N18" s="21" t="str">
        <f t="shared" si="0"/>
        <v>Production de semences certifiées = 1 kt (Collectes, stocks - FranceAgriMer)</v>
      </c>
      <c r="O18" t="str">
        <f>Etiquettes!$J$15</f>
        <v>Probable</v>
      </c>
      <c r="P18" s="976" t="s">
        <v>1468</v>
      </c>
      <c r="Q18" s="976" t="str">
        <f>Etiquettes!$H$17</f>
        <v>Donnée collectée (valeur du flux ou coefficient)</v>
      </c>
    </row>
    <row r="19" spans="1:17">
      <c r="A19" t="s">
        <v>1004</v>
      </c>
      <c r="B19" t="s">
        <v>729</v>
      </c>
      <c r="C19" s="911">
        <f>'Prétraitement récolte, collecte'!E9</f>
        <v>5.9397010000000003</v>
      </c>
      <c r="E19" t="str">
        <f>Etiquettes!$C$3</f>
        <v>kt</v>
      </c>
      <c r="F19" s="21" t="str">
        <f>Etiquettes!$K$6</f>
        <v>Lin</v>
      </c>
      <c r="G19" s="913" t="str">
        <f>Etiquettes!$J$5</f>
        <v>2023-24</v>
      </c>
      <c r="H19" t="str">
        <f>Etiquettes!$C$4</f>
        <v>France entière</v>
      </c>
      <c r="I19" s="101" t="s">
        <v>1011</v>
      </c>
      <c r="J19" s="101"/>
      <c r="K19" s="21" t="s">
        <v>1224</v>
      </c>
      <c r="L19" s="101" t="s">
        <v>1497</v>
      </c>
      <c r="M19" s="21" t="str">
        <f>Etiquettes!$H$11</f>
        <v>Volume</v>
      </c>
      <c r="N19" s="21" t="str">
        <f t="shared" si="0"/>
        <v>Consommation de graines par les FAB = 6 kt (Etat 13 - FranceAgriMer)</v>
      </c>
      <c r="O19" t="str">
        <f>Etiquettes!$J$15</f>
        <v>Probable</v>
      </c>
      <c r="P19" s="976" t="s">
        <v>1468</v>
      </c>
      <c r="Q19" s="976" t="str">
        <f>Etiquettes!$H$17</f>
        <v>Donnée collectée (valeur du flux ou coefficient)</v>
      </c>
    </row>
    <row r="20" spans="1:17">
      <c r="A20" t="s">
        <v>722</v>
      </c>
      <c r="B20" t="s">
        <v>1002</v>
      </c>
      <c r="C20" s="911">
        <f>'Prétraitement récolte, collecte'!C12</f>
        <v>16.433199999999999</v>
      </c>
      <c r="E20" t="str">
        <f>Etiquettes!$C$3</f>
        <v>kt</v>
      </c>
      <c r="F20" s="21" t="str">
        <f>Etiquettes!$N$6</f>
        <v>Lupin</v>
      </c>
      <c r="G20" s="913" t="str">
        <f>Etiquettes!$H$5</f>
        <v>2015-16</v>
      </c>
      <c r="H20" t="str">
        <f>Etiquettes!$C$4</f>
        <v>France entière</v>
      </c>
      <c r="I20" s="101" t="s">
        <v>722</v>
      </c>
      <c r="K20" s="21" t="s">
        <v>1132</v>
      </c>
      <c r="L20" s="101" t="s">
        <v>1483</v>
      </c>
      <c r="M20" s="21" t="str">
        <f>Etiquettes!$H$11</f>
        <v>Volume</v>
      </c>
      <c r="N20" s="21" t="str">
        <f t="shared" si="0"/>
        <v>Récolte = 16 kt (Statistique Agricole Annuelle - SSP)</v>
      </c>
      <c r="O20" t="str">
        <f>Etiquettes!$H$15</f>
        <v>Fiable</v>
      </c>
      <c r="P20" s="976" t="s">
        <v>1468</v>
      </c>
      <c r="Q20" s="976" t="str">
        <f>Etiquettes!$H$17</f>
        <v>Donnée collectée (valeur du flux ou coefficient)</v>
      </c>
    </row>
    <row r="21" spans="1:17">
      <c r="A21" t="s">
        <v>1002</v>
      </c>
      <c r="B21" t="s">
        <v>724</v>
      </c>
      <c r="C21" s="911">
        <f>'Prétraitement récolte, collecte'!C13</f>
        <v>11.978299999999999</v>
      </c>
      <c r="E21" t="str">
        <f>Etiquettes!$C$3</f>
        <v>kt</v>
      </c>
      <c r="F21" s="21" t="str">
        <f>Etiquettes!$N$6</f>
        <v>Lupin</v>
      </c>
      <c r="G21" s="913" t="str">
        <f>Etiquettes!$H$5</f>
        <v>2015-16</v>
      </c>
      <c r="H21" t="str">
        <f>Etiquettes!$C$4</f>
        <v>France entière</v>
      </c>
      <c r="I21" s="101" t="s">
        <v>743</v>
      </c>
      <c r="K21" s="21" t="s">
        <v>1223</v>
      </c>
      <c r="L21" s="101" t="s">
        <v>1500</v>
      </c>
      <c r="M21" s="21" t="str">
        <f>Etiquettes!$H$11</f>
        <v>Volume</v>
      </c>
      <c r="N21" s="21" t="str">
        <f t="shared" si="0"/>
        <v>Collecte = 12 kt (Collectes, stocks - FranceAgriMer)</v>
      </c>
      <c r="O21" t="str">
        <f>Etiquettes!$I$15</f>
        <v>Robuste</v>
      </c>
      <c r="P21" s="976" t="s">
        <v>1468</v>
      </c>
      <c r="Q21" s="976" t="str">
        <f>Etiquettes!$H$17</f>
        <v>Donnée collectée (valeur du flux ou coefficient)</v>
      </c>
    </row>
    <row r="22" spans="1:17">
      <c r="A22" t="s">
        <v>712</v>
      </c>
      <c r="B22" t="s">
        <v>724</v>
      </c>
      <c r="C22" s="911">
        <f>'Prétraitement récolte, collecte'!C14</f>
        <v>3.4144000000000001</v>
      </c>
      <c r="E22" t="str">
        <f>Etiquettes!$C$3</f>
        <v>kt</v>
      </c>
      <c r="F22" s="21" t="str">
        <f>Etiquettes!$N$6</f>
        <v>Lupin</v>
      </c>
      <c r="G22" s="913" t="str">
        <f>Etiquettes!$H$5</f>
        <v>2015-16</v>
      </c>
      <c r="H22" t="str">
        <f>Etiquettes!$C$4</f>
        <v>France entière</v>
      </c>
      <c r="I22" s="101" t="s">
        <v>712</v>
      </c>
      <c r="K22" s="21" t="s">
        <v>1223</v>
      </c>
      <c r="L22" s="101" t="s">
        <v>1500</v>
      </c>
      <c r="M22" s="21" t="str">
        <f>Etiquettes!$H$11</f>
        <v>Volume</v>
      </c>
      <c r="N22" s="21" t="str">
        <f t="shared" si="0"/>
        <v>Stock initial collecteurs = 3 kt (Collectes, stocks - FranceAgriMer)</v>
      </c>
      <c r="O22" t="str">
        <f>Etiquettes!$I$15</f>
        <v>Robuste</v>
      </c>
      <c r="P22" s="976" t="s">
        <v>1468</v>
      </c>
      <c r="Q22" s="976" t="str">
        <f>Etiquettes!$H$17</f>
        <v>Donnée collectée (valeur du flux ou coefficient)</v>
      </c>
    </row>
    <row r="23" spans="1:17">
      <c r="A23" t="s">
        <v>724</v>
      </c>
      <c r="B23" t="s">
        <v>715</v>
      </c>
      <c r="C23" s="911">
        <f>'Prétraitement récolte, collecte'!C15</f>
        <v>11.295500000000001</v>
      </c>
      <c r="E23" t="str">
        <f>Etiquettes!$C$3</f>
        <v>kt</v>
      </c>
      <c r="F23" s="21" t="str">
        <f>Etiquettes!$N$6</f>
        <v>Lupin</v>
      </c>
      <c r="G23" s="913" t="str">
        <f>Etiquettes!$H$5</f>
        <v>2015-16</v>
      </c>
      <c r="H23" t="str">
        <f>Etiquettes!$C$4</f>
        <v>France entière</v>
      </c>
      <c r="I23" s="101" t="s">
        <v>715</v>
      </c>
      <c r="K23" s="21" t="s">
        <v>1223</v>
      </c>
      <c r="L23" s="101" t="s">
        <v>1500</v>
      </c>
      <c r="M23" s="21" t="str">
        <f>Etiquettes!$H$11</f>
        <v>Volume</v>
      </c>
      <c r="N23" s="21" t="str">
        <f t="shared" si="0"/>
        <v>Stock final collecteurs = 11 kt (Collectes, stocks - FranceAgriMer)</v>
      </c>
      <c r="O23" t="str">
        <f>Etiquettes!$I$15</f>
        <v>Robuste</v>
      </c>
      <c r="P23" s="976" t="s">
        <v>1468</v>
      </c>
      <c r="Q23" s="976" t="str">
        <f>Etiquettes!$H$17</f>
        <v>Donnée collectée (valeur du flux ou coefficient)</v>
      </c>
    </row>
    <row r="24" spans="1:17">
      <c r="A24" t="str">
        <f>Produits!$B$11</f>
        <v>Graines collectées</v>
      </c>
      <c r="B24" t="str">
        <f>Secteurs!$B$44</f>
        <v>Semences certifiées</v>
      </c>
      <c r="C24" s="911">
        <f>'Prétraitement récolte, collecte'!C16</f>
        <v>0.51770000000000005</v>
      </c>
      <c r="E24" t="str">
        <f>Etiquettes!$C$3</f>
        <v>kt</v>
      </c>
      <c r="F24" s="21" t="str">
        <f>Etiquettes!$N$6</f>
        <v>Lupin</v>
      </c>
      <c r="G24" s="913" t="str">
        <f>Etiquettes!$H$5</f>
        <v>2015-16</v>
      </c>
      <c r="H24" t="str">
        <f>Etiquettes!$C$4</f>
        <v>France entière</v>
      </c>
      <c r="I24" s="101" t="s">
        <v>744</v>
      </c>
      <c r="K24" s="21" t="s">
        <v>1223</v>
      </c>
      <c r="L24" s="101" t="s">
        <v>1500</v>
      </c>
      <c r="M24" s="21" t="str">
        <f>Etiquettes!$H$11</f>
        <v>Volume</v>
      </c>
      <c r="N24" s="21" t="str">
        <f t="shared" si="0"/>
        <v>Production de semences certifiées = 1 kt (Collectes, stocks - FranceAgriMer)</v>
      </c>
      <c r="O24" t="str">
        <f>Etiquettes!$J$15</f>
        <v>Probable</v>
      </c>
      <c r="P24" s="976" t="s">
        <v>1468</v>
      </c>
      <c r="Q24" s="976" t="str">
        <f>Etiquettes!$H$17</f>
        <v>Donnée collectée (valeur du flux ou coefficient)</v>
      </c>
    </row>
    <row r="25" spans="1:17">
      <c r="A25" t="s">
        <v>1004</v>
      </c>
      <c r="B25" t="s">
        <v>729</v>
      </c>
      <c r="C25" s="911">
        <f>'Prétraitement récolte, collecte'!C18</f>
        <v>9.509999999999999E-2</v>
      </c>
      <c r="E25" t="str">
        <f>Etiquettes!$C$3</f>
        <v>kt</v>
      </c>
      <c r="F25" s="21" t="str">
        <f>Etiquettes!$N$6</f>
        <v>Lupin</v>
      </c>
      <c r="G25" s="913" t="str">
        <f>Etiquettes!$H$5</f>
        <v>2015-16</v>
      </c>
      <c r="H25" t="str">
        <f>Etiquettes!$C$4</f>
        <v>France entière</v>
      </c>
      <c r="I25" s="101" t="s">
        <v>1011</v>
      </c>
      <c r="K25" s="21" t="s">
        <v>1224</v>
      </c>
      <c r="L25" s="101" t="s">
        <v>1498</v>
      </c>
      <c r="M25" s="21" t="str">
        <f>Etiquettes!$H$11</f>
        <v>Volume</v>
      </c>
      <c r="N25" s="21" t="str">
        <f t="shared" si="0"/>
        <v>Consommation de graines par les FAB = 0 kt (Etat 13 - FranceAgriMer)</v>
      </c>
      <c r="O25" t="str">
        <f>Etiquettes!$J$15</f>
        <v>Probable</v>
      </c>
      <c r="P25" s="976" t="s">
        <v>1468</v>
      </c>
      <c r="Q25" s="976" t="str">
        <f>Etiquettes!$H$17</f>
        <v>Donnée collectée (valeur du flux ou coefficient)</v>
      </c>
    </row>
    <row r="26" spans="1:17">
      <c r="A26" t="s">
        <v>722</v>
      </c>
      <c r="B26" t="s">
        <v>1002</v>
      </c>
      <c r="C26" s="911">
        <f>'Prétraitement récolte, collecte'!D12</f>
        <v>7.0892999999999997</v>
      </c>
      <c r="E26" t="str">
        <f>Etiquettes!$C$3</f>
        <v>kt</v>
      </c>
      <c r="F26" s="21" t="str">
        <f>Etiquettes!$N$6</f>
        <v>Lupin</v>
      </c>
      <c r="G26" s="913" t="str">
        <f>Etiquettes!$I$5</f>
        <v>2019-20</v>
      </c>
      <c r="H26" t="str">
        <f>Etiquettes!$C$4</f>
        <v>France entière</v>
      </c>
      <c r="I26" s="101" t="s">
        <v>722</v>
      </c>
      <c r="K26" s="21" t="s">
        <v>1132</v>
      </c>
      <c r="L26" s="101" t="s">
        <v>1483</v>
      </c>
      <c r="M26" s="21" t="str">
        <f>Etiquettes!$H$11</f>
        <v>Volume</v>
      </c>
      <c r="N26" s="21" t="str">
        <f t="shared" si="0"/>
        <v>Récolte = 7 kt (Statistique Agricole Annuelle - SSP)</v>
      </c>
      <c r="O26" t="str">
        <f>Etiquettes!$H$15</f>
        <v>Fiable</v>
      </c>
      <c r="P26" s="976" t="s">
        <v>1468</v>
      </c>
      <c r="Q26" s="976" t="str">
        <f>Etiquettes!$H$17</f>
        <v>Donnée collectée (valeur du flux ou coefficient)</v>
      </c>
    </row>
    <row r="27" spans="1:17">
      <c r="A27" t="s">
        <v>1002</v>
      </c>
      <c r="B27" t="s">
        <v>724</v>
      </c>
      <c r="C27" s="911">
        <f>'Prétraitement récolte, collecte'!D13</f>
        <v>3.9058999999999999</v>
      </c>
      <c r="E27" t="str">
        <f>Etiquettes!$C$3</f>
        <v>kt</v>
      </c>
      <c r="F27" s="21" t="str">
        <f>Etiquettes!$N$6</f>
        <v>Lupin</v>
      </c>
      <c r="G27" s="913" t="str">
        <f>Etiquettes!$I$5</f>
        <v>2019-20</v>
      </c>
      <c r="H27" t="str">
        <f>Etiquettes!$C$4</f>
        <v>France entière</v>
      </c>
      <c r="I27" s="101" t="s">
        <v>743</v>
      </c>
      <c r="K27" s="21" t="s">
        <v>1223</v>
      </c>
      <c r="L27" s="101" t="s">
        <v>1500</v>
      </c>
      <c r="M27" s="21" t="str">
        <f>Etiquettes!$H$11</f>
        <v>Volume</v>
      </c>
      <c r="N27" s="21" t="str">
        <f t="shared" si="0"/>
        <v>Collecte = 4 kt (Collectes, stocks - FranceAgriMer)</v>
      </c>
      <c r="O27" t="str">
        <f>Etiquettes!$I$15</f>
        <v>Robuste</v>
      </c>
      <c r="P27" s="976" t="s">
        <v>1468</v>
      </c>
      <c r="Q27" s="976" t="str">
        <f>Etiquettes!$H$17</f>
        <v>Donnée collectée (valeur du flux ou coefficient)</v>
      </c>
    </row>
    <row r="28" spans="1:17">
      <c r="A28" t="s">
        <v>712</v>
      </c>
      <c r="B28" t="s">
        <v>724</v>
      </c>
      <c r="C28" s="911">
        <f>'Prétraitement récolte, collecte'!D14</f>
        <v>8.6282999999999994</v>
      </c>
      <c r="E28" t="str">
        <f>Etiquettes!$C$3</f>
        <v>kt</v>
      </c>
      <c r="F28" s="21" t="str">
        <f>Etiquettes!$N$6</f>
        <v>Lupin</v>
      </c>
      <c r="G28" s="913" t="str">
        <f>Etiquettes!$I$5</f>
        <v>2019-20</v>
      </c>
      <c r="H28" t="str">
        <f>Etiquettes!$C$4</f>
        <v>France entière</v>
      </c>
      <c r="I28" s="101" t="s">
        <v>712</v>
      </c>
      <c r="K28" s="21" t="s">
        <v>1223</v>
      </c>
      <c r="L28" s="101" t="s">
        <v>1500</v>
      </c>
      <c r="M28" s="21" t="str">
        <f>Etiquettes!$H$11</f>
        <v>Volume</v>
      </c>
      <c r="N28" s="21" t="str">
        <f t="shared" si="0"/>
        <v>Stock initial collecteurs = 9 kt (Collectes, stocks - FranceAgriMer)</v>
      </c>
      <c r="O28" t="str">
        <f>Etiquettes!$I$15</f>
        <v>Robuste</v>
      </c>
      <c r="P28" s="976" t="s">
        <v>1468</v>
      </c>
      <c r="Q28" s="976" t="str">
        <f>Etiquettes!$H$17</f>
        <v>Donnée collectée (valeur du flux ou coefficient)</v>
      </c>
    </row>
    <row r="29" spans="1:17">
      <c r="A29" t="s">
        <v>724</v>
      </c>
      <c r="B29" t="s">
        <v>715</v>
      </c>
      <c r="C29" s="911">
        <f>'Prétraitement récolte, collecte'!D15</f>
        <v>1.7609000000000001</v>
      </c>
      <c r="E29" t="str">
        <f>Etiquettes!$C$3</f>
        <v>kt</v>
      </c>
      <c r="F29" s="21" t="str">
        <f>Etiquettes!$N$6</f>
        <v>Lupin</v>
      </c>
      <c r="G29" s="913" t="str">
        <f>Etiquettes!$I$5</f>
        <v>2019-20</v>
      </c>
      <c r="H29" t="str">
        <f>Etiquettes!$C$4</f>
        <v>France entière</v>
      </c>
      <c r="I29" s="101" t="s">
        <v>715</v>
      </c>
      <c r="K29" s="21" t="s">
        <v>1223</v>
      </c>
      <c r="L29" s="101" t="s">
        <v>1500</v>
      </c>
      <c r="M29" s="21" t="str">
        <f>Etiquettes!$H$11</f>
        <v>Volume</v>
      </c>
      <c r="N29" s="21" t="str">
        <f t="shared" si="0"/>
        <v>Stock final collecteurs = 2 kt (Collectes, stocks - FranceAgriMer)</v>
      </c>
      <c r="O29" t="str">
        <f>Etiquettes!$I$15</f>
        <v>Robuste</v>
      </c>
      <c r="P29" s="976" t="s">
        <v>1468</v>
      </c>
      <c r="Q29" s="976" t="str">
        <f>Etiquettes!$H$17</f>
        <v>Donnée collectée (valeur du flux ou coefficient)</v>
      </c>
    </row>
    <row r="30" spans="1:17">
      <c r="A30" t="str">
        <f>Produits!$B$11</f>
        <v>Graines collectées</v>
      </c>
      <c r="B30" t="str">
        <f>Secteurs!$B$44</f>
        <v>Semences certifiées</v>
      </c>
      <c r="C30" s="911">
        <f>'Prétraitement récolte, collecte'!D16</f>
        <v>0.21890000000000001</v>
      </c>
      <c r="E30" t="str">
        <f>Etiquettes!$C$3</f>
        <v>kt</v>
      </c>
      <c r="F30" s="21" t="str">
        <f>Etiquettes!$N$6</f>
        <v>Lupin</v>
      </c>
      <c r="G30" s="913" t="str">
        <f>Etiquettes!$I$5</f>
        <v>2019-20</v>
      </c>
      <c r="H30" t="str">
        <f>Etiquettes!$C$4</f>
        <v>France entière</v>
      </c>
      <c r="I30" s="101" t="s">
        <v>744</v>
      </c>
      <c r="K30" s="21" t="s">
        <v>1223</v>
      </c>
      <c r="L30" s="101" t="s">
        <v>1500</v>
      </c>
      <c r="M30" s="21" t="str">
        <f>Etiquettes!$H$11</f>
        <v>Volume</v>
      </c>
      <c r="N30" s="21" t="str">
        <f t="shared" si="0"/>
        <v>Production de semences certifiées = 0 kt (Collectes, stocks - FranceAgriMer)</v>
      </c>
      <c r="O30" t="str">
        <f>Etiquettes!$J$15</f>
        <v>Probable</v>
      </c>
      <c r="P30" s="976" t="s">
        <v>1468</v>
      </c>
      <c r="Q30" s="976" t="str">
        <f>Etiquettes!$H$17</f>
        <v>Donnée collectée (valeur du flux ou coefficient)</v>
      </c>
    </row>
    <row r="31" spans="1:17">
      <c r="A31" t="s">
        <v>1004</v>
      </c>
      <c r="B31" t="s">
        <v>729</v>
      </c>
      <c r="C31" s="911">
        <f>'Prétraitement récolte, collecte'!D18</f>
        <v>0.33619000000000004</v>
      </c>
      <c r="E31" t="str">
        <f>Etiquettes!$C$3</f>
        <v>kt</v>
      </c>
      <c r="F31" s="21" t="str">
        <f>Etiquettes!$N$6</f>
        <v>Lupin</v>
      </c>
      <c r="G31" s="913" t="str">
        <f>Etiquettes!$I$5</f>
        <v>2019-20</v>
      </c>
      <c r="H31" t="str">
        <f>Etiquettes!$C$4</f>
        <v>France entière</v>
      </c>
      <c r="I31" s="101" t="s">
        <v>1011</v>
      </c>
      <c r="K31" s="21" t="s">
        <v>1224</v>
      </c>
      <c r="L31" s="101" t="s">
        <v>1498</v>
      </c>
      <c r="M31" s="21" t="str">
        <f>Etiquettes!$H$11</f>
        <v>Volume</v>
      </c>
      <c r="N31" s="21" t="str">
        <f t="shared" si="0"/>
        <v>Consommation de graines par les FAB = 0 kt (Etat 13 - FranceAgriMer)</v>
      </c>
      <c r="O31" t="str">
        <f>Etiquettes!$J$15</f>
        <v>Probable</v>
      </c>
      <c r="P31" s="976" t="s">
        <v>1468</v>
      </c>
      <c r="Q31" s="976" t="str">
        <f>Etiquettes!$H$17</f>
        <v>Donnée collectée (valeur du flux ou coefficient)</v>
      </c>
    </row>
    <row r="32" spans="1:17">
      <c r="A32" t="s">
        <v>722</v>
      </c>
      <c r="B32" t="s">
        <v>1002</v>
      </c>
      <c r="C32" s="911">
        <f>'Prétraitement récolte, collecte'!E12</f>
        <v>10.871</v>
      </c>
      <c r="E32" t="str">
        <f>Etiquettes!$C$3</f>
        <v>kt</v>
      </c>
      <c r="F32" s="21" t="str">
        <f>Etiquettes!$N$6</f>
        <v>Lupin</v>
      </c>
      <c r="G32" s="913" t="str">
        <f>Etiquettes!$J$5</f>
        <v>2023-24</v>
      </c>
      <c r="H32" t="str">
        <f>Etiquettes!$C$4</f>
        <v>France entière</v>
      </c>
      <c r="I32" s="101" t="s">
        <v>722</v>
      </c>
      <c r="K32" s="21" t="s">
        <v>1132</v>
      </c>
      <c r="L32" s="101" t="s">
        <v>1483</v>
      </c>
      <c r="M32" s="21" t="str">
        <f>Etiquettes!$H$11</f>
        <v>Volume</v>
      </c>
      <c r="N32" s="21" t="str">
        <f t="shared" si="0"/>
        <v>Récolte = 11 kt (Statistique Agricole Annuelle - SSP)</v>
      </c>
      <c r="O32" t="str">
        <f>Etiquettes!$H$15</f>
        <v>Fiable</v>
      </c>
      <c r="P32" s="976" t="s">
        <v>1468</v>
      </c>
      <c r="Q32" s="976" t="str">
        <f>Etiquettes!$H$17</f>
        <v>Donnée collectée (valeur du flux ou coefficient)</v>
      </c>
    </row>
    <row r="33" spans="1:17">
      <c r="A33" t="s">
        <v>1002</v>
      </c>
      <c r="B33" t="s">
        <v>724</v>
      </c>
      <c r="C33" s="911">
        <f>'Prétraitement récolte, collecte'!E13</f>
        <v>5.4606000000000003</v>
      </c>
      <c r="E33" t="str">
        <f>Etiquettes!$C$3</f>
        <v>kt</v>
      </c>
      <c r="F33" s="21" t="str">
        <f>Etiquettes!$N$6</f>
        <v>Lupin</v>
      </c>
      <c r="G33" s="913" t="str">
        <f>Etiquettes!$J$5</f>
        <v>2023-24</v>
      </c>
      <c r="H33" t="str">
        <f>Etiquettes!$C$4</f>
        <v>France entière</v>
      </c>
      <c r="I33" s="101" t="s">
        <v>743</v>
      </c>
      <c r="K33" s="21" t="s">
        <v>1223</v>
      </c>
      <c r="L33" s="101" t="s">
        <v>1500</v>
      </c>
      <c r="M33" s="21" t="str">
        <f>Etiquettes!$H$11</f>
        <v>Volume</v>
      </c>
      <c r="N33" s="21" t="str">
        <f t="shared" si="0"/>
        <v>Collecte = 5 kt (Collectes, stocks - FranceAgriMer)</v>
      </c>
      <c r="O33" t="str">
        <f>Etiquettes!$I$15</f>
        <v>Robuste</v>
      </c>
      <c r="P33" s="976" t="s">
        <v>1468</v>
      </c>
      <c r="Q33" s="976" t="str">
        <f>Etiquettes!$H$17</f>
        <v>Donnée collectée (valeur du flux ou coefficient)</v>
      </c>
    </row>
    <row r="34" spans="1:17">
      <c r="A34" t="s">
        <v>712</v>
      </c>
      <c r="B34" t="s">
        <v>724</v>
      </c>
      <c r="C34" s="911">
        <f>'Prétraitement récolte, collecte'!E14</f>
        <v>2.0673000000000004</v>
      </c>
      <c r="E34" t="str">
        <f>Etiquettes!$C$3</f>
        <v>kt</v>
      </c>
      <c r="F34" s="21" t="str">
        <f>Etiquettes!$N$6</f>
        <v>Lupin</v>
      </c>
      <c r="G34" s="913" t="str">
        <f>Etiquettes!$J$5</f>
        <v>2023-24</v>
      </c>
      <c r="H34" t="str">
        <f>Etiquettes!$C$4</f>
        <v>France entière</v>
      </c>
      <c r="I34" s="101" t="s">
        <v>712</v>
      </c>
      <c r="K34" s="21" t="s">
        <v>1223</v>
      </c>
      <c r="L34" s="101" t="s">
        <v>1500</v>
      </c>
      <c r="M34" s="21" t="str">
        <f>Etiquettes!$H$11</f>
        <v>Volume</v>
      </c>
      <c r="N34" s="21" t="str">
        <f t="shared" ref="N34:N56" si="1">_xlfn.CONCAT(I34,IF(ISBLANK(C34),"",_xlfn.CONCAT(" = ",MROUND(C34,1)," ",E34))," (",K34,")")</f>
        <v>Stock initial collecteurs = 2 kt (Collectes, stocks - FranceAgriMer)</v>
      </c>
      <c r="O34" t="str">
        <f>Etiquettes!$I$15</f>
        <v>Robuste</v>
      </c>
      <c r="P34" s="976" t="s">
        <v>1468</v>
      </c>
      <c r="Q34" s="976" t="str">
        <f>Etiquettes!$H$17</f>
        <v>Donnée collectée (valeur du flux ou coefficient)</v>
      </c>
    </row>
    <row r="35" spans="1:17">
      <c r="A35" t="s">
        <v>724</v>
      </c>
      <c r="B35" t="s">
        <v>715</v>
      </c>
      <c r="C35" s="911">
        <f>'Prétraitement récolte, collecte'!E15</f>
        <v>2.1613000000000002</v>
      </c>
      <c r="E35" t="str">
        <f>Etiquettes!$C$3</f>
        <v>kt</v>
      </c>
      <c r="F35" s="21" t="str">
        <f>Etiquettes!$N$6</f>
        <v>Lupin</v>
      </c>
      <c r="G35" s="913" t="str">
        <f>Etiquettes!$J$5</f>
        <v>2023-24</v>
      </c>
      <c r="H35" t="str">
        <f>Etiquettes!$C$4</f>
        <v>France entière</v>
      </c>
      <c r="I35" s="101" t="s">
        <v>715</v>
      </c>
      <c r="K35" s="21" t="s">
        <v>1223</v>
      </c>
      <c r="L35" s="101" t="s">
        <v>1500</v>
      </c>
      <c r="M35" s="21" t="str">
        <f>Etiquettes!$H$11</f>
        <v>Volume</v>
      </c>
      <c r="N35" s="21" t="str">
        <f t="shared" si="1"/>
        <v>Stock final collecteurs = 2 kt (Collectes, stocks - FranceAgriMer)</v>
      </c>
      <c r="O35" t="str">
        <f>Etiquettes!$I$15</f>
        <v>Robuste</v>
      </c>
      <c r="P35" s="976" t="s">
        <v>1468</v>
      </c>
      <c r="Q35" s="976" t="str">
        <f>Etiquettes!$H$17</f>
        <v>Donnée collectée (valeur du flux ou coefficient)</v>
      </c>
    </row>
    <row r="36" spans="1:17">
      <c r="A36" t="str">
        <f>Produits!$B$11</f>
        <v>Graines collectées</v>
      </c>
      <c r="B36" t="str">
        <f>Secteurs!$B$44</f>
        <v>Semences certifiées</v>
      </c>
      <c r="C36" s="911">
        <f>'Prétraitement récolte, collecte'!E16</f>
        <v>0.48219999999999996</v>
      </c>
      <c r="E36" t="str">
        <f>Etiquettes!$C$3</f>
        <v>kt</v>
      </c>
      <c r="F36" s="21" t="str">
        <f>Etiquettes!$N$6</f>
        <v>Lupin</v>
      </c>
      <c r="G36" s="913" t="str">
        <f>Etiquettes!$J$5</f>
        <v>2023-24</v>
      </c>
      <c r="H36" t="str">
        <f>Etiquettes!$C$4</f>
        <v>France entière</v>
      </c>
      <c r="I36" s="101" t="s">
        <v>744</v>
      </c>
      <c r="K36" s="21" t="s">
        <v>1223</v>
      </c>
      <c r="L36" s="101" t="s">
        <v>1500</v>
      </c>
      <c r="M36" s="21" t="str">
        <f>Etiquettes!$H$11</f>
        <v>Volume</v>
      </c>
      <c r="N36" s="21" t="str">
        <f t="shared" si="1"/>
        <v>Production de semences certifiées = 0 kt (Collectes, stocks - FranceAgriMer)</v>
      </c>
      <c r="O36" t="str">
        <f>Etiquettes!$J$15</f>
        <v>Probable</v>
      </c>
      <c r="P36" s="976" t="s">
        <v>1468</v>
      </c>
      <c r="Q36" s="976" t="str">
        <f>Etiquettes!$H$17</f>
        <v>Donnée collectée (valeur du flux ou coefficient)</v>
      </c>
    </row>
    <row r="37" spans="1:17">
      <c r="A37" t="s">
        <v>1004</v>
      </c>
      <c r="B37" t="s">
        <v>729</v>
      </c>
      <c r="C37" s="911">
        <f>'Prétraitement récolte, collecte'!E18</f>
        <v>0.136299</v>
      </c>
      <c r="E37" t="str">
        <f>Etiquettes!$C$3</f>
        <v>kt</v>
      </c>
      <c r="F37" s="21" t="str">
        <f>Etiquettes!$N$6</f>
        <v>Lupin</v>
      </c>
      <c r="G37" s="913" t="str">
        <f>Etiquettes!$J$5</f>
        <v>2023-24</v>
      </c>
      <c r="H37" t="str">
        <f>Etiquettes!$C$4</f>
        <v>France entière</v>
      </c>
      <c r="I37" s="101" t="s">
        <v>1011</v>
      </c>
      <c r="K37" s="21" t="s">
        <v>1224</v>
      </c>
      <c r="L37" s="101" t="s">
        <v>1498</v>
      </c>
      <c r="M37" s="21" t="str">
        <f>Etiquettes!$H$11</f>
        <v>Volume</v>
      </c>
      <c r="N37" s="21" t="str">
        <f t="shared" si="1"/>
        <v>Consommation de graines par les FAB = 0 kt (Etat 13 - FranceAgriMer)</v>
      </c>
      <c r="O37" t="str">
        <f>Etiquettes!$J$15</f>
        <v>Probable</v>
      </c>
      <c r="P37" s="976" t="s">
        <v>1468</v>
      </c>
      <c r="Q37" s="976" t="str">
        <f>Etiquettes!$H$17</f>
        <v>Donnée collectée (valeur du flux ou coefficient)</v>
      </c>
    </row>
    <row r="38" spans="1:17">
      <c r="A38" t="s">
        <v>722</v>
      </c>
      <c r="B38" t="s">
        <v>1002</v>
      </c>
      <c r="C38" s="911">
        <f>'Prétraitement récolte, collecte'!C21</f>
        <v>23.479500000000002</v>
      </c>
      <c r="E38" t="str">
        <f>Etiquettes!$C$3</f>
        <v>kt</v>
      </c>
      <c r="F38" s="21" t="str">
        <f>Etiquettes!$O$6</f>
        <v>Lentille</v>
      </c>
      <c r="G38" s="913" t="str">
        <f>Etiquettes!$H$5</f>
        <v>2015-16</v>
      </c>
      <c r="H38" t="str">
        <f>Etiquettes!$C$4</f>
        <v>France entière</v>
      </c>
      <c r="I38" s="101" t="s">
        <v>722</v>
      </c>
      <c r="K38" s="21" t="s">
        <v>1132</v>
      </c>
      <c r="L38" s="101" t="s">
        <v>1483</v>
      </c>
      <c r="M38" s="21" t="str">
        <f>Etiquettes!$H$11</f>
        <v>Volume</v>
      </c>
      <c r="N38" s="21" t="str">
        <f t="shared" si="1"/>
        <v>Récolte = 23 kt (Statistique Agricole Annuelle - SSP)</v>
      </c>
      <c r="O38" t="str">
        <f>Etiquettes!$H$15</f>
        <v>Fiable</v>
      </c>
      <c r="P38" s="976" t="s">
        <v>1468</v>
      </c>
      <c r="Q38" s="976" t="str">
        <f>Etiquettes!$H$17</f>
        <v>Donnée collectée (valeur du flux ou coefficient)</v>
      </c>
    </row>
    <row r="39" spans="1:17">
      <c r="A39" t="s">
        <v>722</v>
      </c>
      <c r="B39" t="s">
        <v>1002</v>
      </c>
      <c r="C39" s="911">
        <f>'Prétraitement récolte, collecte'!D21</f>
        <v>48.373699999999999</v>
      </c>
      <c r="E39" t="str">
        <f>Etiquettes!$C$3</f>
        <v>kt</v>
      </c>
      <c r="F39" s="21" t="str">
        <f>Etiquettes!$O$6</f>
        <v>Lentille</v>
      </c>
      <c r="G39" s="913" t="str">
        <f>Etiquettes!$I$5</f>
        <v>2019-20</v>
      </c>
      <c r="H39" t="str">
        <f>Etiquettes!$C$4</f>
        <v>France entière</v>
      </c>
      <c r="I39" s="101" t="s">
        <v>722</v>
      </c>
      <c r="K39" s="21" t="s">
        <v>1132</v>
      </c>
      <c r="L39" s="101" t="s">
        <v>1483</v>
      </c>
      <c r="M39" s="21" t="str">
        <f>Etiquettes!$H$11</f>
        <v>Volume</v>
      </c>
      <c r="N39" s="21" t="str">
        <f t="shared" si="1"/>
        <v>Récolte = 48 kt (Statistique Agricole Annuelle - SSP)</v>
      </c>
      <c r="O39" t="str">
        <f>Etiquettes!$H$15</f>
        <v>Fiable</v>
      </c>
      <c r="P39" s="976" t="s">
        <v>1468</v>
      </c>
      <c r="Q39" s="976" t="str">
        <f>Etiquettes!$H$17</f>
        <v>Donnée collectée (valeur du flux ou coefficient)</v>
      </c>
    </row>
    <row r="40" spans="1:17">
      <c r="A40" t="s">
        <v>722</v>
      </c>
      <c r="B40" t="s">
        <v>1002</v>
      </c>
      <c r="C40" s="911">
        <f>'Prétraitement récolte, collecte'!E21</f>
        <v>32.964599999999997</v>
      </c>
      <c r="E40" t="str">
        <f>Etiquettes!$C$3</f>
        <v>kt</v>
      </c>
      <c r="F40" s="21" t="str">
        <f>Etiquettes!$O$6</f>
        <v>Lentille</v>
      </c>
      <c r="G40" s="913" t="str">
        <f>Etiquettes!$J$5</f>
        <v>2023-24</v>
      </c>
      <c r="H40" t="str">
        <f>Etiquettes!$C$4</f>
        <v>France entière</v>
      </c>
      <c r="I40" s="101" t="s">
        <v>722</v>
      </c>
      <c r="K40" s="21" t="s">
        <v>1132</v>
      </c>
      <c r="L40" s="101" t="s">
        <v>1483</v>
      </c>
      <c r="M40" s="21" t="str">
        <f>Etiquettes!$H$11</f>
        <v>Volume</v>
      </c>
      <c r="N40" s="21" t="str">
        <f t="shared" si="1"/>
        <v>Récolte = 33 kt (Statistique Agricole Annuelle - SSP)</v>
      </c>
      <c r="O40" t="str">
        <f>Etiquettes!$H$15</f>
        <v>Fiable</v>
      </c>
      <c r="P40" s="976" t="s">
        <v>1468</v>
      </c>
      <c r="Q40" s="976" t="str">
        <f>Etiquettes!$H$17</f>
        <v>Donnée collectée (valeur du flux ou coefficient)</v>
      </c>
    </row>
    <row r="41" spans="1:17">
      <c r="A41" t="s">
        <v>1002</v>
      </c>
      <c r="B41" t="s">
        <v>724</v>
      </c>
      <c r="C41" s="911">
        <f>'Prétraitement récolte, collecte'!E22</f>
        <v>15.651999999999999</v>
      </c>
      <c r="E41" t="str">
        <f>Etiquettes!$C$3</f>
        <v>kt</v>
      </c>
      <c r="F41" s="21" t="str">
        <f>Etiquettes!$O$6</f>
        <v>Lentille</v>
      </c>
      <c r="G41" s="913" t="str">
        <f>Etiquettes!$J$5</f>
        <v>2023-24</v>
      </c>
      <c r="H41" t="str">
        <f>Etiquettes!$C$4</f>
        <v>France entière</v>
      </c>
      <c r="I41" s="101" t="s">
        <v>743</v>
      </c>
      <c r="K41" s="21" t="s">
        <v>1223</v>
      </c>
      <c r="L41" s="101" t="s">
        <v>1500</v>
      </c>
      <c r="M41" s="21" t="str">
        <f>Etiquettes!$H$11</f>
        <v>Volume</v>
      </c>
      <c r="N41" s="21" t="str">
        <f t="shared" si="1"/>
        <v>Collecte = 16 kt (Collectes, stocks - FranceAgriMer)</v>
      </c>
      <c r="O41" t="str">
        <f>Etiquettes!$I$15</f>
        <v>Robuste</v>
      </c>
      <c r="P41" s="976" t="s">
        <v>1468</v>
      </c>
      <c r="Q41" s="976" t="str">
        <f>Etiquettes!$H$17</f>
        <v>Donnée collectée (valeur du flux ou coefficient)</v>
      </c>
    </row>
    <row r="42" spans="1:17">
      <c r="A42" t="s">
        <v>712</v>
      </c>
      <c r="B42" t="s">
        <v>724</v>
      </c>
      <c r="C42" s="911">
        <f>'Prétraitement récolte, collecte'!E23</f>
        <v>2.6711999999999998</v>
      </c>
      <c r="E42" t="str">
        <f>Etiquettes!$C$3</f>
        <v>kt</v>
      </c>
      <c r="F42" s="21" t="str">
        <f>Etiquettes!$O$6</f>
        <v>Lentille</v>
      </c>
      <c r="G42" s="913" t="str">
        <f>Etiquettes!$J$5</f>
        <v>2023-24</v>
      </c>
      <c r="H42" t="str">
        <f>Etiquettes!$C$4</f>
        <v>France entière</v>
      </c>
      <c r="I42" s="101" t="s">
        <v>712</v>
      </c>
      <c r="K42" s="21" t="s">
        <v>1223</v>
      </c>
      <c r="L42" s="101" t="s">
        <v>1500</v>
      </c>
      <c r="M42" s="21" t="str">
        <f>Etiquettes!$H$11</f>
        <v>Volume</v>
      </c>
      <c r="N42" s="21" t="str">
        <f t="shared" si="1"/>
        <v>Stock initial collecteurs = 3 kt (Collectes, stocks - FranceAgriMer)</v>
      </c>
      <c r="O42" t="str">
        <f>Etiquettes!$I$15</f>
        <v>Robuste</v>
      </c>
      <c r="P42" s="976" t="s">
        <v>1468</v>
      </c>
      <c r="Q42" s="976" t="str">
        <f>Etiquettes!$H$17</f>
        <v>Donnée collectée (valeur du flux ou coefficient)</v>
      </c>
    </row>
    <row r="43" spans="1:17">
      <c r="A43" t="s">
        <v>724</v>
      </c>
      <c r="B43" t="s">
        <v>715</v>
      </c>
      <c r="C43" s="911">
        <f>'Prétraitement récolte, collecte'!E24</f>
        <v>3.3956999999999997</v>
      </c>
      <c r="E43" t="str">
        <f>Etiquettes!$C$3</f>
        <v>kt</v>
      </c>
      <c r="F43" s="21" t="str">
        <f>Etiquettes!$O$6</f>
        <v>Lentille</v>
      </c>
      <c r="G43" s="913" t="str">
        <f>Etiquettes!$J$5</f>
        <v>2023-24</v>
      </c>
      <c r="H43" t="str">
        <f>Etiquettes!$C$4</f>
        <v>France entière</v>
      </c>
      <c r="I43" s="101" t="s">
        <v>715</v>
      </c>
      <c r="K43" s="21" t="s">
        <v>1223</v>
      </c>
      <c r="L43" s="101" t="s">
        <v>1500</v>
      </c>
      <c r="M43" s="21" t="str">
        <f>Etiquettes!$H$11</f>
        <v>Volume</v>
      </c>
      <c r="N43" s="21" t="str">
        <f t="shared" si="1"/>
        <v>Stock final collecteurs = 3 kt (Collectes, stocks - FranceAgriMer)</v>
      </c>
      <c r="O43" t="str">
        <f>Etiquettes!$I$15</f>
        <v>Robuste</v>
      </c>
      <c r="P43" s="976" t="s">
        <v>1468</v>
      </c>
      <c r="Q43" s="976" t="str">
        <f>Etiquettes!$H$17</f>
        <v>Donnée collectée (valeur du flux ou coefficient)</v>
      </c>
    </row>
    <row r="44" spans="1:17">
      <c r="A44" t="str">
        <f>Produits!$B$11</f>
        <v>Graines collectées</v>
      </c>
      <c r="B44" t="str">
        <f>Secteurs!$B$44</f>
        <v>Semences certifiées</v>
      </c>
      <c r="C44" s="911">
        <f>'Prétraitement récolte, collecte'!E25</f>
        <v>1.6765000000000001</v>
      </c>
      <c r="E44" t="str">
        <f>Etiquettes!$C$3</f>
        <v>kt</v>
      </c>
      <c r="F44" s="21" t="str">
        <f>Etiquettes!$O$6</f>
        <v>Lentille</v>
      </c>
      <c r="G44" s="913" t="str">
        <f>Etiquettes!$J$5</f>
        <v>2023-24</v>
      </c>
      <c r="H44" t="str">
        <f>Etiquettes!$C$4</f>
        <v>France entière</v>
      </c>
      <c r="I44" s="101" t="s">
        <v>744</v>
      </c>
      <c r="K44" s="21" t="s">
        <v>1223</v>
      </c>
      <c r="L44" s="101" t="s">
        <v>1500</v>
      </c>
      <c r="M44" s="21" t="str">
        <f>Etiquettes!$H$11</f>
        <v>Volume</v>
      </c>
      <c r="N44" s="21" t="str">
        <f t="shared" si="1"/>
        <v>Production de semences certifiées = 2 kt (Collectes, stocks - FranceAgriMer)</v>
      </c>
      <c r="O44" t="str">
        <f>Etiquettes!$J$15</f>
        <v>Probable</v>
      </c>
      <c r="P44" s="976" t="s">
        <v>1468</v>
      </c>
      <c r="Q44" s="976" t="str">
        <f>Etiquettes!$H$17</f>
        <v>Donnée collectée (valeur du flux ou coefficient)</v>
      </c>
    </row>
    <row r="45" spans="1:17">
      <c r="A45" t="s">
        <v>722</v>
      </c>
      <c r="B45" t="s">
        <v>1002</v>
      </c>
      <c r="C45" s="911">
        <f>'Prétraitement récolte, collecte'!C29</f>
        <v>15.7334</v>
      </c>
      <c r="E45" t="str">
        <f>Etiquettes!$C$3</f>
        <v>kt</v>
      </c>
      <c r="F45" s="21" t="str">
        <f>Etiquettes!$P$6</f>
        <v>Pois chiche</v>
      </c>
      <c r="G45" s="913" t="str">
        <f>Etiquettes!$H$5</f>
        <v>2015-16</v>
      </c>
      <c r="H45" t="str">
        <f>Etiquettes!$C$4</f>
        <v>France entière</v>
      </c>
      <c r="I45" s="101" t="s">
        <v>722</v>
      </c>
      <c r="K45" s="21" t="s">
        <v>1132</v>
      </c>
      <c r="L45" s="101" t="s">
        <v>1483</v>
      </c>
      <c r="M45" s="21" t="str">
        <f>Etiquettes!$H$11</f>
        <v>Volume</v>
      </c>
      <c r="N45" s="21" t="str">
        <f t="shared" si="1"/>
        <v>Récolte = 16 kt (Statistique Agricole Annuelle - SSP)</v>
      </c>
      <c r="O45" t="str">
        <f>Etiquettes!$H$15</f>
        <v>Fiable</v>
      </c>
      <c r="P45" s="976" t="s">
        <v>1468</v>
      </c>
      <c r="Q45" s="976" t="str">
        <f>Etiquettes!$H$17</f>
        <v>Donnée collectée (valeur du flux ou coefficient)</v>
      </c>
    </row>
    <row r="46" spans="1:17">
      <c r="A46" t="s">
        <v>722</v>
      </c>
      <c r="B46" t="s">
        <v>1002</v>
      </c>
      <c r="C46" s="911">
        <f>'Prétraitement récolte, collecte'!D29</f>
        <v>51.037199999999999</v>
      </c>
      <c r="E46" t="str">
        <f>Etiquettes!$C$3</f>
        <v>kt</v>
      </c>
      <c r="F46" s="21" t="str">
        <f>Etiquettes!$P$6</f>
        <v>Pois chiche</v>
      </c>
      <c r="G46" s="913" t="str">
        <f>Etiquettes!$I$5</f>
        <v>2019-20</v>
      </c>
      <c r="H46" t="str">
        <f>Etiquettes!$C$4</f>
        <v>France entière</v>
      </c>
      <c r="I46" s="101" t="s">
        <v>722</v>
      </c>
      <c r="K46" s="21" t="s">
        <v>1132</v>
      </c>
      <c r="L46" s="101" t="s">
        <v>1483</v>
      </c>
      <c r="M46" s="21" t="str">
        <f>Etiquettes!$H$11</f>
        <v>Volume</v>
      </c>
      <c r="N46" s="21" t="str">
        <f t="shared" si="1"/>
        <v>Récolte = 51 kt (Statistique Agricole Annuelle - SSP)</v>
      </c>
      <c r="O46" t="str">
        <f>Etiquettes!$H$15</f>
        <v>Fiable</v>
      </c>
      <c r="P46" s="976" t="s">
        <v>1468</v>
      </c>
      <c r="Q46" s="976" t="str">
        <f>Etiquettes!$H$17</f>
        <v>Donnée collectée (valeur du flux ou coefficient)</v>
      </c>
    </row>
    <row r="47" spans="1:17">
      <c r="A47" t="s">
        <v>722</v>
      </c>
      <c r="B47" t="s">
        <v>1002</v>
      </c>
      <c r="C47" s="911">
        <f>'Prétraitement récolte, collecte'!E29</f>
        <v>44.390799999999999</v>
      </c>
      <c r="E47" t="str">
        <f>Etiquettes!$C$3</f>
        <v>kt</v>
      </c>
      <c r="F47" s="21" t="str">
        <f>Etiquettes!$P$6</f>
        <v>Pois chiche</v>
      </c>
      <c r="G47" s="913" t="str">
        <f>Etiquettes!$J$5</f>
        <v>2023-24</v>
      </c>
      <c r="H47" t="str">
        <f>Etiquettes!$C$4</f>
        <v>France entière</v>
      </c>
      <c r="I47" s="101" t="s">
        <v>722</v>
      </c>
      <c r="K47" s="21" t="s">
        <v>1132</v>
      </c>
      <c r="L47" s="101" t="s">
        <v>1483</v>
      </c>
      <c r="M47" s="21" t="str">
        <f>Etiquettes!$H$11</f>
        <v>Volume</v>
      </c>
      <c r="N47" s="21" t="str">
        <f t="shared" si="1"/>
        <v>Récolte = 44 kt (Statistique Agricole Annuelle - SSP)</v>
      </c>
      <c r="O47" t="str">
        <f>Etiquettes!$H$15</f>
        <v>Fiable</v>
      </c>
      <c r="P47" s="976" t="s">
        <v>1468</v>
      </c>
      <c r="Q47" s="976" t="str">
        <f>Etiquettes!$H$17</f>
        <v>Donnée collectée (valeur du flux ou coefficient)</v>
      </c>
    </row>
    <row r="48" spans="1:17">
      <c r="A48" t="s">
        <v>1002</v>
      </c>
      <c r="B48" t="s">
        <v>724</v>
      </c>
      <c r="C48" s="911">
        <f>'Prétraitement récolte, collecte'!E30</f>
        <v>19.998200000000001</v>
      </c>
      <c r="E48" t="str">
        <f>Etiquettes!$C$3</f>
        <v>kt</v>
      </c>
      <c r="F48" s="21" t="str">
        <f>Etiquettes!$P$6</f>
        <v>Pois chiche</v>
      </c>
      <c r="G48" s="913" t="str">
        <f>Etiquettes!$J$5</f>
        <v>2023-24</v>
      </c>
      <c r="H48" t="str">
        <f>Etiquettes!$C$4</f>
        <v>France entière</v>
      </c>
      <c r="I48" s="101" t="s">
        <v>743</v>
      </c>
      <c r="K48" s="21" t="s">
        <v>1223</v>
      </c>
      <c r="L48" s="101" t="s">
        <v>1500</v>
      </c>
      <c r="M48" s="21" t="str">
        <f>Etiquettes!$H$11</f>
        <v>Volume</v>
      </c>
      <c r="N48" s="21" t="str">
        <f t="shared" si="1"/>
        <v>Collecte = 20 kt (Collectes, stocks - FranceAgriMer)</v>
      </c>
      <c r="O48" t="str">
        <f>Etiquettes!$I$15</f>
        <v>Robuste</v>
      </c>
      <c r="P48" s="976" t="s">
        <v>1468</v>
      </c>
      <c r="Q48" s="976" t="str">
        <f>Etiquettes!$H$17</f>
        <v>Donnée collectée (valeur du flux ou coefficient)</v>
      </c>
    </row>
    <row r="49" spans="1:17">
      <c r="A49" t="s">
        <v>712</v>
      </c>
      <c r="B49" t="s">
        <v>724</v>
      </c>
      <c r="C49" s="911">
        <f>'Prétraitement récolte, collecte'!E31</f>
        <v>3.2496</v>
      </c>
      <c r="E49" t="str">
        <f>Etiquettes!$C$3</f>
        <v>kt</v>
      </c>
      <c r="F49" s="21" t="str">
        <f>Etiquettes!$P$6</f>
        <v>Pois chiche</v>
      </c>
      <c r="G49" s="913" t="str">
        <f>Etiquettes!$J$5</f>
        <v>2023-24</v>
      </c>
      <c r="H49" t="str">
        <f>Etiquettes!$C$4</f>
        <v>France entière</v>
      </c>
      <c r="I49" s="101" t="s">
        <v>712</v>
      </c>
      <c r="K49" s="21" t="s">
        <v>1223</v>
      </c>
      <c r="L49" s="101" t="s">
        <v>1500</v>
      </c>
      <c r="M49" s="21" t="str">
        <f>Etiquettes!$H$11</f>
        <v>Volume</v>
      </c>
      <c r="N49" s="21" t="str">
        <f t="shared" si="1"/>
        <v>Stock initial collecteurs = 3 kt (Collectes, stocks - FranceAgriMer)</v>
      </c>
      <c r="O49" t="str">
        <f>Etiquettes!$I$15</f>
        <v>Robuste</v>
      </c>
      <c r="P49" s="976" t="s">
        <v>1468</v>
      </c>
      <c r="Q49" s="976" t="str">
        <f>Etiquettes!$H$17</f>
        <v>Donnée collectée (valeur du flux ou coefficient)</v>
      </c>
    </row>
    <row r="50" spans="1:17">
      <c r="A50" t="s">
        <v>724</v>
      </c>
      <c r="B50" t="s">
        <v>715</v>
      </c>
      <c r="C50" s="911">
        <f>'Prétraitement récolte, collecte'!E32</f>
        <v>2.8066</v>
      </c>
      <c r="E50" t="str">
        <f>Etiquettes!$C$3</f>
        <v>kt</v>
      </c>
      <c r="F50" s="21" t="str">
        <f>Etiquettes!$P$6</f>
        <v>Pois chiche</v>
      </c>
      <c r="G50" s="913" t="str">
        <f>Etiquettes!$J$5</f>
        <v>2023-24</v>
      </c>
      <c r="H50" t="str">
        <f>Etiquettes!$C$4</f>
        <v>France entière</v>
      </c>
      <c r="I50" s="101" t="s">
        <v>715</v>
      </c>
      <c r="K50" s="21" t="s">
        <v>1223</v>
      </c>
      <c r="L50" s="101" t="s">
        <v>1500</v>
      </c>
      <c r="M50" s="21" t="str">
        <f>Etiquettes!$H$11</f>
        <v>Volume</v>
      </c>
      <c r="N50" s="21" t="str">
        <f t="shared" si="1"/>
        <v>Stock final collecteurs = 3 kt (Collectes, stocks - FranceAgriMer)</v>
      </c>
      <c r="O50" t="str">
        <f>Etiquettes!$I$15</f>
        <v>Robuste</v>
      </c>
      <c r="P50" s="976" t="s">
        <v>1468</v>
      </c>
      <c r="Q50" s="976" t="str">
        <f>Etiquettes!$H$17</f>
        <v>Donnée collectée (valeur du flux ou coefficient)</v>
      </c>
    </row>
    <row r="51" spans="1:17">
      <c r="A51" t="str">
        <f>Produits!$B$11</f>
        <v>Graines collectées</v>
      </c>
      <c r="B51" t="str">
        <f>Secteurs!$B$44</f>
        <v>Semences certifiées</v>
      </c>
      <c r="C51" s="911">
        <f>'Prétraitement récolte, collecte'!E33</f>
        <v>5.3823999999999987</v>
      </c>
      <c r="E51" t="str">
        <f>Etiquettes!$C$3</f>
        <v>kt</v>
      </c>
      <c r="F51" s="21" t="str">
        <f>Etiquettes!$P$6</f>
        <v>Pois chiche</v>
      </c>
      <c r="G51" s="913" t="str">
        <f>Etiquettes!$J$5</f>
        <v>2023-24</v>
      </c>
      <c r="H51" t="str">
        <f>Etiquettes!$C$4</f>
        <v>France entière</v>
      </c>
      <c r="I51" s="101" t="s">
        <v>744</v>
      </c>
      <c r="K51" s="21" t="s">
        <v>1223</v>
      </c>
      <c r="L51" s="101" t="s">
        <v>1500</v>
      </c>
      <c r="M51" s="21" t="str">
        <f>Etiquettes!$H$11</f>
        <v>Volume</v>
      </c>
      <c r="N51" s="21" t="str">
        <f t="shared" si="1"/>
        <v>Production de semences certifiées = 5 kt (Collectes, stocks - FranceAgriMer)</v>
      </c>
      <c r="O51" t="str">
        <f>Etiquettes!$J$15</f>
        <v>Probable</v>
      </c>
      <c r="P51" s="976" t="s">
        <v>1468</v>
      </c>
      <c r="Q51" s="976" t="str">
        <f>Etiquettes!$H$17</f>
        <v>Donnée collectée (valeur du flux ou coefficient)</v>
      </c>
    </row>
    <row r="52" spans="1:17">
      <c r="A52" t="s">
        <v>722</v>
      </c>
      <c r="B52" t="s">
        <v>1002</v>
      </c>
      <c r="C52" s="911">
        <f>'Prétraitement récolte, collecte'!C37</f>
        <v>12.680899999999999</v>
      </c>
      <c r="E52" t="str">
        <f>Etiquettes!$C$3</f>
        <v>kt</v>
      </c>
      <c r="F52" s="21" t="str">
        <f>Etiquettes!$Q$6</f>
        <v>Haricot sec</v>
      </c>
      <c r="G52" s="913" t="str">
        <f>Etiquettes!$H$5</f>
        <v>2015-16</v>
      </c>
      <c r="H52" t="str">
        <f>Etiquettes!$C$4</f>
        <v>France entière</v>
      </c>
      <c r="I52" s="101" t="s">
        <v>722</v>
      </c>
      <c r="K52" s="21" t="s">
        <v>1132</v>
      </c>
      <c r="L52" s="101" t="s">
        <v>1483</v>
      </c>
      <c r="M52" s="21" t="str">
        <f>Etiquettes!$H$11</f>
        <v>Volume</v>
      </c>
      <c r="N52" s="21" t="str">
        <f t="shared" si="1"/>
        <v>Récolte = 13 kt (Statistique Agricole Annuelle - SSP)</v>
      </c>
      <c r="O52" t="str">
        <f>Etiquettes!$H$15</f>
        <v>Fiable</v>
      </c>
      <c r="P52" s="976" t="s">
        <v>1468</v>
      </c>
      <c r="Q52" s="976" t="str">
        <f>Etiquettes!$H$17</f>
        <v>Donnée collectée (valeur du flux ou coefficient)</v>
      </c>
    </row>
    <row r="53" spans="1:17">
      <c r="A53" t="s">
        <v>722</v>
      </c>
      <c r="B53" t="s">
        <v>1002</v>
      </c>
      <c r="C53" s="911">
        <f>'Prétraitement récolte, collecte'!D37</f>
        <v>16.3504</v>
      </c>
      <c r="E53" t="str">
        <f>Etiquettes!$C$3</f>
        <v>kt</v>
      </c>
      <c r="F53" s="21" t="str">
        <f>Etiquettes!$Q$6</f>
        <v>Haricot sec</v>
      </c>
      <c r="G53" s="913" t="str">
        <f>Etiquettes!$I$5</f>
        <v>2019-20</v>
      </c>
      <c r="H53" t="str">
        <f>Etiquettes!$C$4</f>
        <v>France entière</v>
      </c>
      <c r="I53" s="101" t="s">
        <v>722</v>
      </c>
      <c r="K53" s="21" t="s">
        <v>1132</v>
      </c>
      <c r="L53" s="101" t="s">
        <v>1483</v>
      </c>
      <c r="M53" s="21" t="str">
        <f>Etiquettes!$H$11</f>
        <v>Volume</v>
      </c>
      <c r="N53" s="21" t="str">
        <f t="shared" si="1"/>
        <v>Récolte = 16 kt (Statistique Agricole Annuelle - SSP)</v>
      </c>
      <c r="O53" t="str">
        <f>Etiquettes!$H$15</f>
        <v>Fiable</v>
      </c>
      <c r="P53" s="976" t="s">
        <v>1468</v>
      </c>
      <c r="Q53" s="976" t="str">
        <f>Etiquettes!$H$17</f>
        <v>Donnée collectée (valeur du flux ou coefficient)</v>
      </c>
    </row>
    <row r="54" spans="1:17">
      <c r="A54" t="s">
        <v>722</v>
      </c>
      <c r="B54" t="s">
        <v>1002</v>
      </c>
      <c r="C54" s="911">
        <f>'Prétraitement récolte, collecte'!E37</f>
        <v>16.170300000000001</v>
      </c>
      <c r="E54" t="str">
        <f>Etiquettes!$C$3</f>
        <v>kt</v>
      </c>
      <c r="F54" s="21" t="str">
        <f>Etiquettes!$Q$6</f>
        <v>Haricot sec</v>
      </c>
      <c r="G54" s="913" t="str">
        <f>Etiquettes!$J$5</f>
        <v>2023-24</v>
      </c>
      <c r="H54" t="str">
        <f>Etiquettes!$C$4</f>
        <v>France entière</v>
      </c>
      <c r="I54" s="101" t="s">
        <v>722</v>
      </c>
      <c r="K54" s="21" t="s">
        <v>1132</v>
      </c>
      <c r="L54" s="101" t="s">
        <v>1483</v>
      </c>
      <c r="M54" s="21" t="str">
        <f>Etiquettes!$H$11</f>
        <v>Volume</v>
      </c>
      <c r="N54" s="21" t="str">
        <f t="shared" si="1"/>
        <v>Récolte = 16 kt (Statistique Agricole Annuelle - SSP)</v>
      </c>
      <c r="O54" t="str">
        <f>Etiquettes!$H$15</f>
        <v>Fiable</v>
      </c>
      <c r="P54" s="976" t="s">
        <v>1468</v>
      </c>
      <c r="Q54" s="976" t="str">
        <f>Etiquettes!$H$17</f>
        <v>Donnée collectée (valeur du flux ou coefficient)</v>
      </c>
    </row>
    <row r="55" spans="1:17">
      <c r="A55" t="str">
        <f>Produits!$B$4</f>
        <v>Graines autoconsommées</v>
      </c>
      <c r="B55" t="str">
        <f>Secteurs!$B$25</f>
        <v>Hors FAB</v>
      </c>
      <c r="C55">
        <f>'Prétraitement récolte, collecte'!E41</f>
        <v>56</v>
      </c>
      <c r="E55" t="str">
        <f>Etiquettes!$C$3</f>
        <v>kt</v>
      </c>
      <c r="F55" s="21" t="str">
        <f>Etiquettes!$L$6</f>
        <v>Pois</v>
      </c>
      <c r="G55" s="913" t="str">
        <f>Etiquettes!$J$5</f>
        <v>2023-24</v>
      </c>
      <c r="H55" t="str">
        <f>Etiquettes!$C$4</f>
        <v>France entière</v>
      </c>
      <c r="I55" s="101" t="s">
        <v>1409</v>
      </c>
      <c r="K55" s="21" t="s">
        <v>1404</v>
      </c>
      <c r="L55" s="101" t="s">
        <v>1501</v>
      </c>
      <c r="M55" s="21" t="str">
        <f>Etiquettes!$H$11</f>
        <v>Volume</v>
      </c>
      <c r="N55" s="21" t="str">
        <f t="shared" si="1"/>
        <v>Consommation de graines autoconsommées en hors FAB = 56 kt (Estimation - Terres Univia)</v>
      </c>
      <c r="O55" t="str">
        <f>Etiquettes!$K$15</f>
        <v>Approximative</v>
      </c>
      <c r="P55" s="976" t="s">
        <v>1468</v>
      </c>
      <c r="Q55" s="976" t="str">
        <f>Etiquettes!$H$17</f>
        <v>Donnée collectée (valeur du flux ou coefficient)</v>
      </c>
    </row>
    <row r="56" spans="1:17">
      <c r="A56" t="str">
        <f>Produits!$B$4</f>
        <v>Graines autoconsommées</v>
      </c>
      <c r="B56" t="str">
        <f>Secteurs!$B$25</f>
        <v>Hors FAB</v>
      </c>
      <c r="C56">
        <f>'Prétraitement récolte, collecte'!E45</f>
        <v>29</v>
      </c>
      <c r="E56" t="str">
        <f>Etiquettes!$C$3</f>
        <v>kt</v>
      </c>
      <c r="F56" s="21" t="str">
        <f>Etiquettes!$M$6</f>
        <v>Féverole</v>
      </c>
      <c r="G56" s="913" t="str">
        <f>Etiquettes!$J$5</f>
        <v>2023-24</v>
      </c>
      <c r="H56" t="str">
        <f>Etiquettes!$C$4</f>
        <v>France entière</v>
      </c>
      <c r="I56" s="101" t="s">
        <v>1409</v>
      </c>
      <c r="K56" s="21" t="s">
        <v>1404</v>
      </c>
      <c r="L56" s="101" t="s">
        <v>1501</v>
      </c>
      <c r="M56" s="21" t="str">
        <f>Etiquettes!$H$11</f>
        <v>Volume</v>
      </c>
      <c r="N56" s="21" t="str">
        <f t="shared" si="1"/>
        <v>Consommation de graines autoconsommées en hors FAB = 29 kt (Estimation - Terres Univia)</v>
      </c>
      <c r="O56" t="str">
        <f>Etiquettes!$K$15</f>
        <v>Approximative</v>
      </c>
      <c r="P56" s="976" t="s">
        <v>1468</v>
      </c>
      <c r="Q56" s="976" t="str">
        <f>Etiquettes!$H$17</f>
        <v>Donnée collectée (valeur du flux ou coefficient)</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D3E33-E943-402A-B6B2-D31D26368883}">
  <sheetPr>
    <tabColor rgb="FF92D050"/>
  </sheetPr>
  <dimension ref="A1:U21"/>
  <sheetViews>
    <sheetView workbookViewId="0">
      <pane xSplit="3" ySplit="1" topLeftCell="F2" activePane="bottomRight" state="frozen"/>
      <selection activeCell="B15" sqref="B15"/>
      <selection pane="topRight" activeCell="B15" sqref="B15"/>
      <selection pane="bottomLeft" activeCell="B15" sqref="B15"/>
      <selection pane="bottomRight" activeCell="R21" sqref="R21:S21"/>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    '!A12+1</f>
        <v>49</v>
      </c>
      <c r="B2" t="s">
        <v>722</v>
      </c>
      <c r="C2" t="s">
        <v>1002</v>
      </c>
      <c r="D2" s="888">
        <v>0.5</v>
      </c>
      <c r="G2" t="str">
        <f>Etiquettes!$C$3</f>
        <v>kt</v>
      </c>
      <c r="H2" s="21" t="s">
        <v>1225</v>
      </c>
      <c r="I2" s="913" t="s">
        <v>1054</v>
      </c>
      <c r="J2" t="str">
        <f>Etiquettes!$C$4</f>
        <v>France entière</v>
      </c>
      <c r="P2" s="10"/>
      <c r="U2" s="1028" t="s">
        <v>1238</v>
      </c>
    </row>
    <row r="3" spans="1:21">
      <c r="A3" s="10">
        <f>'Contraintes    '!A13+1</f>
        <v>49</v>
      </c>
      <c r="B3" t="s">
        <v>1002</v>
      </c>
      <c r="C3" t="s">
        <v>724</v>
      </c>
      <c r="D3">
        <v>-1</v>
      </c>
      <c r="G3" t="str">
        <f>Etiquettes!$C$3</f>
        <v>kt</v>
      </c>
      <c r="H3" s="21" t="s">
        <v>1225</v>
      </c>
      <c r="I3" s="913" t="s">
        <v>1054</v>
      </c>
      <c r="J3" t="str">
        <f>Etiquettes!$C$4</f>
        <v>France entière</v>
      </c>
      <c r="K3" s="31" t="s">
        <v>1239</v>
      </c>
      <c r="L3" s="31" t="s">
        <v>1243</v>
      </c>
      <c r="M3" s="21"/>
      <c r="N3" s="101"/>
      <c r="O3" t="str">
        <f>Etiquettes!$J$11</f>
        <v>Répartition</v>
      </c>
      <c r="P3" t="str">
        <f>_xlfn.CONCAT(K3," = ",MROUND(D2*100,0.01)," % (",M3,")")</f>
        <v>Part de la collecte = 50 % ()</v>
      </c>
      <c r="Q3" t="str">
        <f>Etiquettes!$L$15</f>
        <v>Indicative</v>
      </c>
      <c r="R3" s="976" t="s">
        <v>1509</v>
      </c>
      <c r="S3" s="976" t="s">
        <v>1475</v>
      </c>
      <c r="U3" s="1027"/>
    </row>
    <row r="4" spans="1:21">
      <c r="A4" s="10">
        <f>A2+1</f>
        <v>50</v>
      </c>
      <c r="B4" t="s">
        <v>722</v>
      </c>
      <c r="C4" t="s">
        <v>1002</v>
      </c>
      <c r="D4" s="888">
        <v>0.1</v>
      </c>
      <c r="G4" t="str">
        <f>Etiquettes!$C$3</f>
        <v>kt</v>
      </c>
      <c r="H4" s="21" t="s">
        <v>1225</v>
      </c>
      <c r="I4" s="913" t="s">
        <v>1054</v>
      </c>
      <c r="J4" t="str">
        <f>Etiquettes!$C$4</f>
        <v>France entière</v>
      </c>
      <c r="K4" s="31"/>
      <c r="M4" s="31"/>
      <c r="P4" s="10"/>
      <c r="U4" s="1027"/>
    </row>
    <row r="5" spans="1:21">
      <c r="A5" s="10">
        <f t="shared" ref="A5:A21" si="0">A3+1</f>
        <v>50</v>
      </c>
      <c r="B5" t="s">
        <v>712</v>
      </c>
      <c r="C5" t="s">
        <v>724</v>
      </c>
      <c r="D5">
        <v>-1</v>
      </c>
      <c r="G5" t="str">
        <f>Etiquettes!$C$3</f>
        <v>kt</v>
      </c>
      <c r="H5" s="21" t="s">
        <v>1225</v>
      </c>
      <c r="I5" s="913" t="s">
        <v>1054</v>
      </c>
      <c r="J5" t="str">
        <f>Etiquettes!$C$4</f>
        <v>France entière</v>
      </c>
      <c r="K5" s="31" t="s">
        <v>1240</v>
      </c>
      <c r="L5" s="31" t="s">
        <v>1245</v>
      </c>
      <c r="M5" s="21"/>
      <c r="N5" s="101"/>
      <c r="O5" t="str">
        <f>Etiquettes!$J$11</f>
        <v>Répartition</v>
      </c>
      <c r="P5" t="str">
        <f>_xlfn.CONCAT(K5," = ",MROUND(D4*100,0.01)," % (",M5,")")</f>
        <v>Part du stock initial = 10 % ()</v>
      </c>
      <c r="Q5" t="str">
        <f>Etiquettes!$L$15</f>
        <v>Indicative</v>
      </c>
      <c r="R5" s="976" t="s">
        <v>1509</v>
      </c>
      <c r="S5" s="976" t="s">
        <v>1475</v>
      </c>
      <c r="U5" s="1027"/>
    </row>
    <row r="6" spans="1:21">
      <c r="A6" s="10">
        <f t="shared" si="0"/>
        <v>51</v>
      </c>
      <c r="B6" t="s">
        <v>722</v>
      </c>
      <c r="C6" t="s">
        <v>1002</v>
      </c>
      <c r="D6" s="888">
        <v>0.1</v>
      </c>
      <c r="G6" t="str">
        <f>Etiquettes!$C$3</f>
        <v>kt</v>
      </c>
      <c r="H6" s="21" t="s">
        <v>1225</v>
      </c>
      <c r="I6" s="913" t="s">
        <v>1054</v>
      </c>
      <c r="J6" t="str">
        <f>Etiquettes!$C$4</f>
        <v>France entière</v>
      </c>
      <c r="K6" s="31"/>
      <c r="P6" s="10"/>
      <c r="U6" s="1027"/>
    </row>
    <row r="7" spans="1:21">
      <c r="A7" s="10">
        <f t="shared" si="0"/>
        <v>51</v>
      </c>
      <c r="B7" t="s">
        <v>724</v>
      </c>
      <c r="C7" t="s">
        <v>715</v>
      </c>
      <c r="D7">
        <v>-1</v>
      </c>
      <c r="G7" t="str">
        <f>Etiquettes!$C$3</f>
        <v>kt</v>
      </c>
      <c r="H7" s="21" t="s">
        <v>1225</v>
      </c>
      <c r="I7" s="913" t="s">
        <v>1054</v>
      </c>
      <c r="J7" t="str">
        <f>Etiquettes!$C$4</f>
        <v>France entière</v>
      </c>
      <c r="K7" s="31" t="s">
        <v>1241</v>
      </c>
      <c r="L7" s="31" t="s">
        <v>1244</v>
      </c>
      <c r="M7" s="21"/>
      <c r="N7" s="101"/>
      <c r="O7" t="str">
        <f>Etiquettes!$J$11</f>
        <v>Répartition</v>
      </c>
      <c r="P7" t="str">
        <f>_xlfn.CONCAT(K7," = ",MROUND(D6*100,0.01)," % (",M7,")")</f>
        <v>Part du stock final = 10 % ()</v>
      </c>
      <c r="Q7" t="str">
        <f>Etiquettes!$L$15</f>
        <v>Indicative</v>
      </c>
      <c r="R7" s="976" t="s">
        <v>1509</v>
      </c>
      <c r="S7" s="976" t="s">
        <v>1475</v>
      </c>
      <c r="U7" s="1027"/>
    </row>
    <row r="8" spans="1:21">
      <c r="A8" s="10">
        <f t="shared" si="0"/>
        <v>52</v>
      </c>
      <c r="B8" t="s">
        <v>722</v>
      </c>
      <c r="C8" t="s">
        <v>1002</v>
      </c>
      <c r="D8" s="888">
        <v>0.1</v>
      </c>
      <c r="G8" t="str">
        <f>Etiquettes!$C$3</f>
        <v>kt</v>
      </c>
      <c r="H8" s="21" t="s">
        <v>1225</v>
      </c>
      <c r="I8" s="913" t="s">
        <v>1054</v>
      </c>
      <c r="J8" t="str">
        <f>Etiquettes!$C$4</f>
        <v>France entière</v>
      </c>
      <c r="P8" s="10"/>
      <c r="U8" s="1027"/>
    </row>
    <row r="9" spans="1:21">
      <c r="A9" s="10">
        <f t="shared" si="0"/>
        <v>52</v>
      </c>
      <c r="B9" t="str">
        <f>Produits!$B$11</f>
        <v>Graines collectées</v>
      </c>
      <c r="C9" t="str">
        <f>Secteurs!$B$44</f>
        <v>Semences certifiées</v>
      </c>
      <c r="D9">
        <v>-1</v>
      </c>
      <c r="G9" t="str">
        <f>Etiquettes!$C$3</f>
        <v>kt</v>
      </c>
      <c r="H9" s="21" t="s">
        <v>1225</v>
      </c>
      <c r="I9" s="913" t="s">
        <v>1054</v>
      </c>
      <c r="J9" t="str">
        <f>Etiquettes!$C$4</f>
        <v>France entière</v>
      </c>
      <c r="K9" s="31" t="s">
        <v>1242</v>
      </c>
      <c r="L9" s="31" t="s">
        <v>1246</v>
      </c>
      <c r="M9" s="21"/>
      <c r="N9" s="101"/>
      <c r="O9" t="str">
        <f>Etiquettes!$J$11</f>
        <v>Répartition</v>
      </c>
      <c r="P9" t="str">
        <f>_xlfn.CONCAT(K9," = ",MROUND(D8*100,0.01)," % (",M9,")")</f>
        <v>Part de la production de semences certifiées = 10 % ()</v>
      </c>
      <c r="Q9" t="str">
        <f>Etiquettes!$L$15</f>
        <v>Indicative</v>
      </c>
      <c r="R9" s="976" t="s">
        <v>1509</v>
      </c>
      <c r="S9" s="976" t="s">
        <v>1475</v>
      </c>
      <c r="U9" s="1027"/>
    </row>
    <row r="10" spans="1:21">
      <c r="A10" s="10">
        <f t="shared" si="0"/>
        <v>53</v>
      </c>
      <c r="B10" t="s">
        <v>722</v>
      </c>
      <c r="C10" t="s">
        <v>1002</v>
      </c>
      <c r="D10" s="888">
        <v>0.5</v>
      </c>
      <c r="G10" t="str">
        <f>Etiquettes!$C$3</f>
        <v>kt</v>
      </c>
      <c r="H10" s="21" t="str">
        <f>Etiquettes!$Q$6</f>
        <v>Haricot sec</v>
      </c>
      <c r="I10" s="913" t="str">
        <f>Etiquettes!$J$5</f>
        <v>2023-24</v>
      </c>
      <c r="J10" t="str">
        <f>Etiquettes!$C$4</f>
        <v>France entière</v>
      </c>
      <c r="K10" s="31"/>
      <c r="M10" s="31"/>
      <c r="P10" s="10"/>
      <c r="U10" s="1027"/>
    </row>
    <row r="11" spans="1:21">
      <c r="A11" s="10">
        <f t="shared" si="0"/>
        <v>53</v>
      </c>
      <c r="B11" t="s">
        <v>1002</v>
      </c>
      <c r="C11" t="s">
        <v>724</v>
      </c>
      <c r="D11">
        <v>-1</v>
      </c>
      <c r="G11" t="str">
        <f>Etiquettes!$C$3</f>
        <v>kt</v>
      </c>
      <c r="H11" s="21" t="str">
        <f>Etiquettes!$Q$6</f>
        <v>Haricot sec</v>
      </c>
      <c r="I11" s="913" t="str">
        <f>Etiquettes!$J$5</f>
        <v>2023-24</v>
      </c>
      <c r="J11" t="str">
        <f>Etiquettes!$C$4</f>
        <v>France entière</v>
      </c>
      <c r="K11" s="31" t="s">
        <v>1239</v>
      </c>
      <c r="L11" s="31" t="s">
        <v>1243</v>
      </c>
      <c r="M11" s="21"/>
      <c r="N11" s="101"/>
      <c r="O11" t="str">
        <f>Etiquettes!$J$11</f>
        <v>Répartition</v>
      </c>
      <c r="P11" t="str">
        <f>_xlfn.CONCAT(K11," = ",MROUND(D10*100,0.01)," % (",M11,")")</f>
        <v>Part de la collecte = 50 % ()</v>
      </c>
      <c r="Q11" t="str">
        <f>Etiquettes!$L$15</f>
        <v>Indicative</v>
      </c>
      <c r="R11" s="976" t="s">
        <v>1509</v>
      </c>
      <c r="S11" s="976" t="s">
        <v>1475</v>
      </c>
      <c r="U11" s="1027"/>
    </row>
    <row r="12" spans="1:21">
      <c r="A12" s="10">
        <f t="shared" si="0"/>
        <v>54</v>
      </c>
      <c r="B12" t="s">
        <v>722</v>
      </c>
      <c r="C12" t="s">
        <v>1002</v>
      </c>
      <c r="D12" s="888">
        <v>0.1</v>
      </c>
      <c r="G12" t="str">
        <f>Etiquettes!$C$3</f>
        <v>kt</v>
      </c>
      <c r="H12" s="21" t="str">
        <f>Etiquettes!$Q$6</f>
        <v>Haricot sec</v>
      </c>
      <c r="I12" s="913" t="str">
        <f>Etiquettes!$J$5</f>
        <v>2023-24</v>
      </c>
      <c r="J12" t="str">
        <f>Etiquettes!$C$4</f>
        <v>France entière</v>
      </c>
      <c r="K12" s="31"/>
      <c r="P12" s="10"/>
      <c r="U12" s="1027"/>
    </row>
    <row r="13" spans="1:21">
      <c r="A13" s="10">
        <f t="shared" si="0"/>
        <v>54</v>
      </c>
      <c r="B13" t="s">
        <v>712</v>
      </c>
      <c r="C13" t="s">
        <v>724</v>
      </c>
      <c r="D13">
        <v>-1</v>
      </c>
      <c r="G13" t="str">
        <f>Etiquettes!$C$3</f>
        <v>kt</v>
      </c>
      <c r="H13" s="21" t="str">
        <f>Etiquettes!$Q$6</f>
        <v>Haricot sec</v>
      </c>
      <c r="I13" s="913" t="str">
        <f>Etiquettes!$J$5</f>
        <v>2023-24</v>
      </c>
      <c r="J13" t="str">
        <f>Etiquettes!$C$4</f>
        <v>France entière</v>
      </c>
      <c r="K13" s="31" t="s">
        <v>1240</v>
      </c>
      <c r="L13" s="31" t="s">
        <v>1245</v>
      </c>
      <c r="M13" s="21"/>
      <c r="N13" s="101"/>
      <c r="O13" t="str">
        <f>Etiquettes!$J$11</f>
        <v>Répartition</v>
      </c>
      <c r="P13" t="str">
        <f>_xlfn.CONCAT(K13," = ",MROUND(D12*100,0.01)," % (",M13,")")</f>
        <v>Part du stock initial = 10 % ()</v>
      </c>
      <c r="Q13" t="str">
        <f>Etiquettes!$L$15</f>
        <v>Indicative</v>
      </c>
      <c r="R13" s="976" t="s">
        <v>1509</v>
      </c>
      <c r="S13" s="976" t="s">
        <v>1475</v>
      </c>
      <c r="U13" s="1027"/>
    </row>
    <row r="14" spans="1:21">
      <c r="A14" s="10">
        <f t="shared" si="0"/>
        <v>55</v>
      </c>
      <c r="B14" t="s">
        <v>722</v>
      </c>
      <c r="C14" t="s">
        <v>1002</v>
      </c>
      <c r="D14" s="888">
        <v>0.1</v>
      </c>
      <c r="G14" t="str">
        <f>Etiquettes!$C$3</f>
        <v>kt</v>
      </c>
      <c r="H14" s="21" t="str">
        <f>Etiquettes!$Q$6</f>
        <v>Haricot sec</v>
      </c>
      <c r="I14" s="913" t="str">
        <f>Etiquettes!$J$5</f>
        <v>2023-24</v>
      </c>
      <c r="J14" t="str">
        <f>Etiquettes!$C$4</f>
        <v>France entière</v>
      </c>
      <c r="K14" s="31"/>
      <c r="P14" s="10"/>
      <c r="U14" s="1027"/>
    </row>
    <row r="15" spans="1:21">
      <c r="A15" s="10">
        <f t="shared" si="0"/>
        <v>55</v>
      </c>
      <c r="B15" t="s">
        <v>724</v>
      </c>
      <c r="C15" t="s">
        <v>715</v>
      </c>
      <c r="D15">
        <v>-1</v>
      </c>
      <c r="G15" t="str">
        <f>Etiquettes!$C$3</f>
        <v>kt</v>
      </c>
      <c r="H15" s="21" t="str">
        <f>Etiquettes!$Q$6</f>
        <v>Haricot sec</v>
      </c>
      <c r="I15" s="913" t="str">
        <f>Etiquettes!$J$5</f>
        <v>2023-24</v>
      </c>
      <c r="J15" t="str">
        <f>Etiquettes!$C$4</f>
        <v>France entière</v>
      </c>
      <c r="K15" s="31" t="s">
        <v>1241</v>
      </c>
      <c r="L15" s="31" t="s">
        <v>1244</v>
      </c>
      <c r="O15" t="str">
        <f>Etiquettes!$J$11</f>
        <v>Répartition</v>
      </c>
      <c r="P15" t="str">
        <f>_xlfn.CONCAT(K15," = ",MROUND(D14*100,0.01)," % (",M15,")")</f>
        <v>Part du stock final = 10 % ()</v>
      </c>
      <c r="Q15" t="str">
        <f>Etiquettes!$L$15</f>
        <v>Indicative</v>
      </c>
      <c r="R15" s="976" t="s">
        <v>1509</v>
      </c>
      <c r="S15" s="976" t="s">
        <v>1475</v>
      </c>
      <c r="U15" s="1027"/>
    </row>
    <row r="16" spans="1:21">
      <c r="A16" s="10">
        <f t="shared" si="0"/>
        <v>56</v>
      </c>
      <c r="B16" t="s">
        <v>722</v>
      </c>
      <c r="C16" t="s">
        <v>1002</v>
      </c>
      <c r="D16" s="888">
        <v>0.1</v>
      </c>
      <c r="G16" t="str">
        <f>Etiquettes!$C$3</f>
        <v>kt</v>
      </c>
      <c r="H16" s="21" t="str">
        <f>Etiquettes!$Q$6</f>
        <v>Haricot sec</v>
      </c>
      <c r="I16" s="913" t="str">
        <f>Etiquettes!$J$5</f>
        <v>2023-24</v>
      </c>
      <c r="J16" t="str">
        <f>Etiquettes!$C$4</f>
        <v>France entière</v>
      </c>
      <c r="P16" s="10"/>
      <c r="U16" s="1027"/>
    </row>
    <row r="17" spans="1:21">
      <c r="A17" s="10">
        <f t="shared" si="0"/>
        <v>56</v>
      </c>
      <c r="B17" t="str">
        <f>Produits!$B$11</f>
        <v>Graines collectées</v>
      </c>
      <c r="C17" t="str">
        <f>Secteurs!$B$44</f>
        <v>Semences certifiées</v>
      </c>
      <c r="D17">
        <v>-1</v>
      </c>
      <c r="G17" t="str">
        <f>Etiquettes!$C$3</f>
        <v>kt</v>
      </c>
      <c r="H17" s="21" t="str">
        <f>Etiquettes!$Q$6</f>
        <v>Haricot sec</v>
      </c>
      <c r="I17" s="913" t="str">
        <f>Etiquettes!$J$5</f>
        <v>2023-24</v>
      </c>
      <c r="J17" t="str">
        <f>Etiquettes!$C$4</f>
        <v>France entière</v>
      </c>
      <c r="K17" s="31" t="s">
        <v>1242</v>
      </c>
      <c r="L17" s="31" t="s">
        <v>1246</v>
      </c>
      <c r="O17" t="str">
        <f>Etiquettes!$J$11</f>
        <v>Répartition</v>
      </c>
      <c r="P17" t="str">
        <f>_xlfn.CONCAT(K17," = ",MROUND(D16*100,0.01)," % (",M17,")")</f>
        <v>Part de la production de semences certifiées = 10 % ()</v>
      </c>
      <c r="Q17" t="str">
        <f>Etiquettes!$L$15</f>
        <v>Indicative</v>
      </c>
      <c r="R17" s="976" t="s">
        <v>1509</v>
      </c>
      <c r="S17" s="976" t="s">
        <v>1475</v>
      </c>
      <c r="U17" s="1027"/>
    </row>
    <row r="18" spans="1:21">
      <c r="A18" s="10">
        <f t="shared" si="0"/>
        <v>57</v>
      </c>
      <c r="B18" t="str">
        <f>Secteurs!$B$3</f>
        <v>Ferme</v>
      </c>
      <c r="C18" t="str">
        <f>Produits!$B$4</f>
        <v>Graines autoconsommées</v>
      </c>
      <c r="D18" s="888">
        <f>'Prétraitement récolte, collecte'!E42</f>
        <v>0.18055555555555555</v>
      </c>
      <c r="G18" t="str">
        <f>Etiquettes!$C$3</f>
        <v>kt</v>
      </c>
      <c r="H18" s="21" t="str">
        <f>Etiquettes!$L$6</f>
        <v>Pois</v>
      </c>
      <c r="I18" s="913" t="s">
        <v>1054</v>
      </c>
      <c r="J18" t="str">
        <f>Etiquettes!$C$4</f>
        <v>France entière</v>
      </c>
      <c r="P18" s="10"/>
    </row>
    <row r="19" spans="1:21">
      <c r="A19" s="10">
        <f t="shared" si="0"/>
        <v>57</v>
      </c>
      <c r="B19" t="str">
        <f>Secteurs!$B$48</f>
        <v>Indéterminé - Approvisionnement</v>
      </c>
      <c r="C19" t="str">
        <f>Produits!$B$4</f>
        <v>Graines autoconsommées</v>
      </c>
      <c r="D19">
        <v>-1</v>
      </c>
      <c r="G19" t="str">
        <f>Etiquettes!$C$3</f>
        <v>kt</v>
      </c>
      <c r="H19" s="21" t="str">
        <f>Etiquettes!$L$6</f>
        <v>Pois</v>
      </c>
      <c r="I19" s="913" t="s">
        <v>1054</v>
      </c>
      <c r="J19" t="str">
        <f>Etiquettes!$C$4</f>
        <v>France entière</v>
      </c>
      <c r="K19" s="31" t="s">
        <v>1410</v>
      </c>
      <c r="L19" s="31" t="s">
        <v>1411</v>
      </c>
      <c r="O19" t="str">
        <f>Etiquettes!$J$11</f>
        <v>Répartition</v>
      </c>
      <c r="P19" t="str">
        <f>_xlfn.CONCAT(K19," = ",MROUND(D18*100,0.01)," % (",M19,")")</f>
        <v>Ecart statistique relatif = 18,06 % ()</v>
      </c>
      <c r="Q19" t="str">
        <f>Etiquettes!$L$15</f>
        <v>Indicative</v>
      </c>
      <c r="R19" s="976" t="s">
        <v>1509</v>
      </c>
      <c r="S19" s="976" t="s">
        <v>1475</v>
      </c>
    </row>
    <row r="20" spans="1:21">
      <c r="A20" s="10">
        <f t="shared" si="0"/>
        <v>58</v>
      </c>
      <c r="B20" t="str">
        <f>Secteurs!$B$3</f>
        <v>Ferme</v>
      </c>
      <c r="C20" t="str">
        <f>Produits!$B$4</f>
        <v>Graines autoconsommées</v>
      </c>
      <c r="D20" s="888">
        <f>'Prétraitement récolte, collecte'!E46</f>
        <v>0.14285714285714285</v>
      </c>
      <c r="G20" t="str">
        <f>Etiquettes!$C$3</f>
        <v>kt</v>
      </c>
      <c r="H20" s="21" t="str">
        <f>Etiquettes!$M$6</f>
        <v>Féverole</v>
      </c>
      <c r="I20" s="913" t="s">
        <v>1054</v>
      </c>
      <c r="J20" t="str">
        <f>Etiquettes!$C$4</f>
        <v>France entière</v>
      </c>
      <c r="P20" s="10"/>
    </row>
    <row r="21" spans="1:21">
      <c r="A21" s="10">
        <f t="shared" si="0"/>
        <v>58</v>
      </c>
      <c r="B21" t="str">
        <f>Produits!$B$4</f>
        <v>Graines autoconsommées</v>
      </c>
      <c r="C21" t="str">
        <f>Secteurs!$B$49</f>
        <v>Indéterminé - Débouchés</v>
      </c>
      <c r="D21">
        <v>-1</v>
      </c>
      <c r="G21" t="str">
        <f>Etiquettes!$C$3</f>
        <v>kt</v>
      </c>
      <c r="H21" s="21" t="str">
        <f>Etiquettes!$M$6</f>
        <v>Féverole</v>
      </c>
      <c r="I21" s="913" t="s">
        <v>1054</v>
      </c>
      <c r="J21" t="str">
        <f>Etiquettes!$C$4</f>
        <v>France entière</v>
      </c>
      <c r="K21" s="31" t="s">
        <v>1410</v>
      </c>
      <c r="L21" s="31" t="s">
        <v>1411</v>
      </c>
      <c r="O21" t="str">
        <f>Etiquettes!$J$11</f>
        <v>Répartition</v>
      </c>
      <c r="P21" t="str">
        <f>_xlfn.CONCAT(K21," = ",MROUND(D20*100,0.01)," % (",M21,")")</f>
        <v>Ecart statistique relatif = 14,29 % ()</v>
      </c>
      <c r="Q21" t="str">
        <f>Etiquettes!$L$15</f>
        <v>Indicative</v>
      </c>
      <c r="R21" s="976" t="s">
        <v>1509</v>
      </c>
      <c r="S21" s="976" t="s">
        <v>1475</v>
      </c>
    </row>
  </sheetData>
  <mergeCells count="1">
    <mergeCell ref="U2:U17"/>
  </mergeCells>
  <phoneticPr fontId="114" type="noConversion"/>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B97E-177F-4AC6-94B1-6648E2F01F2A}">
  <sheetPr>
    <tabColor theme="1"/>
  </sheetPr>
  <dimension ref="A1:Q52"/>
  <sheetViews>
    <sheetView workbookViewId="0">
      <pane xSplit="2" ySplit="1" topLeftCell="C2" activePane="bottomRight" state="frozen"/>
      <selection activeCell="F19" sqref="F19"/>
      <selection pane="topRight" activeCell="F19" sqref="F19"/>
      <selection pane="bottomLeft" activeCell="F19" sqref="F19"/>
      <selection pane="bottomRight" activeCell="E1" sqref="E1"/>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11">_xlfn._xlws.FILTER('Contraintes     '!G1:S200,ISTEXT('Contraintes     '!O1:O200))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11">_xlfn._xlws.FILTER('Contraintes     '!B2:C200,ISTEXT('Contraintes     '!O2:O200))</f>
        <v>Graines récoltées</v>
      </c>
      <c r="B2" t="str">
        <v>OS</v>
      </c>
      <c r="E2" t="str">
        <v>kt</v>
      </c>
      <c r="F2" t="str">
        <v>Lentille:Pois chiche:Haricot sec</v>
      </c>
      <c r="G2" t="str">
        <v>2015-16:2019-20</v>
      </c>
      <c r="H2" t="str">
        <v>France entière</v>
      </c>
      <c r="I2" t="str">
        <v>Part de la collecte</v>
      </c>
      <c r="J2" t="str">
        <v>50 % de la récolte est collectée</v>
      </c>
      <c r="K2">
        <v>0</v>
      </c>
      <c r="L2">
        <v>0</v>
      </c>
      <c r="M2" t="str">
        <v>Répartition</v>
      </c>
      <c r="N2" t="str">
        <v>Part de la collecte = 50 % ()</v>
      </c>
      <c r="O2" t="str">
        <v>Indicative</v>
      </c>
      <c r="P2" t="str">
        <v>Données collectées:Données déterminées</v>
      </c>
      <c r="Q2" t="str">
        <v>Donnée collectée (valeur du flux ou coefficient)</v>
      </c>
    </row>
    <row r="3" spans="1:17">
      <c r="A3" t="str">
        <v>Stock initial collecteurs</v>
      </c>
      <c r="B3" t="str">
        <v>OS</v>
      </c>
      <c r="E3" t="str">
        <v>kt</v>
      </c>
      <c r="F3" t="str">
        <v>Lentille:Pois chiche:Haricot sec</v>
      </c>
      <c r="G3" t="str">
        <v>2015-16:2019-20</v>
      </c>
      <c r="H3" t="str">
        <v>France entière</v>
      </c>
      <c r="I3" t="str">
        <v>Part du stock initial</v>
      </c>
      <c r="J3" t="str">
        <v>10 % de la récolte est déstockée</v>
      </c>
      <c r="K3">
        <v>0</v>
      </c>
      <c r="L3">
        <v>0</v>
      </c>
      <c r="M3" t="str">
        <v>Répartition</v>
      </c>
      <c r="N3" t="str">
        <v>Part du stock initial = 10 % ()</v>
      </c>
      <c r="O3" t="str">
        <v>Indicative</v>
      </c>
      <c r="P3" t="str">
        <v>Données collectées:Données déterminées</v>
      </c>
      <c r="Q3" t="str">
        <v>Donnée collectée (valeur du flux ou coefficient)</v>
      </c>
    </row>
    <row r="4" spans="1:17">
      <c r="A4" t="str">
        <v>OS</v>
      </c>
      <c r="B4" t="str">
        <v>Stock final collecteurs</v>
      </c>
      <c r="E4" t="str">
        <v>kt</v>
      </c>
      <c r="F4" t="str">
        <v>Lentille:Pois chiche:Haricot sec</v>
      </c>
      <c r="G4" t="str">
        <v>2015-16:2019-20</v>
      </c>
      <c r="H4" t="str">
        <v>France entière</v>
      </c>
      <c r="I4" t="str">
        <v>Part du stock final</v>
      </c>
      <c r="J4" t="str">
        <v>10 % de la récolte est stockée</v>
      </c>
      <c r="K4">
        <v>0</v>
      </c>
      <c r="L4">
        <v>0</v>
      </c>
      <c r="M4" t="str">
        <v>Répartition</v>
      </c>
      <c r="N4" t="str">
        <v>Part du stock final = 10 % ()</v>
      </c>
      <c r="O4" t="str">
        <v>Indicative</v>
      </c>
      <c r="P4" t="str">
        <v>Données collectées:Données déterminées</v>
      </c>
      <c r="Q4" t="str">
        <v>Donnée collectée (valeur du flux ou coefficient)</v>
      </c>
    </row>
    <row r="5" spans="1:17">
      <c r="A5" t="str">
        <v>Graines collectées</v>
      </c>
      <c r="B5" t="str">
        <v>Semences certifiées</v>
      </c>
      <c r="E5" t="str">
        <v>kt</v>
      </c>
      <c r="F5" t="str">
        <v>Lentille:Pois chiche:Haricot sec</v>
      </c>
      <c r="G5" t="str">
        <v>2015-16:2019-20</v>
      </c>
      <c r="H5" t="str">
        <v>France entière</v>
      </c>
      <c r="I5" t="str">
        <v>Part de la production de semences certifiées</v>
      </c>
      <c r="J5" t="str">
        <v>10 % de la récolte sont des semences certifiées</v>
      </c>
      <c r="K5">
        <v>0</v>
      </c>
      <c r="L5">
        <v>0</v>
      </c>
      <c r="M5" t="str">
        <v>Répartition</v>
      </c>
      <c r="N5" t="str">
        <v>Part de la production de semences certifiées = 10 % ()</v>
      </c>
      <c r="O5" t="str">
        <v>Indicative</v>
      </c>
      <c r="P5" t="str">
        <v>Données collectées:Données déterminées</v>
      </c>
      <c r="Q5" t="str">
        <v>Donnée collectée (valeur du flux ou coefficient)</v>
      </c>
    </row>
    <row r="6" spans="1:17">
      <c r="A6" t="str">
        <v>Graines récoltées</v>
      </c>
      <c r="B6" t="str">
        <v>OS</v>
      </c>
      <c r="E6" t="str">
        <v>kt</v>
      </c>
      <c r="F6" t="str">
        <v>Haricot sec</v>
      </c>
      <c r="G6" t="str">
        <v>2023-24</v>
      </c>
      <c r="H6" t="str">
        <v>France entière</v>
      </c>
      <c r="I6" t="str">
        <v>Part de la collecte</v>
      </c>
      <c r="J6" t="str">
        <v>50 % de la récolte est collectée</v>
      </c>
      <c r="K6">
        <v>0</v>
      </c>
      <c r="L6">
        <v>0</v>
      </c>
      <c r="M6" t="str">
        <v>Répartition</v>
      </c>
      <c r="N6" t="str">
        <v>Part de la collecte = 50 % ()</v>
      </c>
      <c r="O6" t="str">
        <v>Indicative</v>
      </c>
      <c r="P6" t="str">
        <v>Données collectées:Données déterminées</v>
      </c>
      <c r="Q6" t="str">
        <v>Donnée collectée (valeur du flux ou coefficient)</v>
      </c>
    </row>
    <row r="7" spans="1:17">
      <c r="A7" t="str">
        <v>Stock initial collecteurs</v>
      </c>
      <c r="B7" t="str">
        <v>OS</v>
      </c>
      <c r="E7" t="str">
        <v>kt</v>
      </c>
      <c r="F7" t="str">
        <v>Haricot sec</v>
      </c>
      <c r="G7" t="str">
        <v>2023-24</v>
      </c>
      <c r="H7" t="str">
        <v>France entière</v>
      </c>
      <c r="I7" t="str">
        <v>Part du stock initial</v>
      </c>
      <c r="J7" t="str">
        <v>10 % de la récolte est déstockée</v>
      </c>
      <c r="K7">
        <v>0</v>
      </c>
      <c r="L7">
        <v>0</v>
      </c>
      <c r="M7" t="str">
        <v>Répartition</v>
      </c>
      <c r="N7" t="str">
        <v>Part du stock initial = 10 % ()</v>
      </c>
      <c r="O7" t="str">
        <v>Indicative</v>
      </c>
      <c r="P7" t="str">
        <v>Données collectées:Données déterminées</v>
      </c>
      <c r="Q7" t="str">
        <v>Donnée collectée (valeur du flux ou coefficient)</v>
      </c>
    </row>
    <row r="8" spans="1:17">
      <c r="A8" t="str">
        <v>OS</v>
      </c>
      <c r="B8" t="str">
        <v>Stock final collecteurs</v>
      </c>
      <c r="E8" t="str">
        <v>kt</v>
      </c>
      <c r="F8" t="str">
        <v>Haricot sec</v>
      </c>
      <c r="G8" t="str">
        <v>2023-24</v>
      </c>
      <c r="H8" t="str">
        <v>France entière</v>
      </c>
      <c r="I8" t="str">
        <v>Part du stock final</v>
      </c>
      <c r="J8" t="str">
        <v>10 % de la récolte est stockée</v>
      </c>
      <c r="K8">
        <v>0</v>
      </c>
      <c r="L8">
        <v>0</v>
      </c>
      <c r="M8" t="str">
        <v>Répartition</v>
      </c>
      <c r="N8" t="str">
        <v>Part du stock final = 10 % ()</v>
      </c>
      <c r="O8" t="str">
        <v>Indicative</v>
      </c>
      <c r="P8" t="str">
        <v>Données collectées:Données déterminées</v>
      </c>
      <c r="Q8" t="str">
        <v>Donnée collectée (valeur du flux ou coefficient)</v>
      </c>
    </row>
    <row r="9" spans="1:17">
      <c r="A9" t="str">
        <v>Graines collectées</v>
      </c>
      <c r="B9" t="str">
        <v>Semences certifiées</v>
      </c>
      <c r="E9" t="str">
        <v>kt</v>
      </c>
      <c r="F9" t="str">
        <v>Haricot sec</v>
      </c>
      <c r="G9" t="str">
        <v>2023-24</v>
      </c>
      <c r="H9" t="str">
        <v>France entière</v>
      </c>
      <c r="I9" t="str">
        <v>Part de la production de semences certifiées</v>
      </c>
      <c r="J9" t="str">
        <v>10 % de la récolte sont des semences certifiées</v>
      </c>
      <c r="K9">
        <v>0</v>
      </c>
      <c r="L9">
        <v>0</v>
      </c>
      <c r="M9" t="str">
        <v>Répartition</v>
      </c>
      <c r="N9" t="str">
        <v>Part de la production de semences certifiées = 10 % ()</v>
      </c>
      <c r="O9" t="str">
        <v>Indicative</v>
      </c>
      <c r="P9" t="str">
        <v>Données collectées:Données déterminées</v>
      </c>
      <c r="Q9" t="str">
        <v>Donnée collectée (valeur du flux ou coefficient)</v>
      </c>
    </row>
    <row r="10" spans="1:17">
      <c r="A10" t="str">
        <v>Indéterminé - Approvisionnement</v>
      </c>
      <c r="B10" t="str">
        <v>Graines autoconsommées</v>
      </c>
      <c r="E10" t="str">
        <v>kt</v>
      </c>
      <c r="F10" t="str">
        <v>Pois</v>
      </c>
      <c r="G10" t="str">
        <v>2015-16:2019-20</v>
      </c>
      <c r="H10" t="str">
        <v>France entière</v>
      </c>
      <c r="I10" t="str">
        <v>Ecart statistique relatif</v>
      </c>
      <c r="J10" t="str">
        <v>Même écart statistique qu'en 23-24</v>
      </c>
      <c r="K10">
        <v>0</v>
      </c>
      <c r="L10">
        <v>0</v>
      </c>
      <c r="M10" t="str">
        <v>Répartition</v>
      </c>
      <c r="N10" t="str">
        <v>Ecart statistique relatif = 18,06 % ()</v>
      </c>
      <c r="O10" t="str">
        <v>Indicative</v>
      </c>
      <c r="P10" t="str">
        <v>Données collectées:Données déterminées</v>
      </c>
      <c r="Q10" t="str">
        <v>Donnée collectée (valeur du flux ou coefficient)</v>
      </c>
    </row>
    <row r="11" spans="1:17">
      <c r="A11" t="str">
        <v>Graines autoconsommées</v>
      </c>
      <c r="B11" t="str">
        <v>Indéterminé - Débouchés</v>
      </c>
      <c r="E11" t="str">
        <v>kt</v>
      </c>
      <c r="F11" t="str">
        <v>Féverole</v>
      </c>
      <c r="G11" t="str">
        <v>2015-16:2019-20</v>
      </c>
      <c r="H11" t="str">
        <v>France entière</v>
      </c>
      <c r="I11" t="str">
        <v>Ecart statistique relatif</v>
      </c>
      <c r="J11" t="str">
        <v>Même écart statistique qu'en 23-24</v>
      </c>
      <c r="K11">
        <v>0</v>
      </c>
      <c r="L11">
        <v>0</v>
      </c>
      <c r="M11" t="str">
        <v>Répartition</v>
      </c>
      <c r="N11" t="str">
        <v>Ecart statistique relatif = 14,29 % ()</v>
      </c>
      <c r="O11" t="str">
        <v>Indicative</v>
      </c>
      <c r="P11" t="str">
        <v>Données collectées:Données déterminées</v>
      </c>
      <c r="Q11" t="str">
        <v>Donnée collectée (valeur du flux ou coefficient)</v>
      </c>
    </row>
    <row r="12" spans="1:17">
      <c r="I12"/>
      <c r="J12"/>
      <c r="K12"/>
      <c r="L12"/>
      <c r="M12"/>
    </row>
    <row r="13" spans="1:17">
      <c r="I13"/>
      <c r="J13"/>
      <c r="K13"/>
      <c r="L13"/>
      <c r="M13"/>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1F326-D412-496D-AC52-903DF61B5949}">
  <sheetPr>
    <tabColor rgb="FF0070C0"/>
  </sheetPr>
  <dimension ref="A1:D29"/>
  <sheetViews>
    <sheetView workbookViewId="0">
      <pane xSplit="2" ySplit="1" topLeftCell="C2" activePane="bottomRight" state="frozen"/>
      <selection activeCell="B30" sqref="B30"/>
      <selection pane="topRight" activeCell="B30" sqref="B30"/>
      <selection pane="bottomLeft" activeCell="B30" sqref="B30"/>
      <selection pane="bottomRight" activeCell="D30" sqref="D30"/>
    </sheetView>
  </sheetViews>
  <sheetFormatPr baseColWidth="10" defaultColWidth="9.109375" defaultRowHeight="14.4"/>
  <cols>
    <col min="1" max="1" width="15.6640625" style="10" customWidth="1"/>
    <col min="2" max="2" width="61.6640625" bestFit="1" customWidth="1"/>
    <col min="3" max="3" width="17.109375" style="10" customWidth="1"/>
  </cols>
  <sheetData>
    <row r="1" spans="1:4" ht="38.4" thickBot="1">
      <c r="A1" s="1" t="s">
        <v>0</v>
      </c>
      <c r="B1" s="2" t="s">
        <v>1</v>
      </c>
      <c r="C1" s="2" t="s">
        <v>2</v>
      </c>
      <c r="D1" t="str">
        <f>Etiquettes!$A$2</f>
        <v>Type de matière</v>
      </c>
    </row>
    <row r="2" spans="1:4" s="89" customFormat="1">
      <c r="A2" s="88">
        <v>1</v>
      </c>
      <c r="B2" s="89" t="s">
        <v>1002</v>
      </c>
      <c r="C2" s="88">
        <v>1</v>
      </c>
      <c r="D2" s="89" t="str">
        <f>Etiquettes!$H$2</f>
        <v>Matière première</v>
      </c>
    </row>
    <row r="3" spans="1:4" s="89" customFormat="1">
      <c r="A3" s="88">
        <v>1</v>
      </c>
      <c r="B3" s="89" t="s">
        <v>1128</v>
      </c>
      <c r="C3" s="88">
        <v>1</v>
      </c>
      <c r="D3" s="89" t="str">
        <f>Etiquettes!$H$2</f>
        <v>Matière première</v>
      </c>
    </row>
    <row r="4" spans="1:4" s="89" customFormat="1">
      <c r="A4" s="88">
        <v>1</v>
      </c>
      <c r="B4" s="89" t="s">
        <v>1003</v>
      </c>
      <c r="C4" s="88">
        <v>1</v>
      </c>
      <c r="D4" s="89" t="str">
        <f>Etiquettes!$H$2</f>
        <v>Matière première</v>
      </c>
    </row>
    <row r="5" spans="1:4" s="91" customFormat="1">
      <c r="A5" s="90">
        <v>1</v>
      </c>
      <c r="B5" s="91" t="s">
        <v>710</v>
      </c>
      <c r="C5" s="90">
        <v>0</v>
      </c>
      <c r="D5" s="91" t="str">
        <f>Etiquettes!$H$2</f>
        <v>Matière première</v>
      </c>
    </row>
    <row r="6" spans="1:4" s="91" customFormat="1">
      <c r="A6" s="90">
        <v>2</v>
      </c>
      <c r="B6" s="91" t="s">
        <v>711</v>
      </c>
      <c r="C6" s="90">
        <v>0</v>
      </c>
      <c r="D6" s="91" t="str">
        <f>Etiquettes!$H$2</f>
        <v>Matière première</v>
      </c>
    </row>
    <row r="7" spans="1:4" s="91" customFormat="1">
      <c r="A7" s="90">
        <v>2</v>
      </c>
      <c r="B7" s="91" t="s">
        <v>712</v>
      </c>
      <c r="C7" s="90">
        <v>0</v>
      </c>
      <c r="D7" s="91" t="str">
        <f>Etiquettes!$H$2</f>
        <v>Matière première</v>
      </c>
    </row>
    <row r="8" spans="1:4" s="91" customFormat="1">
      <c r="A8" s="90">
        <v>1</v>
      </c>
      <c r="B8" s="91" t="s">
        <v>713</v>
      </c>
      <c r="C8" s="90">
        <v>0</v>
      </c>
      <c r="D8" s="91" t="str">
        <f>Etiquettes!$H$2</f>
        <v>Matière première</v>
      </c>
    </row>
    <row r="9" spans="1:4" s="91" customFormat="1">
      <c r="A9" s="90">
        <v>2</v>
      </c>
      <c r="B9" s="91" t="s">
        <v>714</v>
      </c>
      <c r="C9" s="90">
        <v>0</v>
      </c>
      <c r="D9" s="91" t="str">
        <f>Etiquettes!$H$2</f>
        <v>Matière première</v>
      </c>
    </row>
    <row r="10" spans="1:4" s="91" customFormat="1">
      <c r="A10" s="90">
        <v>2</v>
      </c>
      <c r="B10" s="91" t="s">
        <v>715</v>
      </c>
      <c r="C10" s="90">
        <v>0</v>
      </c>
      <c r="D10" s="91" t="str">
        <f>Etiquettes!$H$2</f>
        <v>Matière première</v>
      </c>
    </row>
    <row r="11" spans="1:4" s="89" customFormat="1">
      <c r="A11" s="88">
        <v>1</v>
      </c>
      <c r="B11" s="89" t="s">
        <v>1004</v>
      </c>
      <c r="C11" s="88">
        <v>1</v>
      </c>
      <c r="D11" s="89" t="str">
        <f>Etiquettes!$H$2</f>
        <v>Matière première</v>
      </c>
    </row>
    <row r="12" spans="1:4" s="89" customFormat="1">
      <c r="A12" s="88">
        <v>1</v>
      </c>
      <c r="B12" s="89" t="s">
        <v>716</v>
      </c>
      <c r="C12" s="88">
        <v>1</v>
      </c>
      <c r="D12" s="89" t="str">
        <f>Etiquettes!$J$2</f>
        <v>Coproduit</v>
      </c>
    </row>
    <row r="13" spans="1:4" s="95" customFormat="1">
      <c r="A13" s="94">
        <v>1</v>
      </c>
      <c r="B13" s="95" t="s">
        <v>720</v>
      </c>
      <c r="C13" s="94">
        <v>1</v>
      </c>
      <c r="D13" s="95" t="str">
        <f>Etiquettes!$I$2</f>
        <v>Produit</v>
      </c>
    </row>
    <row r="14" spans="1:4" s="95" customFormat="1">
      <c r="A14" s="94">
        <v>1</v>
      </c>
      <c r="B14" s="95" t="s">
        <v>721</v>
      </c>
      <c r="C14" s="94">
        <v>1</v>
      </c>
      <c r="D14" s="95" t="str">
        <f>Etiquettes!$J$2</f>
        <v>Coproduit</v>
      </c>
    </row>
    <row r="15" spans="1:4" s="95" customFormat="1">
      <c r="A15" s="94">
        <v>1</v>
      </c>
      <c r="B15" s="95" t="s">
        <v>1328</v>
      </c>
      <c r="C15" s="94">
        <v>1</v>
      </c>
      <c r="D15" s="95" t="str">
        <f>Etiquettes!$J$2</f>
        <v>Coproduit</v>
      </c>
    </row>
    <row r="16" spans="1:4" s="93" customFormat="1">
      <c r="A16" s="92">
        <v>1</v>
      </c>
      <c r="B16" s="93" t="s">
        <v>1126</v>
      </c>
      <c r="C16" s="92">
        <v>1</v>
      </c>
      <c r="D16" s="93" t="str">
        <f>Etiquettes!$I$2</f>
        <v>Produit</v>
      </c>
    </row>
    <row r="17" spans="1:4" s="93" customFormat="1">
      <c r="A17" s="92">
        <v>1</v>
      </c>
      <c r="B17" s="93" t="s">
        <v>1127</v>
      </c>
      <c r="C17" s="92">
        <v>1</v>
      </c>
      <c r="D17" s="93" t="str">
        <f>Etiquettes!$J$2</f>
        <v>Coproduit</v>
      </c>
    </row>
    <row r="18" spans="1:4" s="93" customFormat="1">
      <c r="A18" s="92">
        <v>1</v>
      </c>
      <c r="B18" s="93" t="s">
        <v>1110</v>
      </c>
      <c r="C18" s="92">
        <v>1</v>
      </c>
      <c r="D18" s="93" t="str">
        <f>Etiquettes!$I$2</f>
        <v>Produit</v>
      </c>
    </row>
    <row r="19" spans="1:4" s="97" customFormat="1">
      <c r="A19" s="96">
        <v>1</v>
      </c>
      <c r="B19" s="97" t="s">
        <v>1216</v>
      </c>
      <c r="C19" s="96">
        <v>1</v>
      </c>
      <c r="D19" s="97" t="str">
        <f>Etiquettes!$I$2</f>
        <v>Produit</v>
      </c>
    </row>
    <row r="20" spans="1:4" s="97" customFormat="1">
      <c r="A20" s="96">
        <v>2</v>
      </c>
      <c r="B20" s="97" t="s">
        <v>1182</v>
      </c>
      <c r="C20" s="96">
        <v>1</v>
      </c>
      <c r="D20" s="97" t="str">
        <f>Etiquettes!$I$2</f>
        <v>Produit</v>
      </c>
    </row>
    <row r="21" spans="1:4" s="97" customFormat="1">
      <c r="A21" s="96">
        <v>2</v>
      </c>
      <c r="B21" s="97" t="s">
        <v>1428</v>
      </c>
      <c r="C21" s="96">
        <v>1</v>
      </c>
      <c r="D21" s="97" t="str">
        <f>Etiquettes!$I$2</f>
        <v>Produit</v>
      </c>
    </row>
    <row r="22" spans="1:4" s="30" customFormat="1">
      <c r="A22" s="28">
        <v>1</v>
      </c>
      <c r="B22" s="30" t="s">
        <v>719</v>
      </c>
      <c r="C22" s="28">
        <v>1</v>
      </c>
      <c r="D22" s="30" t="str">
        <f>Etiquettes!$I$2</f>
        <v>Produit</v>
      </c>
    </row>
    <row r="23" spans="1:4" s="30" customFormat="1">
      <c r="A23" s="28">
        <v>1</v>
      </c>
      <c r="B23" s="30" t="s">
        <v>1261</v>
      </c>
      <c r="C23" s="28">
        <v>1</v>
      </c>
      <c r="D23" s="30" t="str">
        <f>Etiquettes!$I$2</f>
        <v>Produit</v>
      </c>
    </row>
    <row r="24" spans="1:4" s="30" customFormat="1">
      <c r="A24" s="28">
        <v>1</v>
      </c>
      <c r="B24" s="30" t="s">
        <v>1262</v>
      </c>
      <c r="C24" s="28">
        <v>1</v>
      </c>
      <c r="D24" s="30" t="str">
        <f>Etiquettes!$J$2</f>
        <v>Coproduit</v>
      </c>
    </row>
    <row r="25" spans="1:4" s="99" customFormat="1">
      <c r="A25" s="98">
        <v>1</v>
      </c>
      <c r="B25" s="99" t="s">
        <v>717</v>
      </c>
      <c r="C25" s="98">
        <v>1</v>
      </c>
      <c r="D25" s="99" t="str">
        <f>Etiquettes!$I$2</f>
        <v>Produit</v>
      </c>
    </row>
    <row r="26" spans="1:4" s="99" customFormat="1">
      <c r="A26" s="98">
        <v>1</v>
      </c>
      <c r="B26" s="99" t="s">
        <v>718</v>
      </c>
      <c r="C26" s="98">
        <v>1</v>
      </c>
      <c r="D26" s="99" t="str">
        <f>Etiquettes!$J$2</f>
        <v>Coproduit</v>
      </c>
    </row>
    <row r="27" spans="1:4" s="935" customFormat="1">
      <c r="A27" s="934">
        <v>1</v>
      </c>
      <c r="B27" s="935" t="s">
        <v>1263</v>
      </c>
      <c r="C27" s="934">
        <v>1</v>
      </c>
      <c r="D27" s="935" t="str">
        <f>Etiquettes!$I$2</f>
        <v>Produit</v>
      </c>
    </row>
    <row r="28" spans="1:4" s="935" customFormat="1">
      <c r="A28" s="934">
        <v>1</v>
      </c>
      <c r="B28" s="935" t="s">
        <v>1264</v>
      </c>
      <c r="C28" s="934">
        <v>1</v>
      </c>
      <c r="D28" s="935" t="str">
        <f>Etiquettes!$J$2</f>
        <v>Coproduit</v>
      </c>
    </row>
    <row r="29" spans="1:4">
      <c r="A29" s="10">
        <v>1</v>
      </c>
      <c r="B29" t="s">
        <v>1429</v>
      </c>
      <c r="C29" s="10">
        <v>0</v>
      </c>
      <c r="D29" t="str">
        <f>Etiquettes!$K$2</f>
        <v>Intrant externe</v>
      </c>
    </row>
  </sheetData>
  <pageMargins left="0.75" right="0.75" top="1" bottom="1" header="0.5" footer="0.5"/>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20CE1-E9A4-4B96-8BE6-E435F15F048F}">
  <dimension ref="B2:G46"/>
  <sheetViews>
    <sheetView workbookViewId="0">
      <selection activeCell="E45" sqref="E45"/>
    </sheetView>
  </sheetViews>
  <sheetFormatPr baseColWidth="10" defaultRowHeight="14.4"/>
  <cols>
    <col min="2" max="2" width="24.33203125" bestFit="1" customWidth="1"/>
  </cols>
  <sheetData>
    <row r="2" spans="2:5">
      <c r="B2" s="894" t="s">
        <v>83</v>
      </c>
      <c r="C2" t="s">
        <v>122</v>
      </c>
      <c r="D2" t="s">
        <v>126</v>
      </c>
      <c r="E2" t="s">
        <v>131</v>
      </c>
    </row>
    <row r="3" spans="2:5">
      <c r="B3" t="s">
        <v>1172</v>
      </c>
      <c r="C3" s="914">
        <f>'Récoltes - AGRESTE'!C12/10^4</f>
        <v>42.593600000000002</v>
      </c>
      <c r="D3" s="914">
        <f>'Récoltes - AGRESTE'!D12/10^4</f>
        <v>45.531300000000002</v>
      </c>
      <c r="E3" s="914">
        <f>'Récoltes - AGRESTE'!E12/10^4</f>
        <v>51.6892</v>
      </c>
    </row>
    <row r="4" spans="2:5">
      <c r="B4" t="s">
        <v>1173</v>
      </c>
      <c r="C4" s="914">
        <f>SUMIFS('Collectes, stocks - FAM'!$E:$E,'Collectes, stocks - FAM'!$A:$A,$B$2,'Collectes, stocks - FAM'!$C:$C,C2)/10^3</f>
        <v>32.4998</v>
      </c>
      <c r="D4" s="914">
        <f>SUMIFS('Collectes, stocks - FAM'!$E:$E,'Collectes, stocks - FAM'!$A:$A,$B$2,'Collectes, stocks - FAM'!$C:$C,D2)/10^3</f>
        <v>30.716700000000003</v>
      </c>
      <c r="E4" s="914">
        <f>SUMIFS('Collectes, stocks - FAM'!$E:$E,'Collectes, stocks - FAM'!$A:$A,$B$2,'Collectes, stocks - FAM'!$C:$C,E2)/10^3</f>
        <v>35.433800000000005</v>
      </c>
    </row>
    <row r="5" spans="2:5">
      <c r="B5" t="s">
        <v>1174</v>
      </c>
      <c r="C5" s="914">
        <f>SUMIFS('Collectes, stocks - FAM'!$H:$H,'Collectes, stocks - FAM'!$A:$A,$B$2,'Collectes, stocks - FAM'!$C:$C,"2014/15",'Collectes, stocks - FAM'!$D:$D,6)/10^3</f>
        <v>1.6696</v>
      </c>
      <c r="D5" s="914">
        <f>SUMIFS('Collectes, stocks - FAM'!$H:$H,'Collectes, stocks - FAM'!$A:$A,$B$2,'Collectes, stocks - FAM'!$C:$C,"2018/19",'Collectes, stocks - FAM'!$D:$D,6)/10^3</f>
        <v>6.2431000000000001</v>
      </c>
      <c r="E5" s="914">
        <f>SUMIFS('Collectes, stocks - FAM'!$H:$H,'Collectes, stocks - FAM'!$A:$A,$B$2,'Collectes, stocks - FAM'!$C:$C,"2022/23",'Collectes, stocks - FAM'!$D:$D,6)/10^3</f>
        <v>6.2282000000000002</v>
      </c>
    </row>
    <row r="6" spans="2:5">
      <c r="B6" t="s">
        <v>1175</v>
      </c>
      <c r="C6" s="914">
        <f>SUMIFS('Collectes, stocks - FAM'!$H:$H,'Collectes, stocks - FAM'!$A:$A,$B$2,'Collectes, stocks - FAM'!$C:$C,C2,'Collectes, stocks - FAM'!$D:$D,6)/10^3</f>
        <v>5.6355000000000004</v>
      </c>
      <c r="D6" s="914">
        <f>SUMIFS('Collectes, stocks - FAM'!$H:$H,'Collectes, stocks - FAM'!$A:$A,$B$2,'Collectes, stocks - FAM'!$C:$C,D2,'Collectes, stocks - FAM'!$D:$D,6)/10^3</f>
        <v>4.2187000000000001</v>
      </c>
      <c r="E6" s="914">
        <f>SUMIFS('Collectes, stocks - FAM'!$H:$H,'Collectes, stocks - FAM'!$A:$A,$B$2,'Collectes, stocks - FAM'!$C:$C,E2,'Collectes, stocks - FAM'!$D:$D,6)/10^3</f>
        <v>6.9329999999999998</v>
      </c>
    </row>
    <row r="7" spans="2:5">
      <c r="B7" t="s">
        <v>1176</v>
      </c>
      <c r="C7" s="932">
        <f>SUMIFS('Collectes, stocks - FAM'!$F:$F,'Collectes, stocks - FAM'!$A:$A,$B$2,'Collectes, stocks - FAM'!$C:$C,C2)/10^3</f>
        <v>1.39</v>
      </c>
      <c r="D7" s="932">
        <f>SUMIFS('Collectes, stocks - FAM'!$F:$F,'Collectes, stocks - FAM'!$A:$A,$B$2,'Collectes, stocks - FAM'!$C:$C,D2)/10^3</f>
        <v>1.8577999999999997</v>
      </c>
      <c r="E7" s="932">
        <f>SUMIFS('Collectes, stocks - FAM'!$F:$F,'Collectes, stocks - FAM'!$A:$A,$B$2,'Collectes, stocks - FAM'!$C:$C,E2)/10^3</f>
        <v>1.2687999999999999</v>
      </c>
    </row>
    <row r="8" spans="2:5">
      <c r="B8" t="s">
        <v>8</v>
      </c>
    </row>
    <row r="9" spans="2:5">
      <c r="B9" t="s">
        <v>1180</v>
      </c>
      <c r="C9" s="914">
        <f>SUMIFS('FAB - FAM'!$F:$F,'FAB - FAM'!$B:$B,$B$2,'FAB - FAM'!$D:$D,C2)/10^3</f>
        <v>0.4415</v>
      </c>
      <c r="D9" s="914">
        <f>SUMIFS('FAB - FAM'!$F:$F,'FAB - FAM'!$B:$B,$B$2,'FAB - FAM'!$D:$D,D2)/10^3</f>
        <v>4.1491030000000002</v>
      </c>
      <c r="E9" s="914">
        <f>SUMIFS('FAB - FAM'!$F:$F,'FAB - FAM'!$B:$B,$B$2,'FAB - FAM'!$D:$D,E2)/10^3</f>
        <v>5.9397010000000003</v>
      </c>
    </row>
    <row r="11" spans="2:5">
      <c r="B11" s="894" t="s">
        <v>89</v>
      </c>
      <c r="C11" t="s">
        <v>122</v>
      </c>
      <c r="D11" t="s">
        <v>126</v>
      </c>
      <c r="E11" t="s">
        <v>131</v>
      </c>
    </row>
    <row r="12" spans="2:5">
      <c r="B12" t="s">
        <v>1172</v>
      </c>
      <c r="C12" s="914">
        <f>'Récoltes - AGRESTE'!C22/10^4</f>
        <v>16.433199999999999</v>
      </c>
      <c r="D12" s="914">
        <f>'Récoltes - AGRESTE'!D22/10^4</f>
        <v>7.0892999999999997</v>
      </c>
      <c r="E12" s="914">
        <f>'Récoltes - AGRESTE'!E22/10^4</f>
        <v>10.871</v>
      </c>
    </row>
    <row r="13" spans="2:5">
      <c r="B13" t="s">
        <v>1173</v>
      </c>
      <c r="C13" s="914">
        <f>SUMIFS('Collectes, stocks protéa - FAM'!$E:$E,'Collectes, stocks protéa - FAM'!$A:$A,$B$11,'Collectes, stocks protéa - FAM'!$C:$C,C11)/10^3</f>
        <v>11.978299999999999</v>
      </c>
      <c r="D13" s="914">
        <f>SUMIFS('Collectes, stocks protéa - FAM'!$E:$E,'Collectes, stocks protéa - FAM'!$A:$A,$B$11,'Collectes, stocks protéa - FAM'!$C:$C,D11)/10^3</f>
        <v>3.9058999999999999</v>
      </c>
      <c r="E13" s="914">
        <f>SUMIFS('Collectes, stocks protéa - FAM'!$E:$E,'Collectes, stocks protéa - FAM'!$A:$A,$B$11,'Collectes, stocks protéa - FAM'!$C:$C,E11)/10^3</f>
        <v>5.4606000000000003</v>
      </c>
    </row>
    <row r="14" spans="2:5">
      <c r="B14" t="s">
        <v>1174</v>
      </c>
      <c r="C14" s="914">
        <f>SUMIFS('Collectes, stocks protéa - FAM'!$H:$H,'Collectes, stocks protéa - FAM'!$A:$A,$B$11,'Collectes, stocks protéa - FAM'!$C:$C,"2014/15",'Collectes, stocks protéa - FAM'!$D:$D,6)/10^3</f>
        <v>3.4144000000000001</v>
      </c>
      <c r="D14" s="914">
        <f>SUMIFS('Collectes, stocks protéa - FAM'!$H:$H,'Collectes, stocks protéa - FAM'!$A:$A,$B$11,'Collectes, stocks protéa - FAM'!$C:$C,"2018/19",'Collectes, stocks protéa - FAM'!$D:$D,6)/10^3</f>
        <v>8.6282999999999994</v>
      </c>
      <c r="E14" s="914">
        <f>SUMIFS('Collectes, stocks protéa - FAM'!$H:$H,'Collectes, stocks protéa - FAM'!$A:$A,$B$11,'Collectes, stocks protéa - FAM'!$C:$C,"2022/23",'Collectes, stocks protéa - FAM'!$D:$D,6)/10^3</f>
        <v>2.0673000000000004</v>
      </c>
    </row>
    <row r="15" spans="2:5">
      <c r="B15" t="s">
        <v>1175</v>
      </c>
      <c r="C15" s="914">
        <f>SUMIFS('Collectes, stocks protéa - FAM'!$H:$H,'Collectes, stocks protéa - FAM'!$A:$A,$B$11,'Collectes, stocks protéa - FAM'!$C:$C,C11,'Collectes, stocks protéa - FAM'!$D:$D,6)/10^3</f>
        <v>11.295500000000001</v>
      </c>
      <c r="D15" s="914">
        <f>SUMIFS('Collectes, stocks protéa - FAM'!$H:$H,'Collectes, stocks protéa - FAM'!$A:$A,$B$11,'Collectes, stocks protéa - FAM'!$C:$C,D11,'Collectes, stocks protéa - FAM'!$D:$D,6)/10^3</f>
        <v>1.7609000000000001</v>
      </c>
      <c r="E15" s="914">
        <f>SUMIFS('Collectes, stocks protéa - FAM'!$H:$H,'Collectes, stocks protéa - FAM'!$A:$A,$B$11,'Collectes, stocks protéa - FAM'!$C:$C,E11,'Collectes, stocks protéa - FAM'!$D:$D,6)/10^3</f>
        <v>2.1613000000000002</v>
      </c>
    </row>
    <row r="16" spans="2:5">
      <c r="B16" t="s">
        <v>1176</v>
      </c>
      <c r="C16" s="932">
        <f>SUMIFS('Collectes, stocks protéa - FAM'!$F:$F,'Collectes, stocks protéa - FAM'!$A:$A,$B$11,'Collectes, stocks protéa - FAM'!$C:$C,C11)/10^3</f>
        <v>0.51770000000000005</v>
      </c>
      <c r="D16" s="932">
        <f>SUMIFS('Collectes, stocks protéa - FAM'!$F:$F,'Collectes, stocks protéa - FAM'!$A:$A,$B$11,'Collectes, stocks protéa - FAM'!$C:$C,D11)/10^3</f>
        <v>0.21890000000000001</v>
      </c>
      <c r="E16" s="932">
        <f>SUMIFS('Collectes, stocks protéa - FAM'!$F:$F,'Collectes, stocks protéa - FAM'!$A:$A,$B$11,'Collectes, stocks protéa - FAM'!$C:$C,E11)/10^3</f>
        <v>0.48219999999999996</v>
      </c>
    </row>
    <row r="17" spans="2:7">
      <c r="B17" t="s">
        <v>1181</v>
      </c>
    </row>
    <row r="18" spans="2:7">
      <c r="B18" t="s">
        <v>1180</v>
      </c>
      <c r="C18" s="914">
        <f>SUMIFS('FAB protéagineux - FAM'!$F:$F,'FAB protéagineux - FAM'!$B:$B,$B$11,'FAB protéagineux - FAM'!$D:$D,C11)/10^3</f>
        <v>9.509999999999999E-2</v>
      </c>
      <c r="D18" s="914">
        <f>SUMIFS('FAB protéagineux - FAM'!$F:$F,'FAB protéagineux - FAM'!$B:$B,$B$11,'FAB protéagineux - FAM'!$D:$D,D11)/10^3</f>
        <v>0.33619000000000004</v>
      </c>
      <c r="E18" s="914">
        <f>SUMIFS('FAB protéagineux - FAM'!$F:$F,'FAB protéagineux - FAM'!$B:$B,$B$11,'FAB protéagineux - FAM'!$D:$D,E11)/10^3</f>
        <v>0.136299</v>
      </c>
    </row>
    <row r="20" spans="2:7">
      <c r="B20" s="894" t="s">
        <v>86</v>
      </c>
      <c r="C20" t="s">
        <v>122</v>
      </c>
      <c r="D20" t="s">
        <v>126</v>
      </c>
      <c r="E20" t="s">
        <v>131</v>
      </c>
    </row>
    <row r="21" spans="2:7">
      <c r="B21" t="s">
        <v>1172</v>
      </c>
      <c r="C21" s="911">
        <f>'Récoltes - AGRESTE'!C18/10^4</f>
        <v>23.479500000000002</v>
      </c>
      <c r="D21" s="911">
        <f>'Récoltes - AGRESTE'!D18/10^4</f>
        <v>48.373699999999999</v>
      </c>
      <c r="E21" s="914">
        <f>'Récoltes - AGRESTE'!E18/10^4</f>
        <v>32.964599999999997</v>
      </c>
    </row>
    <row r="22" spans="2:7">
      <c r="B22" t="s">
        <v>1173</v>
      </c>
      <c r="C22" s="911"/>
      <c r="D22" s="911"/>
      <c r="E22" s="914">
        <f>SUMIFS('Collectes, stocks protéa - FAM'!$E:$E,'Collectes, stocks protéa - FAM'!$A:$A,$B$20,'Collectes, stocks protéa - FAM'!$C:$C,E20)/10^3</f>
        <v>15.651999999999999</v>
      </c>
    </row>
    <row r="23" spans="2:7">
      <c r="B23" t="s">
        <v>1174</v>
      </c>
      <c r="C23" s="911"/>
      <c r="D23" s="911"/>
      <c r="E23" s="914">
        <f>SUMIFS('Collectes, stocks protéa - FAM'!$H:$H,'Collectes, stocks protéa - FAM'!$A:$A,$B$20,'Collectes, stocks protéa - FAM'!$C:$C,"2022/23",'Collectes, stocks protéa - FAM'!$D:$D,6)/10^3</f>
        <v>2.6711999999999998</v>
      </c>
    </row>
    <row r="24" spans="2:7">
      <c r="B24" t="s">
        <v>1175</v>
      </c>
      <c r="C24" s="911"/>
      <c r="D24" s="911"/>
      <c r="E24" s="914">
        <f>SUMIFS('Collectes, stocks protéa - FAM'!$H:$H,'Collectes, stocks protéa - FAM'!$A:$A,$B$20,'Collectes, stocks protéa - FAM'!$C:$C,E20,'Collectes, stocks protéa - FAM'!$D:$D,6)/10^3</f>
        <v>3.3956999999999997</v>
      </c>
    </row>
    <row r="25" spans="2:7">
      <c r="B25" t="s">
        <v>1176</v>
      </c>
      <c r="C25" s="911"/>
      <c r="D25" s="911"/>
      <c r="E25" s="932">
        <f>SUMIFS('Collectes, stocks protéa - FAM'!$F:$F,'Collectes, stocks protéa - FAM'!$A:$A,$B$20,'Collectes, stocks protéa - FAM'!$C:$C,E20)/10^3</f>
        <v>1.6765000000000001</v>
      </c>
    </row>
    <row r="26" spans="2:7">
      <c r="B26" t="s">
        <v>8</v>
      </c>
    </row>
    <row r="28" spans="2:7">
      <c r="B28" s="894" t="s">
        <v>127</v>
      </c>
      <c r="C28" t="s">
        <v>122</v>
      </c>
      <c r="D28" t="s">
        <v>126</v>
      </c>
      <c r="E28" t="s">
        <v>131</v>
      </c>
    </row>
    <row r="29" spans="2:7">
      <c r="B29" t="s">
        <v>1172</v>
      </c>
      <c r="C29" s="911">
        <f>'Récoltes - AGRESTE'!C21/10^4</f>
        <v>15.7334</v>
      </c>
      <c r="D29" s="911">
        <f>'Récoltes - AGRESTE'!D21/10^4</f>
        <v>51.037199999999999</v>
      </c>
      <c r="E29" s="914">
        <f>'Récoltes - AGRESTE'!E21/10^4</f>
        <v>44.390799999999999</v>
      </c>
    </row>
    <row r="30" spans="2:7">
      <c r="B30" t="s">
        <v>1173</v>
      </c>
      <c r="C30" s="911"/>
      <c r="D30" s="911"/>
      <c r="E30" s="914">
        <f>SUMIFS('Collectes, stocks protéa - FAM'!$E:$E,'Collectes, stocks protéa - FAM'!$A:$A,$B$28,'Collectes, stocks protéa - FAM'!$C:$C,E28)/10^3</f>
        <v>19.998200000000001</v>
      </c>
      <c r="G30" s="862" t="s">
        <v>1236</v>
      </c>
    </row>
    <row r="31" spans="2:7">
      <c r="B31" t="s">
        <v>1174</v>
      </c>
      <c r="C31" s="911"/>
      <c r="D31" s="911"/>
      <c r="E31" s="914">
        <f>SUMIFS('Collectes, stocks protéa - FAM'!$H:$H,'Collectes, stocks protéa - FAM'!$A:$A,$B$28,'Collectes, stocks protéa - FAM'!$C:$C,"2022/23",'Collectes, stocks protéa - FAM'!$D:$D,6)/10^3</f>
        <v>3.2496</v>
      </c>
      <c r="G31" s="862" t="s">
        <v>1237</v>
      </c>
    </row>
    <row r="32" spans="2:7">
      <c r="B32" t="s">
        <v>1175</v>
      </c>
      <c r="C32" s="911"/>
      <c r="D32" s="911"/>
      <c r="E32" s="914">
        <f>SUMIFS('Collectes, stocks protéa - FAM'!$H:$H,'Collectes, stocks protéa - FAM'!$A:$A,$B$28,'Collectes, stocks protéa - FAM'!$C:$C,E28,'Collectes, stocks protéa - FAM'!$D:$D,6)/10^3</f>
        <v>2.8066</v>
      </c>
      <c r="G32" s="862" t="s">
        <v>1237</v>
      </c>
    </row>
    <row r="33" spans="2:7">
      <c r="B33" t="s">
        <v>1176</v>
      </c>
      <c r="C33" s="858"/>
      <c r="D33" s="858"/>
      <c r="E33" s="932">
        <f>SUMIFS('Collectes, stocks protéa - FAM'!$F:$F,'Collectes, stocks protéa - FAM'!$A:$A,$B$28,'Collectes, stocks protéa - FAM'!$C:$C,E28)/10^3</f>
        <v>5.3823999999999987</v>
      </c>
      <c r="G33" s="862" t="s">
        <v>1237</v>
      </c>
    </row>
    <row r="34" spans="2:7">
      <c r="B34" t="s">
        <v>8</v>
      </c>
    </row>
    <row r="36" spans="2:7">
      <c r="B36" s="894" t="s">
        <v>85</v>
      </c>
      <c r="C36" t="s">
        <v>122</v>
      </c>
      <c r="D36" t="s">
        <v>126</v>
      </c>
      <c r="E36" t="s">
        <v>131</v>
      </c>
    </row>
    <row r="37" spans="2:7">
      <c r="B37" t="s">
        <v>1172</v>
      </c>
      <c r="C37" s="911">
        <f>'Récoltes - AGRESTE'!C17/10^4</f>
        <v>12.680899999999999</v>
      </c>
      <c r="D37" s="911">
        <f>'Récoltes - AGRESTE'!D17/10^4</f>
        <v>16.3504</v>
      </c>
      <c r="E37" s="911">
        <f>'Récoltes - AGRESTE'!E17/10^4</f>
        <v>16.170300000000001</v>
      </c>
    </row>
    <row r="40" spans="2:7">
      <c r="B40" s="894" t="s">
        <v>87</v>
      </c>
      <c r="E40" t="s">
        <v>131</v>
      </c>
    </row>
    <row r="41" spans="2:7">
      <c r="B41" t="s">
        <v>1405</v>
      </c>
      <c r="E41" s="912">
        <v>56</v>
      </c>
      <c r="F41" t="s">
        <v>1403</v>
      </c>
    </row>
    <row r="42" spans="2:7">
      <c r="B42" t="s">
        <v>1407</v>
      </c>
      <c r="E42" s="936">
        <f>(85-72)/72</f>
        <v>0.18055555555555555</v>
      </c>
      <c r="F42" t="s">
        <v>1406</v>
      </c>
    </row>
    <row r="44" spans="2:7">
      <c r="B44" s="894" t="s">
        <v>84</v>
      </c>
      <c r="E44" t="s">
        <v>131</v>
      </c>
    </row>
    <row r="45" spans="2:7">
      <c r="B45" t="s">
        <v>1405</v>
      </c>
      <c r="E45" s="912">
        <v>29</v>
      </c>
      <c r="F45" t="s">
        <v>1403</v>
      </c>
    </row>
    <row r="46" spans="2:7">
      <c r="B46" t="s">
        <v>1408</v>
      </c>
      <c r="E46" s="936">
        <f>(70-60)/70</f>
        <v>0.14285714285714285</v>
      </c>
      <c r="F46" t="s">
        <v>1406</v>
      </c>
    </row>
  </sheetData>
  <phoneticPr fontId="114"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68911-99FD-4B63-A747-B517FCBF7028}">
  <sheetPr>
    <tabColor rgb="FFFFC000"/>
  </sheetPr>
  <dimension ref="A1:S636"/>
  <sheetViews>
    <sheetView workbookViewId="0">
      <pane xSplit="2" ySplit="6" topLeftCell="C7" activePane="bottomRight" state="frozen"/>
      <selection pane="topRight"/>
      <selection pane="bottomLeft"/>
      <selection pane="bottomRight" activeCell="G20" sqref="G20"/>
    </sheetView>
  </sheetViews>
  <sheetFormatPr baseColWidth="10" defaultRowHeight="14.4"/>
  <cols>
    <col min="1" max="1" width="11.5546875" style="39"/>
    <col min="2" max="2" width="37.33203125" style="39" customWidth="1"/>
    <col min="3" max="19" width="15.6640625" style="39" customWidth="1"/>
    <col min="20" max="20" width="14.6640625" style="39" customWidth="1"/>
    <col min="21" max="16384" width="11.5546875" style="39"/>
  </cols>
  <sheetData>
    <row r="1" spans="1:19" ht="19.8">
      <c r="A1" s="38" t="s">
        <v>50</v>
      </c>
      <c r="C1" s="40"/>
      <c r="D1" s="40"/>
      <c r="E1" s="40"/>
      <c r="F1" s="40"/>
      <c r="G1" s="40"/>
      <c r="H1" s="40"/>
      <c r="I1" s="40"/>
      <c r="J1" s="40"/>
      <c r="K1" s="40"/>
      <c r="L1" s="40"/>
      <c r="M1" s="40"/>
      <c r="N1" s="40"/>
      <c r="O1" s="40"/>
      <c r="P1" s="40"/>
      <c r="Q1" s="40"/>
      <c r="R1" s="40"/>
      <c r="S1" s="40"/>
    </row>
    <row r="2" spans="1:19" ht="15.6">
      <c r="A2" s="41" t="s">
        <v>51</v>
      </c>
      <c r="C2" s="40"/>
      <c r="D2" s="40"/>
      <c r="E2" s="40"/>
      <c r="F2" s="40"/>
      <c r="G2" s="40"/>
      <c r="H2" s="40"/>
      <c r="I2" s="40"/>
      <c r="J2" s="40"/>
      <c r="K2" s="40"/>
      <c r="L2" s="40"/>
      <c r="M2" s="40"/>
      <c r="N2" s="40"/>
      <c r="O2" s="40"/>
      <c r="P2" s="40"/>
      <c r="Q2" s="40"/>
      <c r="R2" s="40"/>
      <c r="S2" s="40"/>
    </row>
    <row r="3" spans="1:19">
      <c r="A3" s="39" t="s">
        <v>52</v>
      </c>
      <c r="C3" s="40"/>
      <c r="D3" s="40"/>
      <c r="E3" s="40"/>
      <c r="F3" s="40"/>
      <c r="G3" s="40"/>
      <c r="H3" s="40"/>
      <c r="I3" s="40"/>
      <c r="J3" s="40"/>
      <c r="K3" s="40"/>
      <c r="L3" s="40"/>
      <c r="M3" s="40"/>
      <c r="N3" s="40"/>
      <c r="O3" s="40"/>
      <c r="P3" s="40"/>
      <c r="Q3" s="40"/>
      <c r="R3" s="40"/>
      <c r="S3" s="40"/>
    </row>
    <row r="4" spans="1:19">
      <c r="A4" s="39" t="s">
        <v>53</v>
      </c>
      <c r="C4" s="40"/>
      <c r="D4" s="40"/>
      <c r="E4" s="40"/>
      <c r="F4" s="40"/>
      <c r="G4" s="40"/>
      <c r="H4" s="40"/>
      <c r="I4" s="40"/>
      <c r="J4" s="40"/>
      <c r="K4" s="40"/>
      <c r="L4" s="40"/>
      <c r="M4" s="40"/>
      <c r="N4" s="40"/>
      <c r="O4" s="40"/>
      <c r="P4" s="40"/>
      <c r="Q4" s="40"/>
      <c r="R4" s="40"/>
      <c r="S4" s="40"/>
    </row>
    <row r="5" spans="1:19">
      <c r="C5" s="40"/>
      <c r="D5" s="40"/>
      <c r="E5" s="40"/>
      <c r="F5" s="40"/>
      <c r="G5" s="40" t="s">
        <v>79</v>
      </c>
      <c r="H5" s="40"/>
      <c r="I5" s="40"/>
      <c r="J5" s="40"/>
      <c r="K5" s="40"/>
      <c r="L5" s="40"/>
      <c r="M5" s="40"/>
      <c r="N5" s="40"/>
      <c r="O5" s="40"/>
      <c r="P5" s="40"/>
      <c r="Q5" s="40"/>
      <c r="R5" s="40"/>
      <c r="S5" s="40"/>
    </row>
    <row r="6" spans="1:19">
      <c r="A6" s="39" t="s">
        <v>54</v>
      </c>
      <c r="B6" s="39" t="s">
        <v>55</v>
      </c>
      <c r="C6" s="40" t="s">
        <v>56</v>
      </c>
      <c r="D6" s="40" t="s">
        <v>57</v>
      </c>
      <c r="E6" s="40" t="s">
        <v>58</v>
      </c>
      <c r="F6" s="40"/>
      <c r="G6" s="40"/>
      <c r="H6" s="40"/>
      <c r="I6" s="40"/>
      <c r="J6" s="40"/>
      <c r="K6" s="40"/>
      <c r="L6" s="40"/>
      <c r="M6" s="40"/>
      <c r="N6" s="40"/>
      <c r="O6" s="40"/>
      <c r="P6" s="40"/>
      <c r="Q6" s="40"/>
      <c r="R6" s="40"/>
      <c r="S6" s="40"/>
    </row>
    <row r="7" spans="1:19">
      <c r="A7" s="39" t="s">
        <v>59</v>
      </c>
      <c r="B7" s="39" t="s">
        <v>60</v>
      </c>
      <c r="C7" s="40">
        <v>53315085</v>
      </c>
      <c r="D7" s="40">
        <v>35165953</v>
      </c>
      <c r="E7" s="40">
        <v>42725315</v>
      </c>
      <c r="F7" s="40"/>
      <c r="G7" s="40"/>
      <c r="H7" s="40"/>
      <c r="I7" s="40"/>
      <c r="J7" s="40"/>
      <c r="K7" s="40"/>
      <c r="L7" s="40"/>
      <c r="M7" s="40"/>
      <c r="N7" s="40"/>
      <c r="O7" s="40"/>
      <c r="P7" s="40"/>
      <c r="Q7" s="40"/>
      <c r="R7" s="40"/>
      <c r="S7" s="40"/>
    </row>
    <row r="8" spans="1:19">
      <c r="A8" s="39" t="s">
        <v>59</v>
      </c>
      <c r="B8" s="39" t="s">
        <v>61</v>
      </c>
      <c r="C8" s="40">
        <v>45946</v>
      </c>
      <c r="D8" s="40">
        <v>67036</v>
      </c>
      <c r="E8" s="40">
        <v>43623</v>
      </c>
      <c r="F8" s="40"/>
      <c r="G8" s="40"/>
      <c r="H8" s="40"/>
      <c r="I8" s="40"/>
      <c r="J8" s="40"/>
      <c r="K8" s="40"/>
      <c r="L8" s="40"/>
      <c r="M8" s="40"/>
      <c r="N8" s="40"/>
      <c r="O8" s="40"/>
      <c r="P8" s="40"/>
      <c r="Q8" s="40"/>
      <c r="R8" s="40"/>
      <c r="S8" s="40"/>
    </row>
    <row r="9" spans="1:19">
      <c r="A9" s="39" t="s">
        <v>59</v>
      </c>
      <c r="B9" s="39" t="s">
        <v>62</v>
      </c>
      <c r="C9" s="40">
        <v>53361031</v>
      </c>
      <c r="D9" s="40">
        <v>35232989</v>
      </c>
      <c r="E9" s="40">
        <v>42768938</v>
      </c>
      <c r="F9" s="40"/>
      <c r="G9" s="40" t="s">
        <v>80</v>
      </c>
      <c r="H9" s="40"/>
      <c r="I9" s="40"/>
      <c r="J9" s="40"/>
      <c r="K9" s="40"/>
      <c r="L9" s="40"/>
      <c r="M9" s="40"/>
      <c r="N9" s="40"/>
      <c r="O9" s="40"/>
      <c r="P9" s="40"/>
      <c r="Q9" s="40"/>
      <c r="R9" s="40"/>
      <c r="S9" s="40"/>
    </row>
    <row r="10" spans="1:19">
      <c r="A10" s="39" t="s">
        <v>59</v>
      </c>
      <c r="B10" s="39" t="s">
        <v>63</v>
      </c>
      <c r="C10" s="40">
        <v>11911431</v>
      </c>
      <c r="D10" s="40">
        <v>12941769</v>
      </c>
      <c r="E10" s="40">
        <v>20614287</v>
      </c>
      <c r="F10" s="40"/>
      <c r="G10" s="40" t="s">
        <v>81</v>
      </c>
      <c r="H10" s="40"/>
      <c r="I10" s="40"/>
      <c r="J10" s="40"/>
      <c r="K10" s="40"/>
      <c r="L10" s="40"/>
      <c r="M10" s="40"/>
      <c r="N10" s="40"/>
      <c r="O10" s="40"/>
      <c r="P10" s="40"/>
      <c r="Q10" s="40"/>
      <c r="R10" s="40"/>
      <c r="S10" s="40"/>
    </row>
    <row r="11" spans="1:19">
      <c r="A11" s="39" t="s">
        <v>59</v>
      </c>
      <c r="B11" s="39" t="s">
        <v>64</v>
      </c>
      <c r="C11" s="40">
        <v>3404212</v>
      </c>
      <c r="D11" s="40">
        <v>4285314</v>
      </c>
      <c r="E11" s="40">
        <v>3878229</v>
      </c>
      <c r="F11" s="40"/>
      <c r="G11" s="40" t="s">
        <v>82</v>
      </c>
      <c r="H11" s="40"/>
      <c r="I11" s="40"/>
      <c r="J11" s="40"/>
      <c r="K11" s="40"/>
      <c r="L11" s="40"/>
      <c r="M11" s="40"/>
      <c r="N11" s="40"/>
      <c r="O11" s="40"/>
      <c r="P11" s="40"/>
      <c r="Q11" s="40"/>
      <c r="R11" s="40"/>
      <c r="S11" s="40"/>
    </row>
    <row r="12" spans="1:19">
      <c r="A12" s="39" t="s">
        <v>59</v>
      </c>
      <c r="B12" s="39" t="s">
        <v>65</v>
      </c>
      <c r="C12" s="40">
        <v>425936</v>
      </c>
      <c r="D12" s="40">
        <v>455313</v>
      </c>
      <c r="E12" s="40">
        <v>516892</v>
      </c>
      <c r="F12" s="40"/>
      <c r="G12" s="40" t="s">
        <v>83</v>
      </c>
      <c r="H12" s="40"/>
      <c r="I12" s="40"/>
      <c r="J12" s="40"/>
      <c r="K12" s="40"/>
      <c r="L12" s="40"/>
      <c r="M12" s="40"/>
      <c r="N12" s="40"/>
      <c r="O12" s="40"/>
      <c r="P12" s="40"/>
      <c r="Q12" s="40"/>
      <c r="R12" s="40"/>
      <c r="S12" s="40"/>
    </row>
    <row r="13" spans="1:19">
      <c r="A13" s="39" t="s">
        <v>59</v>
      </c>
      <c r="B13" s="39" t="s">
        <v>66</v>
      </c>
      <c r="C13" s="40">
        <v>154315</v>
      </c>
      <c r="D13" s="40">
        <v>131281</v>
      </c>
      <c r="E13" s="40">
        <v>266256</v>
      </c>
      <c r="F13" s="40"/>
      <c r="G13" s="40"/>
      <c r="H13" s="40"/>
      <c r="I13" s="40"/>
      <c r="J13" s="40"/>
      <c r="K13" s="40"/>
      <c r="L13" s="40"/>
      <c r="M13" s="40"/>
      <c r="N13" s="40"/>
      <c r="O13" s="40"/>
      <c r="P13" s="40"/>
      <c r="Q13" s="40"/>
      <c r="R13" s="40"/>
      <c r="S13" s="40"/>
    </row>
    <row r="14" spans="1:19">
      <c r="A14" s="39" t="s">
        <v>59</v>
      </c>
      <c r="B14" s="39" t="s">
        <v>67</v>
      </c>
      <c r="C14" s="40">
        <v>69256925</v>
      </c>
      <c r="D14" s="40">
        <v>53046666</v>
      </c>
      <c r="E14" s="40">
        <v>68044602</v>
      </c>
      <c r="F14" s="40"/>
      <c r="G14" s="40"/>
      <c r="H14" s="40"/>
      <c r="I14" s="40"/>
      <c r="J14" s="40"/>
      <c r="K14" s="40"/>
      <c r="L14" s="40"/>
      <c r="M14" s="40"/>
      <c r="N14" s="40"/>
      <c r="O14" s="40"/>
      <c r="P14" s="40"/>
      <c r="Q14" s="40"/>
      <c r="R14" s="40"/>
      <c r="S14" s="40"/>
    </row>
    <row r="15" spans="1:19">
      <c r="A15" s="39" t="s">
        <v>59</v>
      </c>
      <c r="B15" s="39" t="s">
        <v>68</v>
      </c>
      <c r="C15" s="40">
        <v>0</v>
      </c>
      <c r="D15" s="40">
        <v>0</v>
      </c>
      <c r="E15" s="40">
        <v>0</v>
      </c>
      <c r="F15" s="40"/>
      <c r="G15" s="40"/>
      <c r="H15" s="40"/>
      <c r="I15" s="40"/>
      <c r="J15" s="40"/>
      <c r="K15" s="40"/>
      <c r="L15" s="40"/>
      <c r="M15" s="40"/>
      <c r="N15" s="40"/>
      <c r="O15" s="40"/>
      <c r="P15" s="40"/>
      <c r="Q15" s="40"/>
      <c r="R15" s="40"/>
      <c r="S15" s="40"/>
    </row>
    <row r="16" spans="1:19">
      <c r="A16" s="39" t="s">
        <v>59</v>
      </c>
      <c r="B16" s="39" t="s">
        <v>69</v>
      </c>
      <c r="C16" s="40">
        <v>2501152</v>
      </c>
      <c r="D16" s="40">
        <v>1718225</v>
      </c>
      <c r="E16" s="40">
        <v>2163231</v>
      </c>
      <c r="F16" s="40"/>
      <c r="G16" s="40" t="s">
        <v>84</v>
      </c>
      <c r="H16" s="40"/>
      <c r="I16" s="40"/>
      <c r="J16" s="40"/>
      <c r="K16" s="40"/>
      <c r="L16" s="40"/>
      <c r="M16" s="40"/>
      <c r="N16" s="40"/>
      <c r="O16" s="40"/>
      <c r="P16" s="40"/>
      <c r="Q16" s="40"/>
      <c r="R16" s="40"/>
      <c r="S16" s="40"/>
    </row>
    <row r="17" spans="1:19">
      <c r="A17" s="39" t="s">
        <v>59</v>
      </c>
      <c r="B17" s="39" t="s">
        <v>70</v>
      </c>
      <c r="C17" s="40">
        <v>126809</v>
      </c>
      <c r="D17" s="40">
        <v>163504</v>
      </c>
      <c r="E17" s="40">
        <v>161703</v>
      </c>
      <c r="F17" s="40"/>
      <c r="G17" s="40" t="s">
        <v>85</v>
      </c>
      <c r="H17" s="40"/>
      <c r="I17" s="40"/>
      <c r="J17" s="40"/>
      <c r="K17" s="40"/>
      <c r="L17" s="40"/>
      <c r="M17" s="40"/>
      <c r="N17" s="40"/>
      <c r="O17" s="40"/>
      <c r="P17" s="40"/>
      <c r="Q17" s="40"/>
      <c r="R17" s="40"/>
      <c r="S17" s="40"/>
    </row>
    <row r="18" spans="1:19">
      <c r="A18" s="39" t="s">
        <v>59</v>
      </c>
      <c r="B18" s="39" t="s">
        <v>71</v>
      </c>
      <c r="C18" s="40">
        <v>234795</v>
      </c>
      <c r="D18" s="40">
        <v>483737</v>
      </c>
      <c r="E18" s="40">
        <v>329646</v>
      </c>
      <c r="F18" s="40"/>
      <c r="G18" s="40" t="s">
        <v>86</v>
      </c>
      <c r="H18" s="40"/>
      <c r="I18" s="40"/>
      <c r="J18" s="40"/>
      <c r="K18" s="40"/>
      <c r="L18" s="40"/>
      <c r="M18" s="40"/>
      <c r="N18" s="40"/>
      <c r="O18" s="40"/>
      <c r="P18" s="40"/>
      <c r="Q18" s="40"/>
      <c r="R18" s="40"/>
      <c r="S18" s="40"/>
    </row>
    <row r="19" spans="1:19">
      <c r="A19" s="39" t="s">
        <v>59</v>
      </c>
      <c r="B19" s="39" t="s">
        <v>72</v>
      </c>
      <c r="C19" s="916">
        <v>5573668</v>
      </c>
      <c r="D19" s="916">
        <v>5949078</v>
      </c>
      <c r="E19" s="916">
        <v>4851896</v>
      </c>
      <c r="F19" s="40"/>
      <c r="G19" s="40" t="s">
        <v>1402</v>
      </c>
      <c r="H19" s="40"/>
      <c r="I19" s="40"/>
      <c r="J19" s="40"/>
      <c r="K19" s="40"/>
      <c r="L19" s="40"/>
      <c r="M19" s="40"/>
      <c r="N19" s="40"/>
      <c r="O19" s="40"/>
      <c r="P19" s="40"/>
      <c r="Q19" s="40"/>
      <c r="R19" s="40"/>
      <c r="S19" s="40"/>
    </row>
    <row r="20" spans="1:19">
      <c r="A20" s="39" t="s">
        <v>59</v>
      </c>
      <c r="B20" s="39" t="s">
        <v>73</v>
      </c>
      <c r="C20" s="40">
        <v>978756</v>
      </c>
      <c r="D20" s="40">
        <v>1213925</v>
      </c>
      <c r="E20" s="40">
        <v>1936076</v>
      </c>
      <c r="F20" s="40"/>
      <c r="G20" s="40"/>
      <c r="H20" s="40"/>
      <c r="I20" s="40"/>
      <c r="J20" s="40"/>
      <c r="K20" s="40"/>
      <c r="L20" s="40"/>
      <c r="M20" s="40"/>
      <c r="N20" s="40"/>
      <c r="O20" s="40"/>
      <c r="P20" s="40"/>
      <c r="Q20" s="40"/>
      <c r="R20" s="40"/>
      <c r="S20" s="40"/>
    </row>
    <row r="21" spans="1:19">
      <c r="A21" s="39" t="s">
        <v>59</v>
      </c>
      <c r="B21" s="39" t="s">
        <v>74</v>
      </c>
      <c r="C21" s="40">
        <v>157334</v>
      </c>
      <c r="D21" s="40">
        <v>510372</v>
      </c>
      <c r="E21" s="40">
        <v>443908</v>
      </c>
      <c r="F21" s="40"/>
      <c r="G21" s="40" t="s">
        <v>88</v>
      </c>
      <c r="H21" s="40"/>
      <c r="I21" s="40"/>
      <c r="J21" s="40"/>
      <c r="K21" s="40"/>
      <c r="L21" s="40"/>
      <c r="M21" s="40"/>
      <c r="N21" s="40"/>
      <c r="O21" s="40"/>
      <c r="P21" s="40"/>
      <c r="Q21" s="40"/>
      <c r="R21" s="40"/>
      <c r="S21" s="40"/>
    </row>
    <row r="22" spans="1:19">
      <c r="A22" s="39" t="s">
        <v>59</v>
      </c>
      <c r="B22" s="39" t="s">
        <v>75</v>
      </c>
      <c r="C22" s="40">
        <v>164332</v>
      </c>
      <c r="D22" s="40">
        <v>70893</v>
      </c>
      <c r="E22" s="40">
        <v>108710</v>
      </c>
      <c r="F22" s="40"/>
      <c r="G22" s="40" t="s">
        <v>89</v>
      </c>
      <c r="H22" s="40"/>
      <c r="I22" s="40"/>
      <c r="J22" s="40"/>
      <c r="K22" s="40"/>
      <c r="L22" s="40"/>
      <c r="M22" s="40"/>
      <c r="N22" s="40"/>
      <c r="O22" s="40"/>
      <c r="P22" s="40"/>
      <c r="Q22" s="40"/>
      <c r="R22" s="40"/>
      <c r="S22" s="40"/>
    </row>
    <row r="23" spans="1:19">
      <c r="A23" s="39" t="s">
        <v>59</v>
      </c>
      <c r="B23" s="39" t="s">
        <v>76</v>
      </c>
      <c r="C23" s="40">
        <v>0</v>
      </c>
      <c r="D23" s="40">
        <v>0</v>
      </c>
      <c r="E23" s="40">
        <v>16397</v>
      </c>
      <c r="F23" s="40"/>
      <c r="G23" s="40"/>
      <c r="H23" s="40"/>
      <c r="I23" s="40"/>
      <c r="J23" s="40"/>
      <c r="K23" s="40"/>
      <c r="L23" s="40"/>
      <c r="M23" s="40"/>
      <c r="N23" s="40"/>
      <c r="O23" s="40"/>
      <c r="P23" s="40"/>
      <c r="Q23" s="40"/>
      <c r="R23" s="40"/>
      <c r="S23" s="40"/>
    </row>
    <row r="24" spans="1:19">
      <c r="A24" s="39" t="s">
        <v>59</v>
      </c>
      <c r="B24" s="39" t="s">
        <v>77</v>
      </c>
      <c r="C24" s="40">
        <v>9736846</v>
      </c>
      <c r="D24" s="40">
        <v>10109734</v>
      </c>
      <c r="E24" s="40">
        <v>10011567</v>
      </c>
      <c r="F24" s="40"/>
      <c r="G24" s="40"/>
      <c r="H24" s="40"/>
      <c r="I24" s="40"/>
      <c r="J24" s="40"/>
      <c r="K24" s="40"/>
      <c r="L24" s="40"/>
      <c r="M24" s="40"/>
      <c r="N24" s="40"/>
      <c r="O24" s="40"/>
      <c r="P24" s="40"/>
      <c r="Q24" s="40"/>
      <c r="R24" s="40"/>
      <c r="S24" s="40"/>
    </row>
    <row r="25" spans="1:19">
      <c r="A25" s="39" t="s">
        <v>78</v>
      </c>
      <c r="B25" s="39" t="s">
        <v>60</v>
      </c>
      <c r="C25" s="40">
        <v>0</v>
      </c>
      <c r="D25" s="40">
        <v>0</v>
      </c>
      <c r="E25" s="40">
        <v>0</v>
      </c>
      <c r="F25" s="40"/>
      <c r="G25" s="40"/>
      <c r="H25" s="40"/>
      <c r="I25" s="40"/>
      <c r="J25" s="40"/>
      <c r="K25" s="40"/>
      <c r="L25" s="40"/>
      <c r="M25" s="40"/>
      <c r="N25" s="40"/>
      <c r="O25" s="40"/>
      <c r="P25" s="40"/>
      <c r="Q25" s="40"/>
      <c r="R25" s="40"/>
      <c r="S25" s="40"/>
    </row>
    <row r="26" spans="1:19">
      <c r="A26" s="39" t="s">
        <v>78</v>
      </c>
      <c r="B26" s="39" t="s">
        <v>61</v>
      </c>
      <c r="C26" s="40">
        <v>0</v>
      </c>
      <c r="D26" s="40">
        <v>0</v>
      </c>
      <c r="E26" s="40">
        <v>0</v>
      </c>
      <c r="F26" s="40"/>
      <c r="G26" s="40"/>
      <c r="H26" s="40"/>
      <c r="I26" s="40"/>
      <c r="J26" s="40"/>
      <c r="K26" s="40"/>
      <c r="L26" s="40"/>
      <c r="M26" s="40"/>
      <c r="N26" s="40"/>
      <c r="O26" s="40"/>
      <c r="P26" s="40"/>
      <c r="Q26" s="40"/>
      <c r="R26" s="40"/>
      <c r="S26" s="40"/>
    </row>
    <row r="27" spans="1:19">
      <c r="A27" s="39" t="s">
        <v>78</v>
      </c>
      <c r="B27" s="39" t="s">
        <v>62</v>
      </c>
      <c r="C27" s="40">
        <v>0</v>
      </c>
      <c r="D27" s="40">
        <v>0</v>
      </c>
      <c r="E27" s="40">
        <v>0</v>
      </c>
      <c r="F27" s="40"/>
      <c r="G27" s="40"/>
      <c r="H27" s="40"/>
      <c r="I27" s="40"/>
      <c r="J27" s="40"/>
      <c r="K27" s="40"/>
      <c r="L27" s="40"/>
      <c r="M27" s="40"/>
      <c r="N27" s="40"/>
      <c r="O27" s="40"/>
      <c r="P27" s="40"/>
      <c r="Q27" s="40"/>
      <c r="R27" s="40"/>
      <c r="S27" s="40"/>
    </row>
    <row r="28" spans="1:19">
      <c r="A28" s="39" t="s">
        <v>78</v>
      </c>
      <c r="B28" s="39" t="s">
        <v>63</v>
      </c>
      <c r="C28" s="40">
        <v>0</v>
      </c>
      <c r="D28" s="40">
        <v>0</v>
      </c>
      <c r="E28" s="40">
        <v>0</v>
      </c>
      <c r="F28" s="40"/>
      <c r="G28" s="40"/>
      <c r="H28" s="40"/>
      <c r="I28" s="40"/>
      <c r="J28" s="40"/>
      <c r="K28" s="40"/>
      <c r="L28" s="40"/>
      <c r="M28" s="40"/>
      <c r="N28" s="40"/>
      <c r="O28" s="40"/>
      <c r="P28" s="40"/>
      <c r="Q28" s="40"/>
      <c r="R28" s="40"/>
      <c r="S28" s="40"/>
    </row>
    <row r="29" spans="1:19">
      <c r="A29" s="39" t="s">
        <v>78</v>
      </c>
      <c r="B29" s="39" t="s">
        <v>64</v>
      </c>
      <c r="C29" s="40">
        <v>0</v>
      </c>
      <c r="D29" s="40">
        <v>0</v>
      </c>
      <c r="E29" s="40">
        <v>0</v>
      </c>
      <c r="F29" s="40"/>
      <c r="G29" s="40"/>
      <c r="H29" s="40"/>
      <c r="I29" s="40"/>
      <c r="J29" s="40"/>
      <c r="K29" s="40"/>
      <c r="L29" s="40"/>
      <c r="M29" s="40"/>
      <c r="N29" s="40"/>
      <c r="O29" s="40"/>
      <c r="P29" s="40"/>
      <c r="Q29" s="40"/>
      <c r="R29" s="40"/>
      <c r="S29" s="40"/>
    </row>
    <row r="30" spans="1:19">
      <c r="A30" s="39" t="s">
        <v>78</v>
      </c>
      <c r="B30" s="39" t="s">
        <v>65</v>
      </c>
      <c r="C30" s="40">
        <v>0</v>
      </c>
      <c r="D30" s="40">
        <v>0</v>
      </c>
      <c r="E30" s="40">
        <v>0</v>
      </c>
      <c r="F30" s="40"/>
      <c r="G30" s="40"/>
      <c r="H30" s="40"/>
      <c r="I30" s="40"/>
      <c r="J30" s="40"/>
      <c r="K30" s="40"/>
      <c r="L30" s="40"/>
      <c r="M30" s="40"/>
      <c r="N30" s="40"/>
      <c r="O30" s="40"/>
      <c r="P30" s="40"/>
      <c r="Q30" s="40"/>
      <c r="R30" s="40"/>
      <c r="S30" s="40"/>
    </row>
    <row r="31" spans="1:19">
      <c r="A31" s="39" t="s">
        <v>78</v>
      </c>
      <c r="B31" s="39" t="s">
        <v>66</v>
      </c>
      <c r="C31" s="40">
        <v>1380</v>
      </c>
      <c r="D31" s="40">
        <v>1681</v>
      </c>
      <c r="E31" s="40">
        <v>301</v>
      </c>
      <c r="F31" s="40"/>
      <c r="G31" s="40"/>
      <c r="H31" s="40"/>
      <c r="I31" s="40"/>
      <c r="J31" s="40"/>
      <c r="K31" s="40"/>
      <c r="L31" s="40"/>
      <c r="M31" s="40"/>
      <c r="N31" s="40"/>
      <c r="O31" s="40"/>
      <c r="P31" s="40"/>
      <c r="Q31" s="40"/>
      <c r="R31" s="40"/>
      <c r="S31" s="40"/>
    </row>
    <row r="32" spans="1:19">
      <c r="A32" s="39" t="s">
        <v>78</v>
      </c>
      <c r="B32" s="39" t="s">
        <v>67</v>
      </c>
      <c r="C32" s="40">
        <v>1380</v>
      </c>
      <c r="D32" s="40">
        <v>1681</v>
      </c>
      <c r="E32" s="40">
        <v>301</v>
      </c>
      <c r="F32" s="40"/>
      <c r="G32" s="40"/>
      <c r="H32" s="40"/>
      <c r="I32" s="40"/>
      <c r="J32" s="40"/>
      <c r="K32" s="40"/>
      <c r="L32" s="40"/>
      <c r="M32" s="40"/>
      <c r="N32" s="40"/>
      <c r="O32" s="40"/>
      <c r="P32" s="40"/>
      <c r="Q32" s="40"/>
      <c r="R32" s="40"/>
      <c r="S32" s="40"/>
    </row>
    <row r="33" spans="1:19">
      <c r="A33" s="39" t="s">
        <v>78</v>
      </c>
      <c r="B33" s="39" t="s">
        <v>68</v>
      </c>
      <c r="C33" s="40">
        <v>35</v>
      </c>
      <c r="D33" s="40">
        <v>28516</v>
      </c>
      <c r="E33" s="40">
        <v>587</v>
      </c>
      <c r="F33" s="40"/>
      <c r="G33" s="40"/>
      <c r="H33" s="40"/>
      <c r="I33" s="40"/>
      <c r="J33" s="40"/>
      <c r="K33" s="40"/>
      <c r="L33" s="40"/>
      <c r="M33" s="40"/>
      <c r="N33" s="40"/>
      <c r="O33" s="40"/>
      <c r="P33" s="40"/>
      <c r="Q33" s="40"/>
      <c r="R33" s="40"/>
      <c r="S33" s="40"/>
    </row>
    <row r="34" spans="1:19">
      <c r="A34" s="39" t="s">
        <v>78</v>
      </c>
      <c r="B34" s="39" t="s">
        <v>69</v>
      </c>
      <c r="C34" s="40">
        <v>0</v>
      </c>
      <c r="D34" s="40">
        <v>0</v>
      </c>
      <c r="E34" s="40">
        <v>0</v>
      </c>
      <c r="F34" s="40"/>
      <c r="G34" s="40"/>
      <c r="H34" s="40"/>
      <c r="I34" s="40"/>
      <c r="J34" s="40"/>
      <c r="K34" s="40"/>
      <c r="L34" s="40"/>
      <c r="M34" s="40"/>
      <c r="N34" s="40"/>
      <c r="O34" s="40"/>
      <c r="P34" s="40"/>
      <c r="Q34" s="40"/>
      <c r="R34" s="40"/>
      <c r="S34" s="40"/>
    </row>
    <row r="35" spans="1:19">
      <c r="A35" s="39" t="s">
        <v>78</v>
      </c>
      <c r="B35" s="39" t="s">
        <v>70</v>
      </c>
      <c r="C35" s="40">
        <v>3538</v>
      </c>
      <c r="D35" s="40">
        <v>821</v>
      </c>
      <c r="E35" s="40">
        <v>60</v>
      </c>
      <c r="F35" s="40"/>
      <c r="G35" s="40"/>
      <c r="H35" s="40"/>
      <c r="I35" s="40"/>
      <c r="J35" s="40"/>
      <c r="K35" s="40"/>
      <c r="L35" s="40"/>
      <c r="M35" s="40"/>
      <c r="N35" s="40"/>
      <c r="O35" s="40"/>
      <c r="P35" s="40"/>
      <c r="Q35" s="40"/>
      <c r="R35" s="40"/>
      <c r="S35" s="40"/>
    </row>
    <row r="36" spans="1:19">
      <c r="A36" s="39" t="s">
        <v>78</v>
      </c>
      <c r="B36" s="39" t="s">
        <v>71</v>
      </c>
      <c r="C36" s="40">
        <v>800</v>
      </c>
      <c r="D36" s="40">
        <v>800</v>
      </c>
      <c r="E36" s="40">
        <v>500</v>
      </c>
      <c r="F36" s="40"/>
      <c r="G36" s="40"/>
      <c r="H36" s="40"/>
      <c r="I36" s="40"/>
      <c r="J36" s="40"/>
      <c r="K36" s="40"/>
      <c r="L36" s="40"/>
      <c r="M36" s="40"/>
      <c r="N36" s="40"/>
      <c r="O36" s="40"/>
      <c r="P36" s="40"/>
      <c r="Q36" s="40"/>
      <c r="R36" s="40"/>
      <c r="S36" s="40"/>
    </row>
    <row r="37" spans="1:19">
      <c r="A37" s="39" t="s">
        <v>78</v>
      </c>
      <c r="B37" s="39" t="s">
        <v>72</v>
      </c>
      <c r="C37" s="40">
        <v>0</v>
      </c>
      <c r="D37" s="40">
        <v>0</v>
      </c>
      <c r="E37" s="40">
        <v>0</v>
      </c>
      <c r="F37" s="40"/>
      <c r="G37" s="40"/>
      <c r="H37" s="40"/>
      <c r="I37" s="40"/>
      <c r="J37" s="40"/>
      <c r="K37" s="40"/>
      <c r="L37" s="40"/>
      <c r="M37" s="40"/>
      <c r="N37" s="40"/>
      <c r="O37" s="40"/>
      <c r="P37" s="40"/>
      <c r="Q37" s="40"/>
      <c r="R37" s="40"/>
      <c r="S37" s="40"/>
    </row>
    <row r="38" spans="1:19">
      <c r="A38" s="39" t="s">
        <v>78</v>
      </c>
      <c r="B38" s="39" t="s">
        <v>73</v>
      </c>
      <c r="C38" s="40">
        <v>0</v>
      </c>
      <c r="D38" s="40">
        <v>0</v>
      </c>
      <c r="E38" s="40">
        <v>0</v>
      </c>
      <c r="F38" s="40"/>
      <c r="G38" s="40"/>
      <c r="H38" s="40"/>
      <c r="I38" s="40"/>
      <c r="J38" s="40"/>
      <c r="K38" s="40"/>
      <c r="L38" s="40"/>
      <c r="M38" s="40"/>
      <c r="N38" s="40"/>
      <c r="O38" s="40"/>
      <c r="P38" s="40"/>
      <c r="Q38" s="40"/>
      <c r="R38" s="40"/>
      <c r="S38" s="40"/>
    </row>
    <row r="39" spans="1:19">
      <c r="A39" s="39" t="s">
        <v>78</v>
      </c>
      <c r="B39" s="39" t="s">
        <v>74</v>
      </c>
      <c r="C39" s="40">
        <v>18</v>
      </c>
      <c r="D39" s="40">
        <v>15</v>
      </c>
      <c r="E39" s="40">
        <v>22</v>
      </c>
      <c r="F39" s="40"/>
      <c r="G39" s="40"/>
      <c r="H39" s="40"/>
      <c r="I39" s="40"/>
      <c r="J39" s="40"/>
      <c r="K39" s="40"/>
      <c r="L39" s="40"/>
      <c r="M39" s="40"/>
      <c r="N39" s="40"/>
      <c r="O39" s="40"/>
      <c r="P39" s="40"/>
      <c r="Q39" s="40"/>
      <c r="R39" s="40"/>
      <c r="S39" s="40"/>
    </row>
    <row r="40" spans="1:19">
      <c r="A40" s="39" t="s">
        <v>78</v>
      </c>
      <c r="B40" s="39" t="s">
        <v>75</v>
      </c>
      <c r="C40" s="40">
        <v>0</v>
      </c>
      <c r="D40" s="40">
        <v>0</v>
      </c>
      <c r="E40" s="40">
        <v>0</v>
      </c>
      <c r="F40" s="40"/>
      <c r="G40" s="40"/>
      <c r="H40" s="40"/>
      <c r="I40" s="40"/>
      <c r="J40" s="40"/>
      <c r="K40" s="40"/>
      <c r="L40" s="40"/>
      <c r="M40" s="40"/>
      <c r="N40" s="40"/>
      <c r="O40" s="40"/>
      <c r="P40" s="40"/>
      <c r="Q40" s="40"/>
      <c r="R40" s="40"/>
      <c r="S40" s="40"/>
    </row>
    <row r="41" spans="1:19">
      <c r="A41" s="39" t="s">
        <v>78</v>
      </c>
      <c r="B41" s="39" t="s">
        <v>76</v>
      </c>
      <c r="C41" s="40">
        <v>0</v>
      </c>
      <c r="D41" s="40">
        <v>0</v>
      </c>
      <c r="E41" s="40">
        <v>175</v>
      </c>
      <c r="F41" s="40"/>
      <c r="G41" s="40"/>
      <c r="H41" s="40"/>
      <c r="I41" s="40"/>
      <c r="J41" s="40"/>
      <c r="K41" s="40"/>
      <c r="L41" s="40"/>
      <c r="M41" s="40"/>
      <c r="N41" s="40"/>
      <c r="O41" s="40"/>
      <c r="P41" s="40"/>
      <c r="Q41" s="40"/>
      <c r="R41" s="40"/>
      <c r="S41" s="40"/>
    </row>
    <row r="42" spans="1:19">
      <c r="A42" s="39" t="s">
        <v>78</v>
      </c>
      <c r="B42" s="39" t="s">
        <v>77</v>
      </c>
      <c r="C42" s="40">
        <v>4391</v>
      </c>
      <c r="D42" s="40">
        <v>30152</v>
      </c>
      <c r="E42" s="40">
        <v>1344</v>
      </c>
      <c r="F42" s="40"/>
      <c r="G42" s="40"/>
      <c r="H42" s="40"/>
      <c r="I42" s="40"/>
      <c r="J42" s="40"/>
      <c r="K42" s="40"/>
      <c r="L42" s="40"/>
      <c r="M42" s="40"/>
      <c r="N42" s="40"/>
      <c r="O42" s="40"/>
      <c r="P42" s="40"/>
      <c r="Q42" s="40"/>
      <c r="R42" s="40"/>
      <c r="S42" s="40"/>
    </row>
    <row r="43" spans="1:19">
      <c r="C43" s="40"/>
      <c r="D43" s="40"/>
      <c r="E43" s="40"/>
      <c r="F43" s="40"/>
      <c r="G43" s="40"/>
      <c r="H43" s="40"/>
      <c r="I43" s="40"/>
      <c r="J43" s="40"/>
      <c r="K43" s="40"/>
      <c r="L43" s="40"/>
      <c r="M43" s="40"/>
      <c r="N43" s="40"/>
      <c r="O43" s="40"/>
      <c r="P43" s="40"/>
      <c r="Q43" s="40"/>
      <c r="R43" s="40"/>
      <c r="S43" s="40"/>
    </row>
    <row r="44" spans="1:19">
      <c r="C44" s="40"/>
      <c r="D44" s="40"/>
      <c r="E44" s="40"/>
      <c r="F44" s="40"/>
      <c r="G44" s="40"/>
      <c r="H44" s="40"/>
      <c r="I44" s="40"/>
      <c r="J44" s="40"/>
      <c r="K44" s="40"/>
      <c r="L44" s="40"/>
      <c r="M44" s="40"/>
      <c r="N44" s="40"/>
      <c r="O44" s="40"/>
      <c r="P44" s="40"/>
      <c r="Q44" s="40"/>
      <c r="R44" s="40"/>
      <c r="S44" s="40"/>
    </row>
    <row r="45" spans="1:19">
      <c r="C45" s="40"/>
      <c r="D45" s="40"/>
      <c r="E45" s="40"/>
      <c r="F45" s="40"/>
      <c r="G45" s="40"/>
      <c r="H45" s="40"/>
      <c r="I45" s="40"/>
      <c r="J45" s="40"/>
      <c r="K45" s="40"/>
      <c r="L45" s="40"/>
      <c r="M45" s="40"/>
      <c r="N45" s="40"/>
      <c r="O45" s="40"/>
      <c r="P45" s="40"/>
      <c r="Q45" s="40"/>
      <c r="R45" s="40"/>
      <c r="S45" s="40"/>
    </row>
    <row r="46" spans="1:19">
      <c r="C46" s="40"/>
      <c r="D46" s="40"/>
      <c r="E46" s="40"/>
      <c r="F46" s="40"/>
      <c r="G46" s="40"/>
      <c r="H46" s="40"/>
      <c r="I46" s="40"/>
      <c r="J46" s="40"/>
      <c r="K46" s="40"/>
      <c r="L46" s="40"/>
      <c r="M46" s="40"/>
      <c r="N46" s="40"/>
      <c r="O46" s="40"/>
      <c r="P46" s="40"/>
      <c r="Q46" s="40"/>
      <c r="R46" s="40"/>
      <c r="S46" s="40"/>
    </row>
    <row r="47" spans="1:19">
      <c r="C47" s="40"/>
      <c r="D47" s="40"/>
      <c r="E47" s="40"/>
      <c r="F47" s="40"/>
      <c r="G47" s="40"/>
      <c r="H47" s="40"/>
      <c r="I47" s="40"/>
      <c r="J47" s="40"/>
      <c r="K47" s="40"/>
      <c r="L47" s="40"/>
      <c r="M47" s="40"/>
      <c r="N47" s="40"/>
      <c r="O47" s="40"/>
      <c r="P47" s="40"/>
      <c r="Q47" s="40"/>
      <c r="R47" s="40"/>
      <c r="S47" s="40"/>
    </row>
    <row r="48" spans="1:19">
      <c r="C48" s="40"/>
      <c r="D48" s="40"/>
      <c r="E48" s="40"/>
      <c r="F48" s="40"/>
      <c r="G48" s="40"/>
      <c r="H48" s="40"/>
      <c r="I48" s="40"/>
      <c r="J48" s="40"/>
      <c r="K48" s="40"/>
      <c r="L48" s="40"/>
      <c r="M48" s="40"/>
      <c r="N48" s="40"/>
      <c r="O48" s="40"/>
      <c r="P48" s="40"/>
      <c r="Q48" s="40"/>
      <c r="R48" s="40"/>
      <c r="S48" s="40"/>
    </row>
    <row r="49" spans="3:19">
      <c r="C49" s="40"/>
      <c r="D49" s="40"/>
      <c r="E49" s="40"/>
      <c r="F49" s="40"/>
      <c r="G49" s="40"/>
      <c r="H49" s="40"/>
      <c r="I49" s="40"/>
      <c r="J49" s="40"/>
      <c r="K49" s="40"/>
      <c r="L49" s="40"/>
      <c r="M49" s="40"/>
      <c r="N49" s="40"/>
      <c r="O49" s="40"/>
      <c r="P49" s="40"/>
      <c r="Q49" s="40"/>
      <c r="R49" s="40"/>
      <c r="S49" s="40"/>
    </row>
    <row r="50" spans="3:19">
      <c r="C50" s="40"/>
      <c r="D50" s="40"/>
      <c r="E50" s="40"/>
      <c r="F50" s="40"/>
      <c r="G50" s="40"/>
      <c r="H50" s="40"/>
      <c r="I50" s="40"/>
      <c r="J50" s="40"/>
      <c r="K50" s="40"/>
      <c r="L50" s="40"/>
      <c r="M50" s="40"/>
      <c r="N50" s="40"/>
      <c r="O50" s="40"/>
      <c r="P50" s="40"/>
      <c r="Q50" s="40"/>
      <c r="R50" s="40"/>
      <c r="S50" s="40"/>
    </row>
    <row r="51" spans="3:19">
      <c r="C51" s="40"/>
      <c r="D51" s="40"/>
      <c r="E51" s="40"/>
      <c r="F51" s="40"/>
      <c r="G51" s="40"/>
      <c r="H51" s="40"/>
      <c r="I51" s="40"/>
      <c r="J51" s="40"/>
      <c r="K51" s="40"/>
      <c r="L51" s="40"/>
      <c r="M51" s="40"/>
      <c r="N51" s="40"/>
      <c r="O51" s="40"/>
      <c r="P51" s="40"/>
      <c r="Q51" s="40"/>
      <c r="R51" s="40"/>
      <c r="S51" s="40"/>
    </row>
    <row r="52" spans="3:19">
      <c r="C52" s="40"/>
      <c r="D52" s="40"/>
      <c r="E52" s="40"/>
      <c r="F52" s="40"/>
      <c r="G52" s="40"/>
      <c r="H52" s="40"/>
      <c r="I52" s="40"/>
      <c r="J52" s="40"/>
      <c r="K52" s="40"/>
      <c r="L52" s="40"/>
      <c r="M52" s="40"/>
      <c r="N52" s="40"/>
      <c r="O52" s="40"/>
      <c r="P52" s="40"/>
      <c r="Q52" s="40"/>
      <c r="R52" s="40"/>
      <c r="S52" s="40"/>
    </row>
    <row r="53" spans="3:19">
      <c r="C53" s="40"/>
      <c r="D53" s="40"/>
      <c r="E53" s="40"/>
      <c r="F53" s="40"/>
      <c r="G53" s="40"/>
      <c r="H53" s="40"/>
      <c r="I53" s="40"/>
      <c r="J53" s="40"/>
      <c r="K53" s="40"/>
      <c r="L53" s="40"/>
      <c r="M53" s="40"/>
      <c r="N53" s="40"/>
      <c r="O53" s="40"/>
      <c r="P53" s="40"/>
      <c r="Q53" s="40"/>
      <c r="R53" s="40"/>
      <c r="S53" s="40"/>
    </row>
    <row r="54" spans="3:19">
      <c r="C54" s="40"/>
      <c r="D54" s="40"/>
      <c r="E54" s="40"/>
      <c r="F54" s="40"/>
      <c r="G54" s="40"/>
      <c r="H54" s="40"/>
      <c r="I54" s="40"/>
      <c r="J54" s="40"/>
      <c r="K54" s="40"/>
      <c r="L54" s="40"/>
      <c r="M54" s="40"/>
      <c r="N54" s="40"/>
      <c r="O54" s="40"/>
      <c r="P54" s="40"/>
      <c r="Q54" s="40"/>
      <c r="R54" s="40"/>
      <c r="S54" s="40"/>
    </row>
    <row r="55" spans="3:19">
      <c r="C55" s="40"/>
      <c r="D55" s="40"/>
      <c r="E55" s="40"/>
      <c r="F55" s="40"/>
      <c r="G55" s="40"/>
      <c r="H55" s="40"/>
      <c r="I55" s="40"/>
      <c r="J55" s="40"/>
      <c r="K55" s="40"/>
      <c r="L55" s="40"/>
      <c r="M55" s="40"/>
      <c r="N55" s="40"/>
      <c r="O55" s="40"/>
      <c r="P55" s="40"/>
      <c r="Q55" s="40"/>
      <c r="R55" s="40"/>
      <c r="S55" s="40"/>
    </row>
    <row r="56" spans="3:19">
      <c r="C56" s="40"/>
      <c r="D56" s="40"/>
      <c r="E56" s="40"/>
      <c r="F56" s="40"/>
      <c r="G56" s="40"/>
      <c r="H56" s="40"/>
      <c r="I56" s="40"/>
      <c r="J56" s="40"/>
      <c r="K56" s="40"/>
      <c r="L56" s="40"/>
      <c r="M56" s="40"/>
      <c r="N56" s="40"/>
      <c r="O56" s="40"/>
      <c r="P56" s="40"/>
      <c r="Q56" s="40"/>
      <c r="R56" s="40"/>
      <c r="S56" s="40"/>
    </row>
    <row r="57" spans="3:19">
      <c r="C57" s="40"/>
      <c r="D57" s="40"/>
      <c r="E57" s="40"/>
      <c r="F57" s="40"/>
      <c r="G57" s="40"/>
      <c r="H57" s="40"/>
      <c r="I57" s="40"/>
      <c r="J57" s="40"/>
      <c r="K57" s="40"/>
      <c r="L57" s="40"/>
      <c r="M57" s="40"/>
      <c r="N57" s="40"/>
      <c r="O57" s="40"/>
      <c r="P57" s="40"/>
      <c r="Q57" s="40"/>
      <c r="R57" s="40"/>
      <c r="S57" s="40"/>
    </row>
    <row r="58" spans="3:19">
      <c r="C58" s="40"/>
      <c r="D58" s="40"/>
      <c r="E58" s="40"/>
      <c r="F58" s="40"/>
      <c r="G58" s="40"/>
      <c r="H58" s="40"/>
      <c r="I58" s="40"/>
      <c r="J58" s="40"/>
      <c r="K58" s="40"/>
      <c r="L58" s="40"/>
      <c r="M58" s="40"/>
      <c r="N58" s="40"/>
      <c r="O58" s="40"/>
      <c r="P58" s="40"/>
      <c r="Q58" s="40"/>
      <c r="R58" s="40"/>
      <c r="S58" s="40"/>
    </row>
    <row r="59" spans="3:19">
      <c r="C59" s="40"/>
      <c r="D59" s="40"/>
      <c r="E59" s="40"/>
      <c r="F59" s="40"/>
      <c r="G59" s="40"/>
      <c r="H59" s="40"/>
      <c r="I59" s="40"/>
      <c r="J59" s="40"/>
      <c r="K59" s="40"/>
      <c r="L59" s="40"/>
      <c r="M59" s="40"/>
      <c r="N59" s="40"/>
      <c r="O59" s="40"/>
      <c r="P59" s="40"/>
      <c r="Q59" s="40"/>
      <c r="R59" s="40"/>
      <c r="S59" s="40"/>
    </row>
    <row r="60" spans="3:19">
      <c r="C60" s="40"/>
      <c r="D60" s="40"/>
      <c r="E60" s="40"/>
      <c r="F60" s="40"/>
      <c r="G60" s="40"/>
      <c r="H60" s="40"/>
      <c r="I60" s="40"/>
      <c r="J60" s="40"/>
      <c r="K60" s="40"/>
      <c r="L60" s="40"/>
      <c r="M60" s="40"/>
      <c r="N60" s="40"/>
      <c r="O60" s="40"/>
      <c r="P60" s="40"/>
      <c r="Q60" s="40"/>
      <c r="R60" s="40"/>
      <c r="S60" s="40"/>
    </row>
    <row r="61" spans="3:19">
      <c r="C61" s="40"/>
      <c r="D61" s="40"/>
      <c r="E61" s="40"/>
      <c r="F61" s="40"/>
      <c r="G61" s="40"/>
      <c r="H61" s="40"/>
      <c r="I61" s="40"/>
      <c r="J61" s="40"/>
      <c r="K61" s="40"/>
      <c r="L61" s="40"/>
      <c r="M61" s="40"/>
      <c r="N61" s="40"/>
      <c r="O61" s="40"/>
      <c r="P61" s="40"/>
      <c r="Q61" s="40"/>
      <c r="R61" s="40"/>
      <c r="S61" s="40"/>
    </row>
    <row r="62" spans="3:19">
      <c r="C62" s="40"/>
      <c r="D62" s="40"/>
      <c r="E62" s="40"/>
      <c r="F62" s="40"/>
      <c r="G62" s="40"/>
      <c r="H62" s="40"/>
      <c r="I62" s="40"/>
      <c r="J62" s="40"/>
      <c r="K62" s="40"/>
      <c r="L62" s="40"/>
      <c r="M62" s="40"/>
      <c r="N62" s="40"/>
      <c r="O62" s="40"/>
      <c r="P62" s="40"/>
      <c r="Q62" s="40"/>
      <c r="R62" s="40"/>
      <c r="S62" s="40"/>
    </row>
    <row r="63" spans="3:19">
      <c r="C63" s="40"/>
      <c r="D63" s="40"/>
      <c r="E63" s="40"/>
      <c r="F63" s="40"/>
      <c r="G63" s="40"/>
      <c r="H63" s="40"/>
      <c r="I63" s="40"/>
      <c r="J63" s="40"/>
      <c r="K63" s="40"/>
      <c r="L63" s="40"/>
      <c r="M63" s="40"/>
      <c r="N63" s="40"/>
      <c r="O63" s="40"/>
      <c r="P63" s="40"/>
      <c r="Q63" s="40"/>
      <c r="R63" s="40"/>
      <c r="S63" s="40"/>
    </row>
    <row r="64" spans="3:19">
      <c r="C64" s="40"/>
      <c r="D64" s="40"/>
      <c r="E64" s="40"/>
      <c r="F64" s="40"/>
      <c r="G64" s="40"/>
      <c r="H64" s="40"/>
      <c r="I64" s="40"/>
      <c r="J64" s="40"/>
      <c r="K64" s="40"/>
      <c r="L64" s="40"/>
      <c r="M64" s="40"/>
      <c r="N64" s="40"/>
      <c r="O64" s="40"/>
      <c r="P64" s="40"/>
      <c r="Q64" s="40"/>
      <c r="R64" s="40"/>
      <c r="S64" s="40"/>
    </row>
    <row r="65" spans="3:19">
      <c r="C65" s="40"/>
      <c r="D65" s="40"/>
      <c r="E65" s="40"/>
      <c r="F65" s="40"/>
      <c r="G65" s="40"/>
      <c r="H65" s="40"/>
      <c r="I65" s="40"/>
      <c r="J65" s="40"/>
      <c r="K65" s="40"/>
      <c r="L65" s="40"/>
      <c r="M65" s="40"/>
      <c r="N65" s="40"/>
      <c r="O65" s="40"/>
      <c r="P65" s="40"/>
      <c r="Q65" s="40"/>
      <c r="R65" s="40"/>
      <c r="S65" s="40"/>
    </row>
    <row r="66" spans="3:19">
      <c r="C66" s="40"/>
      <c r="D66" s="40"/>
      <c r="E66" s="40"/>
      <c r="F66" s="40"/>
      <c r="G66" s="40"/>
      <c r="H66" s="40"/>
      <c r="I66" s="40"/>
      <c r="J66" s="40"/>
      <c r="K66" s="40"/>
      <c r="L66" s="40"/>
      <c r="M66" s="40"/>
      <c r="N66" s="40"/>
      <c r="O66" s="40"/>
      <c r="P66" s="40"/>
      <c r="Q66" s="40"/>
      <c r="R66" s="40"/>
      <c r="S66" s="40"/>
    </row>
    <row r="67" spans="3:19">
      <c r="C67" s="40"/>
      <c r="D67" s="40"/>
      <c r="E67" s="40"/>
      <c r="F67" s="40"/>
      <c r="G67" s="40"/>
      <c r="H67" s="40"/>
      <c r="I67" s="40"/>
      <c r="J67" s="40"/>
      <c r="K67" s="40"/>
      <c r="L67" s="40"/>
      <c r="M67" s="40"/>
      <c r="N67" s="40"/>
      <c r="O67" s="40"/>
      <c r="P67" s="40"/>
      <c r="Q67" s="40"/>
      <c r="R67" s="40"/>
      <c r="S67" s="40"/>
    </row>
    <row r="68" spans="3:19">
      <c r="C68" s="40"/>
      <c r="D68" s="40"/>
      <c r="E68" s="40"/>
      <c r="F68" s="40"/>
      <c r="G68" s="40"/>
      <c r="H68" s="40"/>
      <c r="I68" s="40"/>
      <c r="J68" s="40"/>
      <c r="K68" s="40"/>
      <c r="L68" s="40"/>
      <c r="M68" s="40"/>
      <c r="N68" s="40"/>
      <c r="O68" s="40"/>
      <c r="P68" s="40"/>
      <c r="Q68" s="40"/>
      <c r="R68" s="40"/>
      <c r="S68" s="40"/>
    </row>
    <row r="69" spans="3:19">
      <c r="C69" s="40"/>
      <c r="D69" s="40"/>
      <c r="E69" s="40"/>
      <c r="F69" s="40"/>
      <c r="G69" s="40"/>
      <c r="H69" s="40"/>
      <c r="I69" s="40"/>
      <c r="J69" s="40"/>
      <c r="K69" s="40"/>
      <c r="L69" s="40"/>
      <c r="M69" s="40"/>
      <c r="N69" s="40"/>
      <c r="O69" s="40"/>
      <c r="P69" s="40"/>
      <c r="Q69" s="40"/>
      <c r="R69" s="40"/>
      <c r="S69" s="40"/>
    </row>
    <row r="70" spans="3:19">
      <c r="C70" s="40"/>
      <c r="D70" s="40"/>
      <c r="E70" s="40"/>
      <c r="F70" s="40"/>
      <c r="G70" s="40"/>
      <c r="H70" s="40"/>
      <c r="I70" s="40"/>
      <c r="J70" s="40"/>
      <c r="K70" s="40"/>
      <c r="L70" s="40"/>
      <c r="M70" s="40"/>
      <c r="N70" s="40"/>
      <c r="O70" s="40"/>
      <c r="P70" s="40"/>
      <c r="Q70" s="40"/>
      <c r="R70" s="40"/>
      <c r="S70" s="40"/>
    </row>
    <row r="71" spans="3:19">
      <c r="C71" s="40"/>
      <c r="D71" s="40"/>
      <c r="E71" s="40"/>
      <c r="F71" s="40"/>
      <c r="G71" s="40"/>
      <c r="H71" s="40"/>
      <c r="I71" s="40"/>
      <c r="J71" s="40"/>
      <c r="K71" s="40"/>
      <c r="L71" s="40"/>
      <c r="M71" s="40"/>
      <c r="N71" s="40"/>
      <c r="O71" s="40"/>
      <c r="P71" s="40"/>
      <c r="Q71" s="40"/>
      <c r="R71" s="40"/>
      <c r="S71" s="40"/>
    </row>
    <row r="72" spans="3:19">
      <c r="C72" s="40"/>
      <c r="D72" s="40"/>
      <c r="E72" s="40"/>
      <c r="F72" s="40"/>
      <c r="G72" s="40"/>
      <c r="H72" s="40"/>
      <c r="I72" s="40"/>
      <c r="J72" s="40"/>
      <c r="K72" s="40"/>
      <c r="L72" s="40"/>
      <c r="M72" s="40"/>
      <c r="N72" s="40"/>
      <c r="O72" s="40"/>
      <c r="P72" s="40"/>
      <c r="Q72" s="40"/>
      <c r="R72" s="40"/>
      <c r="S72" s="40"/>
    </row>
    <row r="73" spans="3:19">
      <c r="C73" s="40"/>
      <c r="D73" s="40"/>
      <c r="E73" s="40"/>
      <c r="F73" s="40"/>
      <c r="G73" s="40"/>
      <c r="H73" s="40"/>
      <c r="I73" s="40"/>
      <c r="J73" s="40"/>
      <c r="K73" s="40"/>
      <c r="L73" s="40"/>
      <c r="M73" s="40"/>
      <c r="N73" s="40"/>
      <c r="O73" s="40"/>
      <c r="P73" s="40"/>
      <c r="Q73" s="40"/>
      <c r="R73" s="40"/>
      <c r="S73" s="40"/>
    </row>
    <row r="74" spans="3:19">
      <c r="C74" s="40"/>
      <c r="D74" s="40"/>
      <c r="E74" s="40"/>
      <c r="F74" s="40"/>
      <c r="G74" s="40"/>
      <c r="H74" s="40"/>
      <c r="I74" s="40"/>
      <c r="J74" s="40"/>
      <c r="K74" s="40"/>
      <c r="L74" s="40"/>
      <c r="M74" s="40"/>
      <c r="N74" s="40"/>
      <c r="O74" s="40"/>
      <c r="P74" s="40"/>
      <c r="Q74" s="40"/>
      <c r="R74" s="40"/>
      <c r="S74" s="40"/>
    </row>
    <row r="75" spans="3:19">
      <c r="C75" s="40"/>
      <c r="D75" s="40"/>
      <c r="E75" s="40"/>
      <c r="F75" s="40"/>
      <c r="G75" s="40"/>
      <c r="H75" s="40"/>
      <c r="I75" s="40"/>
      <c r="J75" s="40"/>
      <c r="K75" s="40"/>
      <c r="L75" s="40"/>
      <c r="M75" s="40"/>
      <c r="N75" s="40"/>
      <c r="O75" s="40"/>
      <c r="P75" s="40"/>
      <c r="Q75" s="40"/>
      <c r="R75" s="40"/>
      <c r="S75" s="40"/>
    </row>
    <row r="76" spans="3:19">
      <c r="C76" s="40"/>
      <c r="D76" s="40"/>
      <c r="E76" s="40"/>
      <c r="F76" s="40"/>
      <c r="G76" s="40"/>
      <c r="H76" s="40"/>
      <c r="I76" s="40"/>
      <c r="J76" s="40"/>
      <c r="K76" s="40"/>
      <c r="L76" s="40"/>
      <c r="M76" s="40"/>
      <c r="N76" s="40"/>
      <c r="O76" s="40"/>
      <c r="P76" s="40"/>
      <c r="Q76" s="40"/>
      <c r="R76" s="40"/>
      <c r="S76" s="40"/>
    </row>
    <row r="77" spans="3:19">
      <c r="C77" s="40"/>
      <c r="D77" s="40"/>
      <c r="E77" s="40"/>
      <c r="F77" s="40"/>
      <c r="G77" s="40"/>
      <c r="H77" s="40"/>
      <c r="I77" s="40"/>
      <c r="J77" s="40"/>
      <c r="K77" s="40"/>
      <c r="L77" s="40"/>
      <c r="M77" s="40"/>
      <c r="N77" s="40"/>
      <c r="O77" s="40"/>
      <c r="P77" s="40"/>
      <c r="Q77" s="40"/>
      <c r="R77" s="40"/>
      <c r="S77" s="40"/>
    </row>
    <row r="78" spans="3:19">
      <c r="C78" s="40"/>
      <c r="D78" s="40"/>
      <c r="E78" s="40"/>
      <c r="F78" s="40"/>
      <c r="G78" s="40"/>
      <c r="H78" s="40"/>
      <c r="I78" s="40"/>
      <c r="J78" s="40"/>
      <c r="K78" s="40"/>
      <c r="L78" s="40"/>
      <c r="M78" s="40"/>
      <c r="N78" s="40"/>
      <c r="O78" s="40"/>
      <c r="P78" s="40"/>
      <c r="Q78" s="40"/>
      <c r="R78" s="40"/>
      <c r="S78" s="40"/>
    </row>
    <row r="79" spans="3:19">
      <c r="C79" s="40"/>
      <c r="D79" s="40"/>
      <c r="E79" s="40"/>
      <c r="F79" s="40"/>
      <c r="G79" s="40"/>
      <c r="H79" s="40"/>
      <c r="I79" s="40"/>
      <c r="J79" s="40"/>
      <c r="K79" s="40"/>
      <c r="L79" s="40"/>
      <c r="M79" s="40"/>
      <c r="N79" s="40"/>
      <c r="O79" s="40"/>
      <c r="P79" s="40"/>
      <c r="Q79" s="40"/>
      <c r="R79" s="40"/>
      <c r="S79" s="40"/>
    </row>
    <row r="80" spans="3:19">
      <c r="C80" s="40"/>
      <c r="D80" s="40"/>
      <c r="E80" s="40"/>
      <c r="F80" s="40"/>
      <c r="G80" s="40"/>
      <c r="H80" s="40"/>
      <c r="I80" s="40"/>
      <c r="J80" s="40"/>
      <c r="K80" s="40"/>
      <c r="L80" s="40"/>
      <c r="M80" s="40"/>
      <c r="N80" s="40"/>
      <c r="O80" s="40"/>
      <c r="P80" s="40"/>
      <c r="Q80" s="40"/>
      <c r="R80" s="40"/>
      <c r="S80" s="40"/>
    </row>
    <row r="81" spans="3:19">
      <c r="C81" s="40"/>
      <c r="D81" s="40"/>
      <c r="E81" s="40"/>
      <c r="F81" s="40"/>
      <c r="G81" s="40"/>
      <c r="H81" s="40"/>
      <c r="I81" s="40"/>
      <c r="J81" s="40"/>
      <c r="K81" s="40"/>
      <c r="L81" s="40"/>
      <c r="M81" s="40"/>
      <c r="N81" s="40"/>
      <c r="O81" s="40"/>
      <c r="P81" s="40"/>
      <c r="Q81" s="40"/>
      <c r="R81" s="40"/>
      <c r="S81" s="40"/>
    </row>
    <row r="82" spans="3:19">
      <c r="C82" s="40"/>
      <c r="D82" s="40"/>
      <c r="E82" s="40"/>
      <c r="F82" s="40"/>
      <c r="G82" s="40"/>
      <c r="H82" s="40"/>
      <c r="I82" s="40"/>
      <c r="J82" s="40"/>
      <c r="K82" s="40"/>
      <c r="L82" s="40"/>
      <c r="M82" s="40"/>
      <c r="N82" s="40"/>
      <c r="O82" s="40"/>
      <c r="P82" s="40"/>
      <c r="Q82" s="40"/>
      <c r="R82" s="40"/>
      <c r="S82" s="40"/>
    </row>
    <row r="83" spans="3:19">
      <c r="C83" s="40"/>
      <c r="D83" s="40"/>
      <c r="E83" s="40"/>
      <c r="F83" s="40"/>
      <c r="G83" s="40"/>
      <c r="H83" s="40"/>
      <c r="I83" s="40"/>
      <c r="J83" s="40"/>
      <c r="K83" s="40"/>
      <c r="L83" s="40"/>
      <c r="M83" s="40"/>
      <c r="N83" s="40"/>
      <c r="O83" s="40"/>
      <c r="P83" s="40"/>
      <c r="Q83" s="40"/>
      <c r="R83" s="40"/>
      <c r="S83" s="40"/>
    </row>
    <row r="84" spans="3:19">
      <c r="C84" s="40"/>
      <c r="D84" s="40"/>
      <c r="E84" s="40"/>
      <c r="F84" s="40"/>
      <c r="G84" s="40"/>
      <c r="H84" s="40"/>
      <c r="I84" s="40"/>
      <c r="J84" s="40"/>
      <c r="K84" s="40"/>
      <c r="L84" s="40"/>
      <c r="M84" s="40"/>
      <c r="N84" s="40"/>
      <c r="O84" s="40"/>
      <c r="P84" s="40"/>
      <c r="Q84" s="40"/>
      <c r="R84" s="40"/>
      <c r="S84" s="40"/>
    </row>
    <row r="85" spans="3:19">
      <c r="C85" s="40"/>
      <c r="D85" s="40"/>
      <c r="E85" s="40"/>
      <c r="F85" s="40"/>
      <c r="G85" s="40"/>
      <c r="H85" s="40"/>
      <c r="I85" s="40"/>
      <c r="J85" s="40"/>
      <c r="K85" s="40"/>
      <c r="L85" s="40"/>
      <c r="M85" s="40"/>
      <c r="N85" s="40"/>
      <c r="O85" s="40"/>
      <c r="P85" s="40"/>
      <c r="Q85" s="40"/>
      <c r="R85" s="40"/>
      <c r="S85" s="40"/>
    </row>
    <row r="86" spans="3:19">
      <c r="C86" s="40"/>
      <c r="D86" s="40"/>
      <c r="E86" s="40"/>
      <c r="F86" s="40"/>
      <c r="G86" s="40"/>
      <c r="H86" s="40"/>
      <c r="I86" s="40"/>
      <c r="J86" s="40"/>
      <c r="K86" s="40"/>
      <c r="L86" s="40"/>
      <c r="M86" s="40"/>
      <c r="N86" s="40"/>
      <c r="O86" s="40"/>
      <c r="P86" s="40"/>
      <c r="Q86" s="40"/>
      <c r="R86" s="40"/>
      <c r="S86" s="40"/>
    </row>
    <row r="87" spans="3:19">
      <c r="C87" s="40"/>
      <c r="D87" s="40"/>
      <c r="E87" s="40"/>
      <c r="F87" s="40"/>
      <c r="G87" s="40"/>
      <c r="H87" s="40"/>
      <c r="I87" s="40"/>
      <c r="J87" s="40"/>
      <c r="K87" s="40"/>
      <c r="L87" s="40"/>
      <c r="M87" s="40"/>
      <c r="N87" s="40"/>
      <c r="O87" s="40"/>
      <c r="P87" s="40"/>
      <c r="Q87" s="40"/>
      <c r="R87" s="40"/>
      <c r="S87" s="40"/>
    </row>
    <row r="88" spans="3:19">
      <c r="C88" s="40"/>
      <c r="D88" s="40"/>
      <c r="E88" s="40"/>
      <c r="F88" s="40"/>
      <c r="G88" s="40"/>
      <c r="H88" s="40"/>
      <c r="I88" s="40"/>
      <c r="J88" s="40"/>
      <c r="K88" s="40"/>
      <c r="L88" s="40"/>
      <c r="M88" s="40"/>
      <c r="N88" s="40"/>
      <c r="O88" s="40"/>
      <c r="P88" s="40"/>
      <c r="Q88" s="40"/>
      <c r="R88" s="40"/>
      <c r="S88" s="40"/>
    </row>
    <row r="89" spans="3:19">
      <c r="C89" s="40"/>
      <c r="D89" s="40"/>
      <c r="E89" s="40"/>
      <c r="F89" s="40"/>
      <c r="G89" s="40"/>
      <c r="H89" s="40"/>
      <c r="I89" s="40"/>
      <c r="J89" s="40"/>
      <c r="K89" s="40"/>
      <c r="L89" s="40"/>
      <c r="M89" s="40"/>
      <c r="N89" s="40"/>
      <c r="O89" s="40"/>
      <c r="P89" s="40"/>
      <c r="Q89" s="40"/>
      <c r="R89" s="40"/>
      <c r="S89" s="40"/>
    </row>
    <row r="90" spans="3:19">
      <c r="C90" s="40"/>
      <c r="D90" s="40"/>
      <c r="E90" s="40"/>
      <c r="F90" s="40"/>
      <c r="G90" s="40"/>
      <c r="H90" s="40"/>
      <c r="I90" s="40"/>
      <c r="J90" s="40"/>
      <c r="K90" s="40"/>
      <c r="L90" s="40"/>
      <c r="M90" s="40"/>
      <c r="N90" s="40"/>
      <c r="O90" s="40"/>
      <c r="P90" s="40"/>
      <c r="Q90" s="40"/>
      <c r="R90" s="40"/>
      <c r="S90" s="40"/>
    </row>
    <row r="91" spans="3:19">
      <c r="C91" s="40"/>
      <c r="D91" s="40"/>
      <c r="E91" s="40"/>
      <c r="F91" s="40"/>
      <c r="G91" s="40"/>
      <c r="H91" s="40"/>
      <c r="I91" s="40"/>
      <c r="J91" s="40"/>
      <c r="K91" s="40"/>
      <c r="L91" s="40"/>
      <c r="M91" s="40"/>
      <c r="N91" s="40"/>
      <c r="O91" s="40"/>
      <c r="P91" s="40"/>
      <c r="Q91" s="40"/>
      <c r="R91" s="40"/>
      <c r="S91" s="40"/>
    </row>
    <row r="92" spans="3:19">
      <c r="C92" s="40"/>
      <c r="D92" s="40"/>
      <c r="E92" s="40"/>
      <c r="F92" s="40"/>
      <c r="G92" s="40"/>
      <c r="H92" s="40"/>
      <c r="I92" s="40"/>
      <c r="J92" s="40"/>
      <c r="K92" s="40"/>
      <c r="L92" s="40"/>
      <c r="M92" s="40"/>
      <c r="N92" s="40"/>
      <c r="O92" s="40"/>
      <c r="P92" s="40"/>
      <c r="Q92" s="40"/>
      <c r="R92" s="40"/>
      <c r="S92" s="40"/>
    </row>
    <row r="93" spans="3:19">
      <c r="C93" s="40"/>
      <c r="D93" s="40"/>
      <c r="E93" s="40"/>
      <c r="F93" s="40"/>
      <c r="G93" s="40"/>
      <c r="H93" s="40"/>
      <c r="I93" s="40"/>
      <c r="J93" s="40"/>
      <c r="K93" s="40"/>
      <c r="L93" s="40"/>
      <c r="M93" s="40"/>
      <c r="N93" s="40"/>
      <c r="O93" s="40"/>
      <c r="P93" s="40"/>
      <c r="Q93" s="40"/>
      <c r="R93" s="40"/>
      <c r="S93" s="40"/>
    </row>
    <row r="94" spans="3:19">
      <c r="C94" s="40"/>
      <c r="D94" s="40"/>
      <c r="E94" s="40"/>
      <c r="F94" s="40"/>
      <c r="G94" s="40"/>
      <c r="H94" s="40"/>
      <c r="I94" s="40"/>
      <c r="J94" s="40"/>
      <c r="K94" s="40"/>
      <c r="L94" s="40"/>
      <c r="M94" s="40"/>
      <c r="N94" s="40"/>
      <c r="O94" s="40"/>
      <c r="P94" s="40"/>
      <c r="Q94" s="40"/>
      <c r="R94" s="40"/>
      <c r="S94" s="40"/>
    </row>
    <row r="95" spans="3:19">
      <c r="C95" s="40"/>
      <c r="D95" s="40"/>
      <c r="E95" s="40"/>
      <c r="F95" s="40"/>
      <c r="G95" s="40"/>
      <c r="H95" s="40"/>
      <c r="I95" s="40"/>
      <c r="J95" s="40"/>
      <c r="K95" s="40"/>
      <c r="L95" s="40"/>
      <c r="M95" s="40"/>
      <c r="N95" s="40"/>
      <c r="O95" s="40"/>
      <c r="P95" s="40"/>
      <c r="Q95" s="40"/>
      <c r="R95" s="40"/>
      <c r="S95" s="40"/>
    </row>
    <row r="96" spans="3:19">
      <c r="C96" s="40"/>
      <c r="D96" s="40"/>
      <c r="E96" s="40"/>
      <c r="F96" s="40"/>
      <c r="G96" s="40"/>
      <c r="H96" s="40"/>
      <c r="I96" s="40"/>
      <c r="J96" s="40"/>
      <c r="K96" s="40"/>
      <c r="L96" s="40"/>
      <c r="M96" s="40"/>
      <c r="N96" s="40"/>
      <c r="O96" s="40"/>
      <c r="P96" s="40"/>
      <c r="Q96" s="40"/>
      <c r="R96" s="40"/>
      <c r="S96" s="40"/>
    </row>
    <row r="97" spans="3:19">
      <c r="C97" s="40"/>
      <c r="D97" s="40"/>
      <c r="E97" s="40"/>
      <c r="F97" s="40"/>
      <c r="G97" s="40"/>
      <c r="H97" s="40"/>
      <c r="I97" s="40"/>
      <c r="J97" s="40"/>
      <c r="K97" s="40"/>
      <c r="L97" s="40"/>
      <c r="M97" s="40"/>
      <c r="N97" s="40"/>
      <c r="O97" s="40"/>
      <c r="P97" s="40"/>
      <c r="Q97" s="40"/>
      <c r="R97" s="40"/>
      <c r="S97" s="40"/>
    </row>
    <row r="98" spans="3:19">
      <c r="C98" s="40"/>
      <c r="D98" s="40"/>
      <c r="E98" s="40"/>
      <c r="F98" s="40"/>
      <c r="G98" s="40"/>
      <c r="H98" s="40"/>
      <c r="I98" s="40"/>
      <c r="J98" s="40"/>
      <c r="K98" s="40"/>
      <c r="L98" s="40"/>
      <c r="M98" s="40"/>
      <c r="N98" s="40"/>
      <c r="O98" s="40"/>
      <c r="P98" s="40"/>
      <c r="Q98" s="40"/>
      <c r="R98" s="40"/>
      <c r="S98" s="40"/>
    </row>
    <row r="99" spans="3:19">
      <c r="C99" s="40"/>
      <c r="D99" s="40"/>
      <c r="E99" s="40"/>
      <c r="F99" s="40"/>
      <c r="G99" s="40"/>
      <c r="H99" s="40"/>
      <c r="I99" s="40"/>
      <c r="J99" s="40"/>
      <c r="K99" s="40"/>
      <c r="L99" s="40"/>
      <c r="M99" s="40"/>
      <c r="N99" s="40"/>
      <c r="O99" s="40"/>
      <c r="P99" s="40"/>
      <c r="Q99" s="40"/>
      <c r="R99" s="40"/>
      <c r="S99" s="40"/>
    </row>
    <row r="100" spans="3:19">
      <c r="C100" s="40"/>
      <c r="D100" s="40"/>
      <c r="E100" s="40"/>
      <c r="F100" s="40"/>
      <c r="G100" s="40"/>
      <c r="H100" s="40"/>
      <c r="I100" s="40"/>
      <c r="J100" s="40"/>
      <c r="K100" s="40"/>
      <c r="L100" s="40"/>
      <c r="M100" s="40"/>
      <c r="N100" s="40"/>
      <c r="O100" s="40"/>
      <c r="P100" s="40"/>
      <c r="Q100" s="40"/>
      <c r="R100" s="40"/>
      <c r="S100" s="40"/>
    </row>
    <row r="101" spans="3:19">
      <c r="C101" s="40"/>
      <c r="D101" s="40"/>
      <c r="E101" s="40"/>
      <c r="F101" s="40"/>
      <c r="G101" s="40"/>
      <c r="H101" s="40"/>
      <c r="I101" s="40"/>
      <c r="J101" s="40"/>
      <c r="K101" s="40"/>
      <c r="L101" s="40"/>
      <c r="M101" s="40"/>
      <c r="N101" s="40"/>
      <c r="O101" s="40"/>
      <c r="P101" s="40"/>
      <c r="Q101" s="40"/>
      <c r="R101" s="40"/>
      <c r="S101" s="40"/>
    </row>
    <row r="102" spans="3:19">
      <c r="C102" s="40"/>
      <c r="D102" s="40"/>
      <c r="E102" s="40"/>
      <c r="F102" s="40"/>
      <c r="G102" s="40"/>
      <c r="H102" s="40"/>
      <c r="I102" s="40"/>
      <c r="J102" s="40"/>
      <c r="K102" s="40"/>
      <c r="L102" s="40"/>
      <c r="M102" s="40"/>
      <c r="N102" s="40"/>
      <c r="O102" s="40"/>
      <c r="P102" s="40"/>
      <c r="Q102" s="40"/>
      <c r="R102" s="40"/>
      <c r="S102" s="40"/>
    </row>
    <row r="103" spans="3:19">
      <c r="C103" s="40"/>
      <c r="D103" s="40"/>
      <c r="E103" s="40"/>
      <c r="F103" s="40"/>
      <c r="G103" s="40"/>
      <c r="H103" s="40"/>
      <c r="I103" s="40"/>
      <c r="J103" s="40"/>
      <c r="K103" s="40"/>
      <c r="L103" s="40"/>
      <c r="M103" s="40"/>
      <c r="N103" s="40"/>
      <c r="O103" s="40"/>
      <c r="P103" s="40"/>
      <c r="Q103" s="40"/>
      <c r="R103" s="40"/>
      <c r="S103" s="40"/>
    </row>
    <row r="104" spans="3:19">
      <c r="C104" s="40"/>
      <c r="D104" s="40"/>
      <c r="E104" s="40"/>
      <c r="F104" s="40"/>
      <c r="G104" s="40"/>
      <c r="H104" s="40"/>
      <c r="I104" s="40"/>
      <c r="J104" s="40"/>
      <c r="K104" s="40"/>
      <c r="L104" s="40"/>
      <c r="M104" s="40"/>
      <c r="N104" s="40"/>
      <c r="O104" s="40"/>
      <c r="P104" s="40"/>
      <c r="Q104" s="40"/>
      <c r="R104" s="40"/>
      <c r="S104" s="40"/>
    </row>
    <row r="105" spans="3:19">
      <c r="C105" s="40"/>
      <c r="D105" s="40"/>
      <c r="E105" s="40"/>
      <c r="F105" s="40"/>
      <c r="G105" s="40"/>
      <c r="H105" s="40"/>
      <c r="I105" s="40"/>
      <c r="J105" s="40"/>
      <c r="K105" s="40"/>
      <c r="L105" s="40"/>
      <c r="M105" s="40"/>
      <c r="N105" s="40"/>
      <c r="O105" s="40"/>
      <c r="P105" s="40"/>
      <c r="Q105" s="40"/>
      <c r="R105" s="40"/>
      <c r="S105" s="40"/>
    </row>
    <row r="106" spans="3:19">
      <c r="C106" s="40"/>
      <c r="D106" s="40"/>
      <c r="E106" s="40"/>
      <c r="F106" s="40"/>
      <c r="G106" s="40"/>
      <c r="H106" s="40"/>
      <c r="I106" s="40"/>
      <c r="J106" s="40"/>
      <c r="K106" s="40"/>
      <c r="L106" s="40"/>
      <c r="M106" s="40"/>
      <c r="N106" s="40"/>
      <c r="O106" s="40"/>
      <c r="P106" s="40"/>
      <c r="Q106" s="40"/>
      <c r="R106" s="40"/>
      <c r="S106" s="40"/>
    </row>
    <row r="107" spans="3:19">
      <c r="C107" s="40"/>
      <c r="D107" s="40"/>
      <c r="E107" s="40"/>
      <c r="F107" s="40"/>
      <c r="G107" s="40"/>
      <c r="H107" s="40"/>
      <c r="I107" s="40"/>
      <c r="J107" s="40"/>
      <c r="K107" s="40"/>
      <c r="L107" s="40"/>
      <c r="M107" s="40"/>
      <c r="N107" s="40"/>
      <c r="O107" s="40"/>
      <c r="P107" s="40"/>
      <c r="Q107" s="40"/>
      <c r="R107" s="40"/>
      <c r="S107" s="40"/>
    </row>
    <row r="108" spans="3:19">
      <c r="C108" s="40"/>
      <c r="D108" s="40"/>
      <c r="E108" s="40"/>
      <c r="F108" s="40"/>
      <c r="G108" s="40"/>
      <c r="H108" s="40"/>
      <c r="I108" s="40"/>
      <c r="J108" s="40"/>
      <c r="K108" s="40"/>
      <c r="L108" s="40"/>
      <c r="M108" s="40"/>
      <c r="N108" s="40"/>
      <c r="O108" s="40"/>
      <c r="P108" s="40"/>
      <c r="Q108" s="40"/>
      <c r="R108" s="40"/>
      <c r="S108" s="40"/>
    </row>
    <row r="109" spans="3:19">
      <c r="C109" s="40"/>
      <c r="D109" s="40"/>
      <c r="E109" s="40"/>
      <c r="F109" s="40"/>
      <c r="G109" s="40"/>
      <c r="H109" s="40"/>
      <c r="I109" s="40"/>
      <c r="J109" s="40"/>
      <c r="K109" s="40"/>
      <c r="L109" s="40"/>
      <c r="M109" s="40"/>
      <c r="N109" s="40"/>
      <c r="O109" s="40"/>
      <c r="P109" s="40"/>
      <c r="Q109" s="40"/>
      <c r="R109" s="40"/>
      <c r="S109" s="40"/>
    </row>
    <row r="110" spans="3:19">
      <c r="C110" s="40"/>
      <c r="D110" s="40"/>
      <c r="E110" s="40"/>
      <c r="F110" s="40"/>
      <c r="G110" s="40"/>
      <c r="H110" s="40"/>
      <c r="I110" s="40"/>
      <c r="J110" s="40"/>
      <c r="K110" s="40"/>
      <c r="L110" s="40"/>
      <c r="M110" s="40"/>
      <c r="N110" s="40"/>
      <c r="O110" s="40"/>
      <c r="P110" s="40"/>
      <c r="Q110" s="40"/>
      <c r="R110" s="40"/>
      <c r="S110" s="40"/>
    </row>
    <row r="111" spans="3:19">
      <c r="C111" s="40"/>
      <c r="D111" s="40"/>
      <c r="E111" s="40"/>
      <c r="F111" s="40"/>
      <c r="G111" s="40"/>
      <c r="H111" s="40"/>
      <c r="I111" s="40"/>
      <c r="J111" s="40"/>
      <c r="K111" s="40"/>
      <c r="L111" s="40"/>
      <c r="M111" s="40"/>
      <c r="N111" s="40"/>
      <c r="O111" s="40"/>
      <c r="P111" s="40"/>
      <c r="Q111" s="40"/>
      <c r="R111" s="40"/>
      <c r="S111" s="40"/>
    </row>
    <row r="112" spans="3:19">
      <c r="C112" s="40"/>
      <c r="D112" s="40"/>
      <c r="E112" s="40"/>
      <c r="F112" s="40"/>
      <c r="G112" s="40"/>
      <c r="H112" s="40"/>
      <c r="I112" s="40"/>
      <c r="J112" s="40"/>
      <c r="K112" s="40"/>
      <c r="L112" s="40"/>
      <c r="M112" s="40"/>
      <c r="N112" s="40"/>
      <c r="O112" s="40"/>
      <c r="P112" s="40"/>
      <c r="Q112" s="40"/>
      <c r="R112" s="40"/>
      <c r="S112" s="40"/>
    </row>
    <row r="113" spans="3:19">
      <c r="C113" s="40"/>
      <c r="D113" s="40"/>
      <c r="E113" s="40"/>
      <c r="F113" s="40"/>
      <c r="G113" s="40"/>
      <c r="H113" s="40"/>
      <c r="I113" s="40"/>
      <c r="J113" s="40"/>
      <c r="K113" s="40"/>
      <c r="L113" s="40"/>
      <c r="M113" s="40"/>
      <c r="N113" s="40"/>
      <c r="O113" s="40"/>
      <c r="P113" s="40"/>
      <c r="Q113" s="40"/>
      <c r="R113" s="40"/>
      <c r="S113" s="40"/>
    </row>
    <row r="114" spans="3:19">
      <c r="C114" s="40"/>
      <c r="D114" s="40"/>
      <c r="E114" s="40"/>
      <c r="F114" s="40"/>
      <c r="G114" s="40"/>
      <c r="H114" s="40"/>
      <c r="I114" s="40"/>
      <c r="J114" s="40"/>
      <c r="K114" s="40"/>
      <c r="L114" s="40"/>
      <c r="M114" s="40"/>
      <c r="N114" s="40"/>
      <c r="O114" s="40"/>
      <c r="P114" s="40"/>
      <c r="Q114" s="40"/>
      <c r="R114" s="40"/>
      <c r="S114" s="40"/>
    </row>
    <row r="115" spans="3:19">
      <c r="C115" s="40"/>
      <c r="D115" s="40"/>
      <c r="E115" s="40"/>
      <c r="F115" s="40"/>
      <c r="G115" s="40"/>
      <c r="H115" s="40"/>
      <c r="I115" s="40"/>
      <c r="J115" s="40"/>
      <c r="K115" s="40"/>
      <c r="L115" s="40"/>
      <c r="M115" s="40"/>
      <c r="N115" s="40"/>
      <c r="O115" s="40"/>
      <c r="P115" s="40"/>
      <c r="Q115" s="40"/>
      <c r="R115" s="40"/>
      <c r="S115" s="40"/>
    </row>
    <row r="116" spans="3:19">
      <c r="C116" s="40"/>
      <c r="D116" s="40"/>
      <c r="E116" s="40"/>
      <c r="F116" s="40"/>
      <c r="G116" s="40"/>
      <c r="H116" s="40"/>
      <c r="I116" s="40"/>
      <c r="J116" s="40"/>
      <c r="K116" s="40"/>
      <c r="L116" s="40"/>
      <c r="M116" s="40"/>
      <c r="N116" s="40"/>
      <c r="O116" s="40"/>
      <c r="P116" s="40"/>
      <c r="Q116" s="40"/>
      <c r="R116" s="40"/>
      <c r="S116" s="40"/>
    </row>
    <row r="117" spans="3:19">
      <c r="C117" s="40"/>
      <c r="D117" s="40"/>
      <c r="E117" s="40"/>
      <c r="F117" s="40"/>
      <c r="G117" s="40"/>
      <c r="H117" s="40"/>
      <c r="I117" s="40"/>
      <c r="J117" s="40"/>
      <c r="K117" s="40"/>
      <c r="L117" s="40"/>
      <c r="M117" s="40"/>
      <c r="N117" s="40"/>
      <c r="O117" s="40"/>
      <c r="P117" s="40"/>
      <c r="Q117" s="40"/>
      <c r="R117" s="40"/>
      <c r="S117" s="40"/>
    </row>
    <row r="118" spans="3:19">
      <c r="C118" s="40"/>
      <c r="D118" s="40"/>
      <c r="E118" s="40"/>
      <c r="F118" s="40"/>
      <c r="G118" s="40"/>
      <c r="H118" s="40"/>
      <c r="I118" s="40"/>
      <c r="J118" s="40"/>
      <c r="K118" s="40"/>
      <c r="L118" s="40"/>
      <c r="M118" s="40"/>
      <c r="N118" s="40"/>
      <c r="O118" s="40"/>
      <c r="P118" s="40"/>
      <c r="Q118" s="40"/>
      <c r="R118" s="40"/>
      <c r="S118" s="40"/>
    </row>
    <row r="119" spans="3:19">
      <c r="C119" s="40"/>
      <c r="D119" s="40"/>
      <c r="E119" s="40"/>
      <c r="F119" s="40"/>
      <c r="G119" s="40"/>
      <c r="H119" s="40"/>
      <c r="I119" s="40"/>
      <c r="J119" s="40"/>
      <c r="K119" s="40"/>
      <c r="L119" s="40"/>
      <c r="M119" s="40"/>
      <c r="N119" s="40"/>
      <c r="O119" s="40"/>
      <c r="P119" s="40"/>
      <c r="Q119" s="40"/>
      <c r="R119" s="40"/>
      <c r="S119" s="40"/>
    </row>
    <row r="120" spans="3:19">
      <c r="C120" s="40"/>
      <c r="D120" s="40"/>
      <c r="E120" s="40"/>
      <c r="F120" s="40"/>
      <c r="G120" s="40"/>
      <c r="H120" s="40"/>
      <c r="I120" s="40"/>
      <c r="J120" s="40"/>
      <c r="K120" s="40"/>
      <c r="L120" s="40"/>
      <c r="M120" s="40"/>
      <c r="N120" s="40"/>
      <c r="O120" s="40"/>
      <c r="P120" s="40"/>
      <c r="Q120" s="40"/>
      <c r="R120" s="40"/>
      <c r="S120" s="40"/>
    </row>
    <row r="121" spans="3:19">
      <c r="C121" s="40"/>
      <c r="D121" s="40"/>
      <c r="E121" s="40"/>
      <c r="F121" s="40"/>
      <c r="G121" s="40"/>
      <c r="H121" s="40"/>
      <c r="I121" s="40"/>
      <c r="J121" s="40"/>
      <c r="K121" s="40"/>
      <c r="L121" s="40"/>
      <c r="M121" s="40"/>
      <c r="N121" s="40"/>
      <c r="O121" s="40"/>
      <c r="P121" s="40"/>
      <c r="Q121" s="40"/>
      <c r="R121" s="40"/>
      <c r="S121" s="40"/>
    </row>
    <row r="122" spans="3:19">
      <c r="C122" s="40"/>
      <c r="D122" s="40"/>
      <c r="E122" s="40"/>
      <c r="F122" s="40"/>
      <c r="G122" s="40"/>
      <c r="H122" s="40"/>
      <c r="I122" s="40"/>
      <c r="J122" s="40"/>
      <c r="K122" s="40"/>
      <c r="L122" s="40"/>
      <c r="M122" s="40"/>
      <c r="N122" s="40"/>
      <c r="O122" s="40"/>
      <c r="P122" s="40"/>
      <c r="Q122" s="40"/>
      <c r="R122" s="40"/>
      <c r="S122" s="40"/>
    </row>
    <row r="123" spans="3:19">
      <c r="C123" s="40"/>
      <c r="D123" s="40"/>
      <c r="E123" s="40"/>
      <c r="F123" s="40"/>
      <c r="G123" s="40"/>
      <c r="H123" s="40"/>
      <c r="I123" s="40"/>
      <c r="J123" s="40"/>
      <c r="K123" s="40"/>
      <c r="L123" s="40"/>
      <c r="M123" s="40"/>
      <c r="N123" s="40"/>
      <c r="O123" s="40"/>
      <c r="P123" s="40"/>
      <c r="Q123" s="40"/>
      <c r="R123" s="40"/>
      <c r="S123" s="40"/>
    </row>
    <row r="124" spans="3:19">
      <c r="C124" s="40"/>
      <c r="D124" s="40"/>
      <c r="E124" s="40"/>
      <c r="F124" s="40"/>
      <c r="G124" s="40"/>
      <c r="H124" s="40"/>
      <c r="I124" s="40"/>
      <c r="J124" s="40"/>
      <c r="K124" s="40"/>
      <c r="L124" s="40"/>
      <c r="M124" s="40"/>
      <c r="N124" s="40"/>
      <c r="O124" s="40"/>
      <c r="P124" s="40"/>
      <c r="Q124" s="40"/>
      <c r="R124" s="40"/>
      <c r="S124" s="40"/>
    </row>
    <row r="125" spans="3:19">
      <c r="C125" s="40"/>
      <c r="D125" s="40"/>
      <c r="E125" s="40"/>
      <c r="F125" s="40"/>
      <c r="G125" s="40"/>
      <c r="H125" s="40"/>
      <c r="I125" s="40"/>
      <c r="J125" s="40"/>
      <c r="K125" s="40"/>
      <c r="L125" s="40"/>
      <c r="M125" s="40"/>
      <c r="N125" s="40"/>
      <c r="O125" s="40"/>
      <c r="P125" s="40"/>
      <c r="Q125" s="40"/>
      <c r="R125" s="40"/>
      <c r="S125" s="40"/>
    </row>
    <row r="126" spans="3:19">
      <c r="C126" s="40"/>
      <c r="D126" s="40"/>
      <c r="E126" s="40"/>
      <c r="F126" s="40"/>
      <c r="G126" s="40"/>
      <c r="H126" s="40"/>
      <c r="I126" s="40"/>
      <c r="J126" s="40"/>
      <c r="K126" s="40"/>
      <c r="L126" s="40"/>
      <c r="M126" s="40"/>
      <c r="N126" s="40"/>
      <c r="O126" s="40"/>
      <c r="P126" s="40"/>
      <c r="Q126" s="40"/>
      <c r="R126" s="40"/>
      <c r="S126" s="40"/>
    </row>
    <row r="127" spans="3:19">
      <c r="C127" s="40"/>
      <c r="D127" s="40"/>
      <c r="E127" s="40"/>
      <c r="F127" s="40"/>
      <c r="G127" s="40"/>
      <c r="H127" s="40"/>
      <c r="I127" s="40"/>
      <c r="J127" s="40"/>
      <c r="K127" s="40"/>
      <c r="L127" s="40"/>
      <c r="M127" s="40"/>
      <c r="N127" s="40"/>
      <c r="O127" s="40"/>
      <c r="P127" s="40"/>
      <c r="Q127" s="40"/>
      <c r="R127" s="40"/>
      <c r="S127" s="40"/>
    </row>
    <row r="128" spans="3:19">
      <c r="C128" s="40"/>
      <c r="D128" s="40"/>
      <c r="E128" s="40"/>
      <c r="F128" s="40"/>
      <c r="G128" s="40"/>
      <c r="H128" s="40"/>
      <c r="I128" s="40"/>
      <c r="J128" s="40"/>
      <c r="K128" s="40"/>
      <c r="L128" s="40"/>
      <c r="M128" s="40"/>
      <c r="N128" s="40"/>
      <c r="O128" s="40"/>
      <c r="P128" s="40"/>
      <c r="Q128" s="40"/>
      <c r="R128" s="40"/>
      <c r="S128" s="40"/>
    </row>
    <row r="129" spans="3:19">
      <c r="C129" s="40"/>
      <c r="D129" s="40"/>
      <c r="E129" s="40"/>
      <c r="F129" s="40"/>
      <c r="G129" s="40"/>
      <c r="H129" s="40"/>
      <c r="I129" s="40"/>
      <c r="J129" s="40"/>
      <c r="K129" s="40"/>
      <c r="L129" s="40"/>
      <c r="M129" s="40"/>
      <c r="N129" s="40"/>
      <c r="O129" s="40"/>
      <c r="P129" s="40"/>
      <c r="Q129" s="40"/>
      <c r="R129" s="40"/>
      <c r="S129" s="40"/>
    </row>
    <row r="130" spans="3:19">
      <c r="C130" s="40"/>
      <c r="D130" s="40"/>
      <c r="E130" s="40"/>
      <c r="F130" s="40"/>
      <c r="G130" s="40"/>
      <c r="H130" s="40"/>
      <c r="I130" s="40"/>
      <c r="J130" s="40"/>
      <c r="K130" s="40"/>
      <c r="L130" s="40"/>
      <c r="M130" s="40"/>
      <c r="N130" s="40"/>
      <c r="O130" s="40"/>
      <c r="P130" s="40"/>
      <c r="Q130" s="40"/>
      <c r="R130" s="40"/>
      <c r="S130" s="40"/>
    </row>
    <row r="131" spans="3:19">
      <c r="C131" s="40"/>
      <c r="D131" s="40"/>
      <c r="E131" s="40"/>
      <c r="F131" s="40"/>
      <c r="G131" s="40"/>
      <c r="H131" s="40"/>
      <c r="I131" s="40"/>
      <c r="J131" s="40"/>
      <c r="K131" s="40"/>
      <c r="L131" s="40"/>
      <c r="M131" s="40"/>
      <c r="N131" s="40"/>
      <c r="O131" s="40"/>
      <c r="P131" s="40"/>
      <c r="Q131" s="40"/>
      <c r="R131" s="40"/>
      <c r="S131" s="40"/>
    </row>
    <row r="132" spans="3:19">
      <c r="C132" s="40"/>
      <c r="D132" s="40"/>
      <c r="E132" s="40"/>
      <c r="F132" s="40"/>
      <c r="G132" s="40"/>
      <c r="H132" s="40"/>
      <c r="I132" s="40"/>
      <c r="J132" s="40"/>
      <c r="K132" s="40"/>
      <c r="L132" s="40"/>
      <c r="M132" s="40"/>
      <c r="N132" s="40"/>
      <c r="O132" s="40"/>
      <c r="P132" s="40"/>
      <c r="Q132" s="40"/>
      <c r="R132" s="40"/>
      <c r="S132" s="40"/>
    </row>
    <row r="133" spans="3:19">
      <c r="C133" s="40"/>
      <c r="D133" s="40"/>
      <c r="E133" s="40"/>
      <c r="F133" s="40"/>
      <c r="G133" s="40"/>
      <c r="H133" s="40"/>
      <c r="I133" s="40"/>
      <c r="J133" s="40"/>
      <c r="K133" s="40"/>
      <c r="L133" s="40"/>
      <c r="M133" s="40"/>
      <c r="N133" s="40"/>
      <c r="O133" s="40"/>
      <c r="P133" s="40"/>
      <c r="Q133" s="40"/>
      <c r="R133" s="40"/>
      <c r="S133" s="40"/>
    </row>
    <row r="134" spans="3:19">
      <c r="C134" s="40"/>
      <c r="D134" s="40"/>
      <c r="E134" s="40"/>
      <c r="F134" s="40"/>
      <c r="G134" s="40"/>
      <c r="H134" s="40"/>
      <c r="I134" s="40"/>
      <c r="J134" s="40"/>
      <c r="K134" s="40"/>
      <c r="L134" s="40"/>
      <c r="M134" s="40"/>
      <c r="N134" s="40"/>
      <c r="O134" s="40"/>
      <c r="P134" s="40"/>
      <c r="Q134" s="40"/>
      <c r="R134" s="40"/>
      <c r="S134" s="40"/>
    </row>
    <row r="135" spans="3:19">
      <c r="C135" s="40"/>
      <c r="D135" s="40"/>
      <c r="E135" s="40"/>
      <c r="F135" s="40"/>
      <c r="G135" s="40"/>
      <c r="H135" s="40"/>
      <c r="I135" s="40"/>
      <c r="J135" s="40"/>
      <c r="K135" s="40"/>
      <c r="L135" s="40"/>
      <c r="M135" s="40"/>
      <c r="N135" s="40"/>
      <c r="O135" s="40"/>
      <c r="P135" s="40"/>
      <c r="Q135" s="40"/>
      <c r="R135" s="40"/>
      <c r="S135" s="40"/>
    </row>
    <row r="136" spans="3:19">
      <c r="C136" s="40"/>
      <c r="D136" s="40"/>
      <c r="E136" s="40"/>
      <c r="F136" s="40"/>
      <c r="G136" s="40"/>
      <c r="H136" s="40"/>
      <c r="I136" s="40"/>
      <c r="J136" s="40"/>
      <c r="K136" s="40"/>
      <c r="L136" s="40"/>
      <c r="M136" s="40"/>
      <c r="N136" s="40"/>
      <c r="O136" s="40"/>
      <c r="P136" s="40"/>
      <c r="Q136" s="40"/>
      <c r="R136" s="40"/>
      <c r="S136" s="40"/>
    </row>
    <row r="137" spans="3:19">
      <c r="C137" s="40"/>
      <c r="D137" s="40"/>
      <c r="E137" s="40"/>
      <c r="F137" s="40"/>
      <c r="G137" s="40"/>
      <c r="H137" s="40"/>
      <c r="I137" s="40"/>
      <c r="J137" s="40"/>
      <c r="K137" s="40"/>
      <c r="L137" s="40"/>
      <c r="M137" s="40"/>
      <c r="N137" s="40"/>
      <c r="O137" s="40"/>
      <c r="P137" s="40"/>
      <c r="Q137" s="40"/>
      <c r="R137" s="40"/>
      <c r="S137" s="40"/>
    </row>
    <row r="138" spans="3:19">
      <c r="C138" s="40"/>
      <c r="D138" s="40"/>
      <c r="E138" s="40"/>
      <c r="F138" s="40"/>
      <c r="G138" s="40"/>
      <c r="H138" s="40"/>
      <c r="I138" s="40"/>
      <c r="J138" s="40"/>
      <c r="K138" s="40"/>
      <c r="L138" s="40"/>
      <c r="M138" s="40"/>
      <c r="N138" s="40"/>
      <c r="O138" s="40"/>
      <c r="P138" s="40"/>
      <c r="Q138" s="40"/>
      <c r="R138" s="40"/>
      <c r="S138" s="40"/>
    </row>
    <row r="139" spans="3:19">
      <c r="C139" s="40"/>
      <c r="D139" s="40"/>
      <c r="E139" s="40"/>
      <c r="F139" s="40"/>
      <c r="G139" s="40"/>
      <c r="H139" s="40"/>
      <c r="I139" s="40"/>
      <c r="J139" s="40"/>
      <c r="K139" s="40"/>
      <c r="L139" s="40"/>
      <c r="M139" s="40"/>
      <c r="N139" s="40"/>
      <c r="O139" s="40"/>
      <c r="P139" s="40"/>
      <c r="Q139" s="40"/>
      <c r="R139" s="40"/>
      <c r="S139" s="40"/>
    </row>
    <row r="140" spans="3:19">
      <c r="C140" s="40"/>
      <c r="D140" s="40"/>
      <c r="E140" s="40"/>
      <c r="F140" s="40"/>
      <c r="G140" s="40"/>
      <c r="H140" s="40"/>
      <c r="I140" s="40"/>
      <c r="J140" s="40"/>
      <c r="K140" s="40"/>
      <c r="L140" s="40"/>
      <c r="M140" s="40"/>
      <c r="N140" s="40"/>
      <c r="O140" s="40"/>
      <c r="P140" s="40"/>
      <c r="Q140" s="40"/>
      <c r="R140" s="40"/>
      <c r="S140" s="40"/>
    </row>
    <row r="141" spans="3:19">
      <c r="C141" s="40"/>
      <c r="D141" s="40"/>
      <c r="E141" s="40"/>
      <c r="F141" s="40"/>
      <c r="G141" s="40"/>
      <c r="H141" s="40"/>
      <c r="I141" s="40"/>
      <c r="J141" s="40"/>
      <c r="K141" s="40"/>
      <c r="L141" s="40"/>
      <c r="M141" s="40"/>
      <c r="N141" s="40"/>
      <c r="O141" s="40"/>
      <c r="P141" s="40"/>
      <c r="Q141" s="40"/>
      <c r="R141" s="40"/>
      <c r="S141" s="40"/>
    </row>
    <row r="142" spans="3:19">
      <c r="C142" s="40"/>
      <c r="D142" s="40"/>
      <c r="E142" s="40"/>
      <c r="F142" s="40"/>
      <c r="G142" s="40"/>
      <c r="H142" s="40"/>
      <c r="I142" s="40"/>
      <c r="J142" s="40"/>
      <c r="K142" s="40"/>
      <c r="L142" s="40"/>
      <c r="M142" s="40"/>
      <c r="N142" s="40"/>
      <c r="O142" s="40"/>
      <c r="P142" s="40"/>
      <c r="Q142" s="40"/>
      <c r="R142" s="40"/>
      <c r="S142" s="40"/>
    </row>
    <row r="143" spans="3:19">
      <c r="C143" s="40"/>
      <c r="D143" s="40"/>
      <c r="E143" s="40"/>
      <c r="F143" s="40"/>
      <c r="G143" s="40"/>
      <c r="H143" s="40"/>
      <c r="I143" s="40"/>
      <c r="J143" s="40"/>
      <c r="K143" s="40"/>
      <c r="L143" s="40"/>
      <c r="M143" s="40"/>
      <c r="N143" s="40"/>
      <c r="O143" s="40"/>
      <c r="P143" s="40"/>
      <c r="Q143" s="40"/>
      <c r="R143" s="40"/>
      <c r="S143" s="40"/>
    </row>
    <row r="144" spans="3:19">
      <c r="C144" s="40"/>
      <c r="D144" s="40"/>
      <c r="E144" s="40"/>
      <c r="F144" s="40"/>
      <c r="G144" s="40"/>
      <c r="H144" s="40"/>
      <c r="I144" s="40"/>
      <c r="J144" s="40"/>
      <c r="K144" s="40"/>
      <c r="L144" s="40"/>
      <c r="M144" s="40"/>
      <c r="N144" s="40"/>
      <c r="O144" s="40"/>
      <c r="P144" s="40"/>
      <c r="Q144" s="40"/>
      <c r="R144" s="40"/>
      <c r="S144" s="40"/>
    </row>
    <row r="145" spans="3:19">
      <c r="C145" s="40"/>
      <c r="D145" s="40"/>
      <c r="E145" s="40"/>
      <c r="F145" s="40"/>
      <c r="G145" s="40"/>
      <c r="H145" s="40"/>
      <c r="I145" s="40"/>
      <c r="J145" s="40"/>
      <c r="K145" s="40"/>
      <c r="L145" s="40"/>
      <c r="M145" s="40"/>
      <c r="N145" s="40"/>
      <c r="O145" s="40"/>
      <c r="P145" s="40"/>
      <c r="Q145" s="40"/>
      <c r="R145" s="40"/>
      <c r="S145" s="40"/>
    </row>
    <row r="146" spans="3:19">
      <c r="C146" s="40"/>
      <c r="D146" s="40"/>
      <c r="E146" s="40"/>
      <c r="F146" s="40"/>
      <c r="G146" s="40"/>
      <c r="H146" s="40"/>
      <c r="I146" s="40"/>
      <c r="J146" s="40"/>
      <c r="K146" s="40"/>
      <c r="L146" s="40"/>
      <c r="M146" s="40"/>
      <c r="N146" s="40"/>
      <c r="O146" s="40"/>
      <c r="P146" s="40"/>
      <c r="Q146" s="40"/>
      <c r="R146" s="40"/>
      <c r="S146" s="40"/>
    </row>
    <row r="147" spans="3:19">
      <c r="C147" s="40"/>
      <c r="D147" s="40"/>
      <c r="E147" s="40"/>
      <c r="F147" s="40"/>
      <c r="G147" s="40"/>
      <c r="H147" s="40"/>
      <c r="I147" s="40"/>
      <c r="J147" s="40"/>
      <c r="K147" s="40"/>
      <c r="L147" s="40"/>
      <c r="M147" s="40"/>
      <c r="N147" s="40"/>
      <c r="O147" s="40"/>
      <c r="P147" s="40"/>
      <c r="Q147" s="40"/>
      <c r="R147" s="40"/>
      <c r="S147" s="40"/>
    </row>
    <row r="148" spans="3:19">
      <c r="C148" s="40"/>
      <c r="D148" s="40"/>
      <c r="E148" s="40"/>
      <c r="F148" s="40"/>
      <c r="G148" s="40"/>
      <c r="H148" s="40"/>
      <c r="I148" s="40"/>
      <c r="J148" s="40"/>
      <c r="K148" s="40"/>
      <c r="L148" s="40"/>
      <c r="M148" s="40"/>
      <c r="N148" s="40"/>
      <c r="O148" s="40"/>
      <c r="P148" s="40"/>
      <c r="Q148" s="40"/>
      <c r="R148" s="40"/>
      <c r="S148" s="40"/>
    </row>
    <row r="149" spans="3:19">
      <c r="C149" s="40"/>
      <c r="D149" s="40"/>
      <c r="E149" s="40"/>
      <c r="F149" s="40"/>
      <c r="G149" s="40"/>
      <c r="H149" s="40"/>
      <c r="I149" s="40"/>
      <c r="J149" s="40"/>
      <c r="K149" s="40"/>
      <c r="L149" s="40"/>
      <c r="M149" s="40"/>
      <c r="N149" s="40"/>
      <c r="O149" s="40"/>
      <c r="P149" s="40"/>
      <c r="Q149" s="40"/>
      <c r="R149" s="40"/>
      <c r="S149" s="40"/>
    </row>
    <row r="150" spans="3:19">
      <c r="C150" s="40"/>
      <c r="D150" s="40"/>
      <c r="E150" s="40"/>
      <c r="F150" s="40"/>
      <c r="G150" s="40"/>
      <c r="H150" s="40"/>
      <c r="I150" s="40"/>
      <c r="J150" s="40"/>
      <c r="K150" s="40"/>
      <c r="L150" s="40"/>
      <c r="M150" s="40"/>
      <c r="N150" s="40"/>
      <c r="O150" s="40"/>
      <c r="P150" s="40"/>
      <c r="Q150" s="40"/>
      <c r="R150" s="40"/>
      <c r="S150" s="40"/>
    </row>
    <row r="151" spans="3:19">
      <c r="C151" s="40"/>
      <c r="D151" s="40"/>
      <c r="E151" s="40"/>
      <c r="F151" s="40"/>
      <c r="G151" s="40"/>
      <c r="H151" s="40"/>
      <c r="I151" s="40"/>
      <c r="J151" s="40"/>
      <c r="K151" s="40"/>
      <c r="L151" s="40"/>
      <c r="M151" s="40"/>
      <c r="N151" s="40"/>
      <c r="O151" s="40"/>
      <c r="P151" s="40"/>
      <c r="Q151" s="40"/>
      <c r="R151" s="40"/>
      <c r="S151" s="40"/>
    </row>
    <row r="152" spans="3:19">
      <c r="C152" s="40"/>
      <c r="D152" s="40"/>
      <c r="E152" s="40"/>
      <c r="F152" s="40"/>
      <c r="G152" s="40"/>
      <c r="H152" s="40"/>
      <c r="I152" s="40"/>
      <c r="J152" s="40"/>
      <c r="K152" s="40"/>
      <c r="L152" s="40"/>
      <c r="M152" s="40"/>
      <c r="N152" s="40"/>
      <c r="O152" s="40"/>
      <c r="P152" s="40"/>
      <c r="Q152" s="40"/>
      <c r="R152" s="40"/>
      <c r="S152" s="40"/>
    </row>
    <row r="153" spans="3:19">
      <c r="C153" s="40"/>
      <c r="D153" s="40"/>
      <c r="E153" s="40"/>
      <c r="F153" s="40"/>
      <c r="G153" s="40"/>
      <c r="H153" s="40"/>
      <c r="I153" s="40"/>
      <c r="J153" s="40"/>
      <c r="K153" s="40"/>
      <c r="L153" s="40"/>
      <c r="M153" s="40"/>
      <c r="N153" s="40"/>
      <c r="O153" s="40"/>
      <c r="P153" s="40"/>
      <c r="Q153" s="40"/>
      <c r="R153" s="40"/>
      <c r="S153" s="40"/>
    </row>
    <row r="154" spans="3:19">
      <c r="C154" s="40"/>
      <c r="D154" s="40"/>
      <c r="E154" s="40"/>
      <c r="F154" s="40"/>
      <c r="G154" s="40"/>
      <c r="H154" s="40"/>
      <c r="I154" s="40"/>
      <c r="J154" s="40"/>
      <c r="K154" s="40"/>
      <c r="L154" s="40"/>
      <c r="M154" s="40"/>
      <c r="N154" s="40"/>
      <c r="O154" s="40"/>
      <c r="P154" s="40"/>
      <c r="Q154" s="40"/>
      <c r="R154" s="40"/>
      <c r="S154" s="40"/>
    </row>
    <row r="155" spans="3:19">
      <c r="C155" s="40"/>
      <c r="D155" s="40"/>
      <c r="E155" s="40"/>
      <c r="F155" s="40"/>
      <c r="G155" s="40"/>
      <c r="H155" s="40"/>
      <c r="I155" s="40"/>
      <c r="J155" s="40"/>
      <c r="K155" s="40"/>
      <c r="L155" s="40"/>
      <c r="M155" s="40"/>
      <c r="N155" s="40"/>
      <c r="O155" s="40"/>
      <c r="P155" s="40"/>
      <c r="Q155" s="40"/>
      <c r="R155" s="40"/>
      <c r="S155" s="40"/>
    </row>
    <row r="156" spans="3:19">
      <c r="C156" s="40"/>
      <c r="D156" s="40"/>
      <c r="E156" s="40"/>
      <c r="F156" s="40"/>
      <c r="G156" s="40"/>
      <c r="H156" s="40"/>
      <c r="I156" s="40"/>
      <c r="J156" s="40"/>
      <c r="K156" s="40"/>
      <c r="L156" s="40"/>
      <c r="M156" s="40"/>
      <c r="N156" s="40"/>
      <c r="O156" s="40"/>
      <c r="P156" s="40"/>
      <c r="Q156" s="40"/>
      <c r="R156" s="40"/>
      <c r="S156" s="40"/>
    </row>
    <row r="157" spans="3:19">
      <c r="C157" s="40"/>
      <c r="D157" s="40"/>
      <c r="E157" s="40"/>
      <c r="F157" s="40"/>
      <c r="G157" s="40"/>
      <c r="H157" s="40"/>
      <c r="I157" s="40"/>
      <c r="J157" s="40"/>
      <c r="K157" s="40"/>
      <c r="L157" s="40"/>
      <c r="M157" s="40"/>
      <c r="N157" s="40"/>
      <c r="O157" s="40"/>
      <c r="P157" s="40"/>
      <c r="Q157" s="40"/>
      <c r="R157" s="40"/>
      <c r="S157" s="40"/>
    </row>
    <row r="158" spans="3:19">
      <c r="C158" s="40"/>
      <c r="D158" s="40"/>
      <c r="E158" s="40"/>
      <c r="F158" s="40"/>
      <c r="G158" s="40"/>
      <c r="H158" s="40"/>
      <c r="I158" s="40"/>
      <c r="J158" s="40"/>
      <c r="K158" s="40"/>
      <c r="L158" s="40"/>
      <c r="M158" s="40"/>
      <c r="N158" s="40"/>
      <c r="O158" s="40"/>
      <c r="P158" s="40"/>
      <c r="Q158" s="40"/>
      <c r="R158" s="40"/>
      <c r="S158" s="40"/>
    </row>
    <row r="159" spans="3:19">
      <c r="C159" s="40"/>
      <c r="D159" s="40"/>
      <c r="E159" s="40"/>
      <c r="F159" s="40"/>
      <c r="G159" s="40"/>
      <c r="H159" s="40"/>
      <c r="I159" s="40"/>
      <c r="J159" s="40"/>
      <c r="K159" s="40"/>
      <c r="L159" s="40"/>
      <c r="M159" s="40"/>
      <c r="N159" s="40"/>
      <c r="O159" s="40"/>
      <c r="P159" s="40"/>
      <c r="Q159" s="40"/>
      <c r="R159" s="40"/>
      <c r="S159" s="40"/>
    </row>
    <row r="160" spans="3:19">
      <c r="C160" s="40"/>
      <c r="D160" s="40"/>
      <c r="E160" s="40"/>
      <c r="F160" s="40"/>
      <c r="G160" s="40"/>
      <c r="H160" s="40"/>
      <c r="I160" s="40"/>
      <c r="J160" s="40"/>
      <c r="K160" s="40"/>
      <c r="L160" s="40"/>
      <c r="M160" s="40"/>
      <c r="N160" s="40"/>
      <c r="O160" s="40"/>
      <c r="P160" s="40"/>
      <c r="Q160" s="40"/>
      <c r="R160" s="40"/>
      <c r="S160" s="40"/>
    </row>
    <row r="161" spans="3:19">
      <c r="C161" s="40"/>
      <c r="D161" s="40"/>
      <c r="E161" s="40"/>
      <c r="F161" s="40"/>
      <c r="G161" s="40"/>
      <c r="H161" s="40"/>
      <c r="I161" s="40"/>
      <c r="J161" s="40"/>
      <c r="K161" s="40"/>
      <c r="L161" s="40"/>
      <c r="M161" s="40"/>
      <c r="N161" s="40"/>
      <c r="O161" s="40"/>
      <c r="P161" s="40"/>
      <c r="Q161" s="40"/>
      <c r="R161" s="40"/>
      <c r="S161" s="40"/>
    </row>
    <row r="162" spans="3:19">
      <c r="C162" s="40"/>
      <c r="D162" s="40"/>
      <c r="E162" s="40"/>
      <c r="F162" s="40"/>
      <c r="G162" s="40"/>
      <c r="H162" s="40"/>
      <c r="I162" s="40"/>
      <c r="J162" s="40"/>
      <c r="K162" s="40"/>
      <c r="L162" s="40"/>
      <c r="M162" s="40"/>
      <c r="N162" s="40"/>
      <c r="O162" s="40"/>
      <c r="P162" s="40"/>
      <c r="Q162" s="40"/>
      <c r="R162" s="40"/>
      <c r="S162" s="40"/>
    </row>
    <row r="163" spans="3:19">
      <c r="C163" s="40"/>
      <c r="D163" s="40"/>
      <c r="E163" s="40"/>
      <c r="F163" s="40"/>
      <c r="G163" s="40"/>
      <c r="H163" s="40"/>
      <c r="I163" s="40"/>
      <c r="J163" s="40"/>
      <c r="K163" s="40"/>
      <c r="L163" s="40"/>
      <c r="M163" s="40"/>
      <c r="N163" s="40"/>
      <c r="O163" s="40"/>
      <c r="P163" s="40"/>
      <c r="Q163" s="40"/>
      <c r="R163" s="40"/>
      <c r="S163" s="40"/>
    </row>
    <row r="164" spans="3:19">
      <c r="C164" s="40"/>
      <c r="D164" s="40"/>
      <c r="E164" s="40"/>
      <c r="F164" s="40"/>
      <c r="G164" s="40"/>
      <c r="H164" s="40"/>
      <c r="I164" s="40"/>
      <c r="J164" s="40"/>
      <c r="K164" s="40"/>
      <c r="L164" s="40"/>
      <c r="M164" s="40"/>
      <c r="N164" s="40"/>
      <c r="O164" s="40"/>
      <c r="P164" s="40"/>
      <c r="Q164" s="40"/>
      <c r="R164" s="40"/>
      <c r="S164" s="40"/>
    </row>
    <row r="165" spans="3:19">
      <c r="C165" s="40"/>
      <c r="D165" s="40"/>
      <c r="E165" s="40"/>
      <c r="F165" s="40"/>
      <c r="G165" s="40"/>
      <c r="H165" s="40"/>
      <c r="I165" s="40"/>
      <c r="J165" s="40"/>
      <c r="K165" s="40"/>
      <c r="L165" s="40"/>
      <c r="M165" s="40"/>
      <c r="N165" s="40"/>
      <c r="O165" s="40"/>
      <c r="P165" s="40"/>
      <c r="Q165" s="40"/>
      <c r="R165" s="40"/>
      <c r="S165" s="40"/>
    </row>
    <row r="166" spans="3:19">
      <c r="C166" s="40"/>
      <c r="D166" s="40"/>
      <c r="E166" s="40"/>
      <c r="F166" s="40"/>
      <c r="G166" s="40"/>
      <c r="H166" s="40"/>
      <c r="I166" s="40"/>
      <c r="J166" s="40"/>
      <c r="K166" s="40"/>
      <c r="L166" s="40"/>
      <c r="M166" s="40"/>
      <c r="N166" s="40"/>
      <c r="O166" s="40"/>
      <c r="P166" s="40"/>
      <c r="Q166" s="40"/>
      <c r="R166" s="40"/>
      <c r="S166" s="40"/>
    </row>
    <row r="167" spans="3:19">
      <c r="C167" s="40"/>
      <c r="D167" s="40"/>
      <c r="E167" s="40"/>
      <c r="F167" s="40"/>
      <c r="G167" s="40"/>
      <c r="H167" s="40"/>
      <c r="I167" s="40"/>
      <c r="J167" s="40"/>
      <c r="K167" s="40"/>
      <c r="L167" s="40"/>
      <c r="M167" s="40"/>
      <c r="N167" s="40"/>
      <c r="O167" s="40"/>
      <c r="P167" s="40"/>
      <c r="Q167" s="40"/>
      <c r="R167" s="40"/>
      <c r="S167" s="40"/>
    </row>
    <row r="168" spans="3:19">
      <c r="C168" s="40"/>
      <c r="D168" s="40"/>
      <c r="E168" s="40"/>
      <c r="F168" s="40"/>
      <c r="G168" s="40"/>
      <c r="H168" s="40"/>
      <c r="I168" s="40"/>
      <c r="J168" s="40"/>
      <c r="K168" s="40"/>
      <c r="L168" s="40"/>
      <c r="M168" s="40"/>
      <c r="N168" s="40"/>
      <c r="O168" s="40"/>
      <c r="P168" s="40"/>
      <c r="Q168" s="40"/>
      <c r="R168" s="40"/>
      <c r="S168" s="40"/>
    </row>
    <row r="169" spans="3:19">
      <c r="C169" s="40"/>
      <c r="D169" s="40"/>
      <c r="E169" s="40"/>
      <c r="F169" s="40"/>
      <c r="G169" s="40"/>
      <c r="H169" s="40"/>
      <c r="I169" s="40"/>
      <c r="J169" s="40"/>
      <c r="K169" s="40"/>
      <c r="L169" s="40"/>
      <c r="M169" s="40"/>
      <c r="N169" s="40"/>
      <c r="O169" s="40"/>
      <c r="P169" s="40"/>
      <c r="Q169" s="40"/>
      <c r="R169" s="40"/>
      <c r="S169" s="40"/>
    </row>
    <row r="170" spans="3:19">
      <c r="C170" s="40"/>
      <c r="D170" s="40"/>
      <c r="E170" s="40"/>
      <c r="F170" s="40"/>
      <c r="G170" s="40"/>
      <c r="H170" s="40"/>
      <c r="I170" s="40"/>
      <c r="J170" s="40"/>
      <c r="K170" s="40"/>
      <c r="L170" s="40"/>
      <c r="M170" s="40"/>
      <c r="N170" s="40"/>
      <c r="O170" s="40"/>
      <c r="P170" s="40"/>
      <c r="Q170" s="40"/>
      <c r="R170" s="40"/>
      <c r="S170" s="40"/>
    </row>
    <row r="171" spans="3:19">
      <c r="C171" s="40"/>
      <c r="D171" s="40"/>
      <c r="E171" s="40"/>
      <c r="F171" s="40"/>
      <c r="G171" s="40"/>
      <c r="H171" s="40"/>
      <c r="I171" s="40"/>
      <c r="J171" s="40"/>
      <c r="K171" s="40"/>
      <c r="L171" s="40"/>
      <c r="M171" s="40"/>
      <c r="N171" s="40"/>
      <c r="O171" s="40"/>
      <c r="P171" s="40"/>
      <c r="Q171" s="40"/>
      <c r="R171" s="40"/>
      <c r="S171" s="40"/>
    </row>
    <row r="172" spans="3:19">
      <c r="C172" s="40"/>
      <c r="D172" s="40"/>
      <c r="E172" s="40"/>
      <c r="F172" s="40"/>
      <c r="G172" s="40"/>
      <c r="H172" s="40"/>
      <c r="I172" s="40"/>
      <c r="J172" s="40"/>
      <c r="K172" s="40"/>
      <c r="L172" s="40"/>
      <c r="M172" s="40"/>
      <c r="N172" s="40"/>
      <c r="O172" s="40"/>
      <c r="P172" s="40"/>
      <c r="Q172" s="40"/>
      <c r="R172" s="40"/>
      <c r="S172" s="40"/>
    </row>
    <row r="173" spans="3:19">
      <c r="C173" s="40"/>
      <c r="D173" s="40"/>
      <c r="E173" s="40"/>
      <c r="F173" s="40"/>
      <c r="G173" s="40"/>
      <c r="H173" s="40"/>
      <c r="I173" s="40"/>
      <c r="J173" s="40"/>
      <c r="K173" s="40"/>
      <c r="L173" s="40"/>
      <c r="M173" s="40"/>
      <c r="N173" s="40"/>
      <c r="O173" s="40"/>
      <c r="P173" s="40"/>
      <c r="Q173" s="40"/>
      <c r="R173" s="40"/>
      <c r="S173" s="40"/>
    </row>
    <row r="174" spans="3:19">
      <c r="C174" s="40"/>
      <c r="D174" s="40"/>
      <c r="E174" s="40"/>
      <c r="F174" s="40"/>
      <c r="G174" s="40"/>
      <c r="H174" s="40"/>
      <c r="I174" s="40"/>
      <c r="J174" s="40"/>
      <c r="K174" s="40"/>
      <c r="L174" s="40"/>
      <c r="M174" s="40"/>
      <c r="N174" s="40"/>
      <c r="O174" s="40"/>
      <c r="P174" s="40"/>
      <c r="Q174" s="40"/>
      <c r="R174" s="40"/>
      <c r="S174" s="40"/>
    </row>
    <row r="175" spans="3:19">
      <c r="C175" s="40"/>
      <c r="D175" s="40"/>
      <c r="E175" s="40"/>
      <c r="F175" s="40"/>
      <c r="G175" s="40"/>
      <c r="H175" s="40"/>
      <c r="I175" s="40"/>
      <c r="J175" s="40"/>
      <c r="K175" s="40"/>
      <c r="L175" s="40"/>
      <c r="M175" s="40"/>
      <c r="N175" s="40"/>
      <c r="O175" s="40"/>
      <c r="P175" s="40"/>
      <c r="Q175" s="40"/>
      <c r="R175" s="40"/>
      <c r="S175" s="40"/>
    </row>
    <row r="176" spans="3:19">
      <c r="C176" s="40"/>
      <c r="D176" s="40"/>
      <c r="E176" s="40"/>
      <c r="F176" s="40"/>
      <c r="G176" s="40"/>
      <c r="H176" s="40"/>
      <c r="I176" s="40"/>
      <c r="J176" s="40"/>
      <c r="K176" s="40"/>
      <c r="L176" s="40"/>
      <c r="M176" s="40"/>
      <c r="N176" s="40"/>
      <c r="O176" s="40"/>
      <c r="P176" s="40"/>
      <c r="Q176" s="40"/>
      <c r="R176" s="40"/>
      <c r="S176" s="40"/>
    </row>
    <row r="177" spans="3:19">
      <c r="C177" s="40"/>
      <c r="D177" s="40"/>
      <c r="E177" s="40"/>
      <c r="F177" s="40"/>
      <c r="G177" s="40"/>
      <c r="H177" s="40"/>
      <c r="I177" s="40"/>
      <c r="J177" s="40"/>
      <c r="K177" s="40"/>
      <c r="L177" s="40"/>
      <c r="M177" s="40"/>
      <c r="N177" s="40"/>
      <c r="O177" s="40"/>
      <c r="P177" s="40"/>
      <c r="Q177" s="40"/>
      <c r="R177" s="40"/>
      <c r="S177" s="40"/>
    </row>
    <row r="178" spans="3:19">
      <c r="C178" s="40"/>
      <c r="D178" s="40"/>
      <c r="E178" s="40"/>
      <c r="F178" s="40"/>
      <c r="G178" s="40"/>
      <c r="H178" s="40"/>
      <c r="I178" s="40"/>
      <c r="J178" s="40"/>
      <c r="K178" s="40"/>
      <c r="L178" s="40"/>
      <c r="M178" s="40"/>
      <c r="N178" s="40"/>
      <c r="O178" s="40"/>
      <c r="P178" s="40"/>
      <c r="Q178" s="40"/>
      <c r="R178" s="40"/>
      <c r="S178" s="40"/>
    </row>
    <row r="179" spans="3:19">
      <c r="C179" s="40"/>
      <c r="D179" s="40"/>
      <c r="E179" s="40"/>
      <c r="F179" s="40"/>
      <c r="G179" s="40"/>
      <c r="H179" s="40"/>
      <c r="I179" s="40"/>
      <c r="J179" s="40"/>
      <c r="K179" s="40"/>
      <c r="L179" s="40"/>
      <c r="M179" s="40"/>
      <c r="N179" s="40"/>
      <c r="O179" s="40"/>
      <c r="P179" s="40"/>
      <c r="Q179" s="40"/>
      <c r="R179" s="40"/>
      <c r="S179" s="40"/>
    </row>
    <row r="180" spans="3:19">
      <c r="C180" s="40"/>
      <c r="D180" s="40"/>
      <c r="E180" s="40"/>
      <c r="F180" s="40"/>
      <c r="G180" s="40"/>
      <c r="H180" s="40"/>
      <c r="I180" s="40"/>
      <c r="J180" s="40"/>
      <c r="K180" s="40"/>
      <c r="L180" s="40"/>
      <c r="M180" s="40"/>
      <c r="N180" s="40"/>
      <c r="O180" s="40"/>
      <c r="P180" s="40"/>
      <c r="Q180" s="40"/>
      <c r="R180" s="40"/>
      <c r="S180" s="40"/>
    </row>
    <row r="181" spans="3:19">
      <c r="C181" s="40"/>
      <c r="D181" s="40"/>
      <c r="E181" s="40"/>
      <c r="F181" s="40"/>
      <c r="G181" s="40"/>
      <c r="H181" s="40"/>
      <c r="I181" s="40"/>
      <c r="J181" s="40"/>
      <c r="K181" s="40"/>
      <c r="L181" s="40"/>
      <c r="M181" s="40"/>
      <c r="N181" s="40"/>
      <c r="O181" s="40"/>
      <c r="P181" s="40"/>
      <c r="Q181" s="40"/>
      <c r="R181" s="40"/>
      <c r="S181" s="40"/>
    </row>
    <row r="182" spans="3:19">
      <c r="C182" s="40"/>
      <c r="D182" s="40"/>
      <c r="E182" s="40"/>
      <c r="F182" s="40"/>
      <c r="G182" s="40"/>
      <c r="H182" s="40"/>
      <c r="I182" s="40"/>
      <c r="J182" s="40"/>
      <c r="K182" s="40"/>
      <c r="L182" s="40"/>
      <c r="M182" s="40"/>
      <c r="N182" s="40"/>
      <c r="O182" s="40"/>
      <c r="P182" s="40"/>
      <c r="Q182" s="40"/>
      <c r="R182" s="40"/>
      <c r="S182" s="40"/>
    </row>
    <row r="183" spans="3:19">
      <c r="C183" s="40"/>
      <c r="D183" s="40"/>
      <c r="E183" s="40"/>
      <c r="F183" s="40"/>
      <c r="G183" s="40"/>
      <c r="H183" s="40"/>
      <c r="I183" s="40"/>
      <c r="J183" s="40"/>
      <c r="K183" s="40"/>
      <c r="L183" s="40"/>
      <c r="M183" s="40"/>
      <c r="N183" s="40"/>
      <c r="O183" s="40"/>
      <c r="P183" s="40"/>
      <c r="Q183" s="40"/>
      <c r="R183" s="40"/>
      <c r="S183" s="40"/>
    </row>
    <row r="184" spans="3:19">
      <c r="C184" s="40"/>
      <c r="D184" s="40"/>
      <c r="E184" s="40"/>
      <c r="F184" s="40"/>
      <c r="G184" s="40"/>
      <c r="H184" s="40"/>
      <c r="I184" s="40"/>
      <c r="J184" s="40"/>
      <c r="K184" s="40"/>
      <c r="L184" s="40"/>
      <c r="M184" s="40"/>
      <c r="N184" s="40"/>
      <c r="O184" s="40"/>
      <c r="P184" s="40"/>
      <c r="Q184" s="40"/>
      <c r="R184" s="40"/>
      <c r="S184" s="40"/>
    </row>
    <row r="185" spans="3:19">
      <c r="C185" s="40"/>
      <c r="D185" s="40"/>
      <c r="E185" s="40"/>
      <c r="F185" s="40"/>
      <c r="G185" s="40"/>
      <c r="H185" s="40"/>
      <c r="I185" s="40"/>
      <c r="J185" s="40"/>
      <c r="K185" s="40"/>
      <c r="L185" s="40"/>
      <c r="M185" s="40"/>
      <c r="N185" s="40"/>
      <c r="O185" s="40"/>
      <c r="P185" s="40"/>
      <c r="Q185" s="40"/>
      <c r="R185" s="40"/>
      <c r="S185" s="40"/>
    </row>
    <row r="186" spans="3:19">
      <c r="C186" s="40"/>
      <c r="D186" s="40"/>
      <c r="E186" s="40"/>
      <c r="F186" s="40"/>
      <c r="G186" s="40"/>
      <c r="H186" s="40"/>
      <c r="I186" s="40"/>
      <c r="J186" s="40"/>
      <c r="K186" s="40"/>
      <c r="L186" s="40"/>
      <c r="M186" s="40"/>
      <c r="N186" s="40"/>
      <c r="O186" s="40"/>
      <c r="P186" s="40"/>
      <c r="Q186" s="40"/>
      <c r="R186" s="40"/>
      <c r="S186" s="40"/>
    </row>
    <row r="187" spans="3:19">
      <c r="C187" s="40"/>
      <c r="D187" s="40"/>
      <c r="E187" s="40"/>
      <c r="F187" s="40"/>
      <c r="G187" s="40"/>
      <c r="H187" s="40"/>
      <c r="I187" s="40"/>
      <c r="J187" s="40"/>
      <c r="K187" s="40"/>
      <c r="L187" s="40"/>
      <c r="M187" s="40"/>
      <c r="N187" s="40"/>
      <c r="O187" s="40"/>
      <c r="P187" s="40"/>
      <c r="Q187" s="40"/>
      <c r="R187" s="40"/>
      <c r="S187" s="40"/>
    </row>
    <row r="188" spans="3:19">
      <c r="C188" s="40"/>
      <c r="D188" s="40"/>
      <c r="E188" s="40"/>
      <c r="F188" s="40"/>
      <c r="G188" s="40"/>
      <c r="H188" s="40"/>
      <c r="I188" s="40"/>
      <c r="J188" s="40"/>
      <c r="K188" s="40"/>
      <c r="L188" s="40"/>
      <c r="M188" s="40"/>
      <c r="N188" s="40"/>
      <c r="O188" s="40"/>
      <c r="P188" s="40"/>
      <c r="Q188" s="40"/>
      <c r="R188" s="40"/>
      <c r="S188" s="40"/>
    </row>
    <row r="189" spans="3:19">
      <c r="C189" s="40"/>
      <c r="D189" s="40"/>
      <c r="E189" s="40"/>
      <c r="F189" s="40"/>
      <c r="G189" s="40"/>
      <c r="H189" s="40"/>
      <c r="I189" s="40"/>
      <c r="J189" s="40"/>
      <c r="K189" s="40"/>
      <c r="L189" s="40"/>
      <c r="M189" s="40"/>
      <c r="N189" s="40"/>
      <c r="O189" s="40"/>
      <c r="P189" s="40"/>
      <c r="Q189" s="40"/>
      <c r="R189" s="40"/>
      <c r="S189" s="40"/>
    </row>
    <row r="190" spans="3:19">
      <c r="C190" s="40"/>
      <c r="D190" s="40"/>
      <c r="E190" s="40"/>
      <c r="F190" s="40"/>
      <c r="G190" s="40"/>
      <c r="H190" s="40"/>
      <c r="I190" s="40"/>
      <c r="J190" s="40"/>
      <c r="K190" s="40"/>
      <c r="L190" s="40"/>
      <c r="M190" s="40"/>
      <c r="N190" s="40"/>
      <c r="O190" s="40"/>
      <c r="P190" s="40"/>
      <c r="Q190" s="40"/>
      <c r="R190" s="40"/>
      <c r="S190" s="40"/>
    </row>
    <row r="191" spans="3:19">
      <c r="C191" s="40"/>
      <c r="D191" s="40"/>
      <c r="E191" s="40"/>
      <c r="F191" s="40"/>
      <c r="G191" s="40"/>
      <c r="H191" s="40"/>
      <c r="I191" s="40"/>
      <c r="J191" s="40"/>
      <c r="K191" s="40"/>
      <c r="L191" s="40"/>
      <c r="M191" s="40"/>
      <c r="N191" s="40"/>
      <c r="O191" s="40"/>
      <c r="P191" s="40"/>
      <c r="Q191" s="40"/>
      <c r="R191" s="40"/>
      <c r="S191" s="40"/>
    </row>
    <row r="192" spans="3:19">
      <c r="C192" s="40"/>
      <c r="D192" s="40"/>
      <c r="E192" s="40"/>
      <c r="F192" s="40"/>
      <c r="G192" s="40"/>
      <c r="H192" s="40"/>
      <c r="I192" s="40"/>
      <c r="J192" s="40"/>
      <c r="K192" s="40"/>
      <c r="L192" s="40"/>
      <c r="M192" s="40"/>
      <c r="N192" s="40"/>
      <c r="O192" s="40"/>
      <c r="P192" s="40"/>
      <c r="Q192" s="40"/>
      <c r="R192" s="40"/>
      <c r="S192" s="40"/>
    </row>
    <row r="193" spans="3:19">
      <c r="C193" s="40"/>
      <c r="D193" s="40"/>
      <c r="E193" s="40"/>
      <c r="F193" s="40"/>
      <c r="G193" s="40"/>
      <c r="H193" s="40"/>
      <c r="I193" s="40"/>
      <c r="J193" s="40"/>
      <c r="K193" s="40"/>
      <c r="L193" s="40"/>
      <c r="M193" s="40"/>
      <c r="N193" s="40"/>
      <c r="O193" s="40"/>
      <c r="P193" s="40"/>
      <c r="Q193" s="40"/>
      <c r="R193" s="40"/>
      <c r="S193" s="40"/>
    </row>
    <row r="194" spans="3:19">
      <c r="C194" s="40"/>
      <c r="D194" s="40"/>
      <c r="E194" s="40"/>
      <c r="F194" s="40"/>
      <c r="G194" s="40"/>
      <c r="H194" s="40"/>
      <c r="I194" s="40"/>
      <c r="J194" s="40"/>
      <c r="K194" s="40"/>
      <c r="L194" s="40"/>
      <c r="M194" s="40"/>
      <c r="N194" s="40"/>
      <c r="O194" s="40"/>
      <c r="P194" s="40"/>
      <c r="Q194" s="40"/>
      <c r="R194" s="40"/>
      <c r="S194" s="40"/>
    </row>
    <row r="195" spans="3:19">
      <c r="C195" s="40"/>
      <c r="D195" s="40"/>
      <c r="E195" s="40"/>
      <c r="F195" s="40"/>
      <c r="G195" s="40"/>
      <c r="H195" s="40"/>
      <c r="I195" s="40"/>
      <c r="J195" s="40"/>
      <c r="K195" s="40"/>
      <c r="L195" s="40"/>
      <c r="M195" s="40"/>
      <c r="N195" s="40"/>
      <c r="O195" s="40"/>
      <c r="P195" s="40"/>
      <c r="Q195" s="40"/>
      <c r="R195" s="40"/>
      <c r="S195" s="40"/>
    </row>
    <row r="196" spans="3:19">
      <c r="C196" s="40"/>
      <c r="D196" s="40"/>
      <c r="E196" s="40"/>
      <c r="F196" s="40"/>
      <c r="G196" s="40"/>
      <c r="H196" s="40"/>
      <c r="I196" s="40"/>
      <c r="J196" s="40"/>
      <c r="K196" s="40"/>
      <c r="L196" s="40"/>
      <c r="M196" s="40"/>
      <c r="N196" s="40"/>
      <c r="O196" s="40"/>
      <c r="P196" s="40"/>
      <c r="Q196" s="40"/>
      <c r="R196" s="40"/>
      <c r="S196" s="40"/>
    </row>
    <row r="197" spans="3:19">
      <c r="C197" s="40"/>
      <c r="D197" s="40"/>
      <c r="E197" s="40"/>
      <c r="F197" s="40"/>
      <c r="G197" s="40"/>
      <c r="H197" s="40"/>
      <c r="I197" s="40"/>
      <c r="J197" s="40"/>
      <c r="K197" s="40"/>
      <c r="L197" s="40"/>
      <c r="M197" s="40"/>
      <c r="N197" s="40"/>
      <c r="O197" s="40"/>
      <c r="P197" s="40"/>
      <c r="Q197" s="40"/>
      <c r="R197" s="40"/>
      <c r="S197" s="40"/>
    </row>
    <row r="198" spans="3:19">
      <c r="C198" s="40"/>
      <c r="D198" s="40"/>
      <c r="E198" s="40"/>
      <c r="F198" s="40"/>
      <c r="G198" s="40"/>
      <c r="H198" s="40"/>
      <c r="I198" s="40"/>
      <c r="J198" s="40"/>
      <c r="K198" s="40"/>
      <c r="L198" s="40"/>
      <c r="M198" s="40"/>
      <c r="N198" s="40"/>
      <c r="O198" s="40"/>
      <c r="P198" s="40"/>
      <c r="Q198" s="40"/>
      <c r="R198" s="40"/>
      <c r="S198" s="40"/>
    </row>
    <row r="199" spans="3:19">
      <c r="C199" s="40"/>
      <c r="D199" s="40"/>
      <c r="E199" s="40"/>
      <c r="F199" s="40"/>
      <c r="G199" s="40"/>
      <c r="H199" s="40"/>
      <c r="I199" s="40"/>
      <c r="J199" s="40"/>
      <c r="K199" s="40"/>
      <c r="L199" s="40"/>
      <c r="M199" s="40"/>
      <c r="N199" s="40"/>
      <c r="O199" s="40"/>
      <c r="P199" s="40"/>
      <c r="Q199" s="40"/>
      <c r="R199" s="40"/>
      <c r="S199" s="40"/>
    </row>
    <row r="200" spans="3:19">
      <c r="C200" s="40"/>
      <c r="D200" s="40"/>
      <c r="E200" s="40"/>
      <c r="F200" s="40"/>
      <c r="G200" s="40"/>
      <c r="H200" s="40"/>
      <c r="I200" s="40"/>
      <c r="J200" s="40"/>
      <c r="K200" s="40"/>
      <c r="L200" s="40"/>
      <c r="M200" s="40"/>
      <c r="N200" s="40"/>
      <c r="O200" s="40"/>
      <c r="P200" s="40"/>
      <c r="Q200" s="40"/>
      <c r="R200" s="40"/>
      <c r="S200" s="40"/>
    </row>
    <row r="201" spans="3:19">
      <c r="C201" s="40"/>
      <c r="D201" s="40"/>
      <c r="E201" s="40"/>
      <c r="F201" s="40"/>
      <c r="G201" s="40"/>
      <c r="H201" s="40"/>
      <c r="I201" s="40"/>
      <c r="J201" s="40"/>
      <c r="K201" s="40"/>
      <c r="L201" s="40"/>
      <c r="M201" s="40"/>
      <c r="N201" s="40"/>
      <c r="O201" s="40"/>
      <c r="P201" s="40"/>
      <c r="Q201" s="40"/>
      <c r="R201" s="40"/>
      <c r="S201" s="40"/>
    </row>
    <row r="202" spans="3:19">
      <c r="C202" s="40"/>
      <c r="D202" s="40"/>
      <c r="E202" s="40"/>
      <c r="F202" s="40"/>
      <c r="G202" s="40"/>
      <c r="H202" s="40"/>
      <c r="I202" s="40"/>
      <c r="J202" s="40"/>
      <c r="K202" s="40"/>
      <c r="L202" s="40"/>
      <c r="M202" s="40"/>
      <c r="N202" s="40"/>
      <c r="O202" s="40"/>
      <c r="P202" s="40"/>
      <c r="Q202" s="40"/>
      <c r="R202" s="40"/>
      <c r="S202" s="40"/>
    </row>
    <row r="203" spans="3:19">
      <c r="C203" s="40"/>
      <c r="D203" s="40"/>
      <c r="E203" s="40"/>
      <c r="F203" s="40"/>
      <c r="G203" s="40"/>
      <c r="H203" s="40"/>
      <c r="I203" s="40"/>
      <c r="J203" s="40"/>
      <c r="K203" s="40"/>
      <c r="L203" s="40"/>
      <c r="M203" s="40"/>
      <c r="N203" s="40"/>
      <c r="O203" s="40"/>
      <c r="P203" s="40"/>
      <c r="Q203" s="40"/>
      <c r="R203" s="40"/>
      <c r="S203" s="40"/>
    </row>
    <row r="204" spans="3:19">
      <c r="C204" s="40"/>
      <c r="D204" s="40"/>
      <c r="E204" s="40"/>
      <c r="F204" s="40"/>
      <c r="G204" s="40"/>
      <c r="H204" s="40"/>
      <c r="I204" s="40"/>
      <c r="J204" s="40"/>
      <c r="K204" s="40"/>
      <c r="L204" s="40"/>
      <c r="M204" s="40"/>
      <c r="N204" s="40"/>
      <c r="O204" s="40"/>
      <c r="P204" s="40"/>
      <c r="Q204" s="40"/>
      <c r="R204" s="40"/>
      <c r="S204" s="40"/>
    </row>
    <row r="205" spans="3:19">
      <c r="C205" s="40"/>
      <c r="D205" s="40"/>
      <c r="E205" s="40"/>
      <c r="F205" s="40"/>
      <c r="G205" s="40"/>
      <c r="H205" s="40"/>
      <c r="I205" s="40"/>
      <c r="J205" s="40"/>
      <c r="K205" s="40"/>
      <c r="L205" s="40"/>
      <c r="M205" s="40"/>
      <c r="N205" s="40"/>
      <c r="O205" s="40"/>
      <c r="P205" s="40"/>
      <c r="Q205" s="40"/>
      <c r="R205" s="40"/>
      <c r="S205" s="40"/>
    </row>
    <row r="206" spans="3:19">
      <c r="C206" s="40"/>
      <c r="D206" s="40"/>
      <c r="E206" s="40"/>
      <c r="F206" s="40"/>
      <c r="G206" s="40"/>
      <c r="H206" s="40"/>
      <c r="I206" s="40"/>
      <c r="J206" s="40"/>
      <c r="K206" s="40"/>
      <c r="L206" s="40"/>
      <c r="M206" s="40"/>
      <c r="N206" s="40"/>
      <c r="O206" s="40"/>
      <c r="P206" s="40"/>
      <c r="Q206" s="40"/>
      <c r="R206" s="40"/>
      <c r="S206" s="40"/>
    </row>
    <row r="207" spans="3:19">
      <c r="C207" s="40"/>
      <c r="D207" s="40"/>
      <c r="E207" s="40"/>
      <c r="F207" s="40"/>
      <c r="G207" s="40"/>
      <c r="H207" s="40"/>
      <c r="I207" s="40"/>
      <c r="J207" s="40"/>
      <c r="K207" s="40"/>
      <c r="L207" s="40"/>
      <c r="M207" s="40"/>
      <c r="N207" s="40"/>
      <c r="O207" s="40"/>
      <c r="P207" s="40"/>
      <c r="Q207" s="40"/>
      <c r="R207" s="40"/>
      <c r="S207" s="40"/>
    </row>
    <row r="208" spans="3:19">
      <c r="C208" s="40"/>
      <c r="D208" s="40"/>
      <c r="E208" s="40"/>
      <c r="F208" s="40"/>
      <c r="G208" s="40"/>
      <c r="H208" s="40"/>
      <c r="I208" s="40"/>
      <c r="J208" s="40"/>
      <c r="K208" s="40"/>
      <c r="L208" s="40"/>
      <c r="M208" s="40"/>
      <c r="N208" s="40"/>
      <c r="O208" s="40"/>
      <c r="P208" s="40"/>
      <c r="Q208" s="40"/>
      <c r="R208" s="40"/>
      <c r="S208" s="40"/>
    </row>
    <row r="209" spans="3:19">
      <c r="C209" s="40"/>
      <c r="D209" s="40"/>
      <c r="E209" s="40"/>
      <c r="F209" s="40"/>
      <c r="G209" s="40"/>
      <c r="H209" s="40"/>
      <c r="I209" s="40"/>
      <c r="J209" s="40"/>
      <c r="K209" s="40"/>
      <c r="L209" s="40"/>
      <c r="M209" s="40"/>
      <c r="N209" s="40"/>
      <c r="O209" s="40"/>
      <c r="P209" s="40"/>
      <c r="Q209" s="40"/>
      <c r="R209" s="40"/>
      <c r="S209" s="40"/>
    </row>
    <row r="210" spans="3:19">
      <c r="C210" s="40"/>
      <c r="D210" s="40"/>
      <c r="E210" s="40"/>
      <c r="F210" s="40"/>
      <c r="G210" s="40"/>
      <c r="H210" s="40"/>
      <c r="I210" s="40"/>
      <c r="J210" s="40"/>
      <c r="K210" s="40"/>
      <c r="L210" s="40"/>
      <c r="M210" s="40"/>
      <c r="N210" s="40"/>
      <c r="O210" s="40"/>
      <c r="P210" s="40"/>
      <c r="Q210" s="40"/>
      <c r="R210" s="40"/>
      <c r="S210" s="40"/>
    </row>
    <row r="211" spans="3:19">
      <c r="C211" s="40"/>
      <c r="D211" s="40"/>
      <c r="E211" s="40"/>
      <c r="F211" s="40"/>
      <c r="G211" s="40"/>
      <c r="H211" s="40"/>
      <c r="I211" s="40"/>
      <c r="J211" s="40"/>
      <c r="K211" s="40"/>
      <c r="L211" s="40"/>
      <c r="M211" s="40"/>
      <c r="N211" s="40"/>
      <c r="O211" s="40"/>
      <c r="P211" s="40"/>
      <c r="Q211" s="40"/>
      <c r="R211" s="40"/>
      <c r="S211" s="40"/>
    </row>
    <row r="212" spans="3:19">
      <c r="C212" s="40"/>
      <c r="D212" s="40"/>
      <c r="E212" s="40"/>
      <c r="F212" s="40"/>
      <c r="G212" s="40"/>
      <c r="H212" s="40"/>
      <c r="I212" s="40"/>
      <c r="J212" s="40"/>
      <c r="K212" s="40"/>
      <c r="L212" s="40"/>
      <c r="M212" s="40"/>
      <c r="N212" s="40"/>
      <c r="O212" s="40"/>
      <c r="P212" s="40"/>
      <c r="Q212" s="40"/>
      <c r="R212" s="40"/>
      <c r="S212" s="40"/>
    </row>
    <row r="213" spans="3:19">
      <c r="C213" s="40"/>
      <c r="D213" s="40"/>
      <c r="E213" s="40"/>
      <c r="F213" s="40"/>
      <c r="G213" s="40"/>
      <c r="H213" s="40"/>
      <c r="I213" s="40"/>
      <c r="J213" s="40"/>
      <c r="K213" s="40"/>
      <c r="L213" s="40"/>
      <c r="M213" s="40"/>
      <c r="N213" s="40"/>
      <c r="O213" s="40"/>
      <c r="P213" s="40"/>
      <c r="Q213" s="40"/>
      <c r="R213" s="40"/>
      <c r="S213" s="40"/>
    </row>
    <row r="214" spans="3:19">
      <c r="C214" s="40"/>
      <c r="D214" s="40"/>
      <c r="E214" s="40"/>
      <c r="F214" s="40"/>
      <c r="G214" s="40"/>
      <c r="H214" s="40"/>
      <c r="I214" s="40"/>
      <c r="J214" s="40"/>
      <c r="K214" s="40"/>
      <c r="L214" s="40"/>
      <c r="M214" s="40"/>
      <c r="N214" s="40"/>
      <c r="O214" s="40"/>
      <c r="P214" s="40"/>
      <c r="Q214" s="40"/>
      <c r="R214" s="40"/>
      <c r="S214" s="40"/>
    </row>
    <row r="215" spans="3:19">
      <c r="C215" s="40"/>
      <c r="D215" s="40"/>
      <c r="E215" s="40"/>
      <c r="F215" s="40"/>
      <c r="G215" s="40"/>
      <c r="H215" s="40"/>
      <c r="I215" s="40"/>
      <c r="J215" s="40"/>
      <c r="K215" s="40"/>
      <c r="L215" s="40"/>
      <c r="M215" s="40"/>
      <c r="N215" s="40"/>
      <c r="O215" s="40"/>
      <c r="P215" s="40"/>
      <c r="Q215" s="40"/>
      <c r="R215" s="40"/>
      <c r="S215" s="40"/>
    </row>
    <row r="216" spans="3:19">
      <c r="C216" s="40"/>
      <c r="D216" s="40"/>
      <c r="E216" s="40"/>
      <c r="F216" s="40"/>
      <c r="G216" s="40"/>
      <c r="H216" s="40"/>
      <c r="I216" s="40"/>
      <c r="J216" s="40"/>
      <c r="K216" s="40"/>
      <c r="L216" s="40"/>
      <c r="M216" s="40"/>
      <c r="N216" s="40"/>
      <c r="O216" s="40"/>
      <c r="P216" s="40"/>
      <c r="Q216" s="40"/>
      <c r="R216" s="40"/>
      <c r="S216" s="40"/>
    </row>
    <row r="217" spans="3:19">
      <c r="C217" s="40"/>
      <c r="D217" s="40"/>
      <c r="E217" s="40"/>
      <c r="F217" s="40"/>
      <c r="G217" s="40"/>
      <c r="H217" s="40"/>
      <c r="I217" s="40"/>
      <c r="J217" s="40"/>
      <c r="K217" s="40"/>
      <c r="L217" s="40"/>
      <c r="M217" s="40"/>
      <c r="N217" s="40"/>
      <c r="O217" s="40"/>
      <c r="P217" s="40"/>
      <c r="Q217" s="40"/>
      <c r="R217" s="40"/>
      <c r="S217" s="40"/>
    </row>
    <row r="218" spans="3:19">
      <c r="C218" s="40"/>
      <c r="D218" s="40"/>
      <c r="E218" s="40"/>
      <c r="F218" s="40"/>
      <c r="G218" s="40"/>
      <c r="H218" s="40"/>
      <c r="I218" s="40"/>
      <c r="J218" s="40"/>
      <c r="K218" s="40"/>
      <c r="L218" s="40"/>
      <c r="M218" s="40"/>
      <c r="N218" s="40"/>
      <c r="O218" s="40"/>
      <c r="P218" s="40"/>
      <c r="Q218" s="40"/>
      <c r="R218" s="40"/>
      <c r="S218" s="40"/>
    </row>
    <row r="219" spans="3:19">
      <c r="C219" s="40"/>
      <c r="D219" s="40"/>
      <c r="E219" s="40"/>
      <c r="F219" s="40"/>
      <c r="G219" s="40"/>
      <c r="H219" s="40"/>
      <c r="I219" s="40"/>
      <c r="J219" s="40"/>
      <c r="K219" s="40"/>
      <c r="L219" s="40"/>
      <c r="M219" s="40"/>
      <c r="N219" s="40"/>
      <c r="O219" s="40"/>
      <c r="P219" s="40"/>
      <c r="Q219" s="40"/>
      <c r="R219" s="40"/>
      <c r="S219" s="40"/>
    </row>
    <row r="220" spans="3:19">
      <c r="C220" s="40"/>
      <c r="D220" s="40"/>
      <c r="E220" s="40"/>
      <c r="F220" s="40"/>
      <c r="G220" s="40"/>
      <c r="H220" s="40"/>
      <c r="I220" s="40"/>
      <c r="J220" s="40"/>
      <c r="K220" s="40"/>
      <c r="L220" s="40"/>
      <c r="M220" s="40"/>
      <c r="N220" s="40"/>
      <c r="O220" s="40"/>
      <c r="P220" s="40"/>
      <c r="Q220" s="40"/>
      <c r="R220" s="40"/>
      <c r="S220" s="40"/>
    </row>
    <row r="221" spans="3:19">
      <c r="C221" s="40"/>
      <c r="D221" s="40"/>
      <c r="E221" s="40"/>
      <c r="F221" s="40"/>
      <c r="G221" s="40"/>
      <c r="H221" s="40"/>
      <c r="I221" s="40"/>
      <c r="J221" s="40"/>
      <c r="K221" s="40"/>
      <c r="L221" s="40"/>
      <c r="M221" s="40"/>
      <c r="N221" s="40"/>
      <c r="O221" s="40"/>
      <c r="P221" s="40"/>
      <c r="Q221" s="40"/>
      <c r="R221" s="40"/>
      <c r="S221" s="40"/>
    </row>
    <row r="222" spans="3:19">
      <c r="C222" s="40"/>
      <c r="D222" s="40"/>
      <c r="E222" s="40"/>
      <c r="F222" s="40"/>
      <c r="G222" s="40"/>
      <c r="H222" s="40"/>
      <c r="I222" s="40"/>
      <c r="J222" s="40"/>
      <c r="K222" s="40"/>
      <c r="L222" s="40"/>
      <c r="M222" s="40"/>
      <c r="N222" s="40"/>
      <c r="O222" s="40"/>
      <c r="P222" s="40"/>
      <c r="Q222" s="40"/>
      <c r="R222" s="40"/>
      <c r="S222" s="40"/>
    </row>
    <row r="223" spans="3:19">
      <c r="C223" s="40"/>
      <c r="D223" s="40"/>
      <c r="E223" s="40"/>
      <c r="F223" s="40"/>
      <c r="G223" s="40"/>
      <c r="H223" s="40"/>
      <c r="I223" s="40"/>
      <c r="J223" s="40"/>
      <c r="K223" s="40"/>
      <c r="L223" s="40"/>
      <c r="M223" s="40"/>
      <c r="N223" s="40"/>
      <c r="O223" s="40"/>
      <c r="P223" s="40"/>
      <c r="Q223" s="40"/>
      <c r="R223" s="40"/>
      <c r="S223" s="40"/>
    </row>
    <row r="224" spans="3:19">
      <c r="C224" s="40"/>
      <c r="D224" s="40"/>
      <c r="E224" s="40"/>
      <c r="F224" s="40"/>
      <c r="G224" s="40"/>
      <c r="H224" s="40"/>
      <c r="I224" s="40"/>
      <c r="J224" s="40"/>
      <c r="K224" s="40"/>
      <c r="L224" s="40"/>
      <c r="M224" s="40"/>
      <c r="N224" s="40"/>
      <c r="O224" s="40"/>
      <c r="P224" s="40"/>
      <c r="Q224" s="40"/>
      <c r="R224" s="40"/>
      <c r="S224" s="40"/>
    </row>
    <row r="225" spans="3:19">
      <c r="C225" s="40"/>
      <c r="D225" s="40"/>
      <c r="E225" s="40"/>
      <c r="F225" s="40"/>
      <c r="G225" s="40"/>
      <c r="H225" s="40"/>
      <c r="I225" s="40"/>
      <c r="J225" s="40"/>
      <c r="K225" s="40"/>
      <c r="L225" s="40"/>
      <c r="M225" s="40"/>
      <c r="N225" s="40"/>
      <c r="O225" s="40"/>
      <c r="P225" s="40"/>
      <c r="Q225" s="40"/>
      <c r="R225" s="40"/>
      <c r="S225" s="40"/>
    </row>
    <row r="226" spans="3:19">
      <c r="C226" s="40"/>
      <c r="D226" s="40"/>
      <c r="E226" s="40"/>
      <c r="F226" s="40"/>
      <c r="G226" s="40"/>
      <c r="H226" s="40"/>
      <c r="I226" s="40"/>
      <c r="J226" s="40"/>
      <c r="K226" s="40"/>
      <c r="L226" s="40"/>
      <c r="M226" s="40"/>
      <c r="N226" s="40"/>
      <c r="O226" s="40"/>
      <c r="P226" s="40"/>
      <c r="Q226" s="40"/>
      <c r="R226" s="40"/>
      <c r="S226" s="40"/>
    </row>
    <row r="227" spans="3:19">
      <c r="C227" s="40"/>
      <c r="D227" s="40"/>
      <c r="E227" s="40"/>
      <c r="F227" s="40"/>
      <c r="G227" s="40"/>
      <c r="H227" s="40"/>
      <c r="I227" s="40"/>
      <c r="J227" s="40"/>
      <c r="K227" s="40"/>
      <c r="L227" s="40"/>
      <c r="M227" s="40"/>
      <c r="N227" s="40"/>
      <c r="O227" s="40"/>
      <c r="P227" s="40"/>
      <c r="Q227" s="40"/>
      <c r="R227" s="40"/>
      <c r="S227" s="40"/>
    </row>
    <row r="228" spans="3:19">
      <c r="C228" s="40"/>
      <c r="D228" s="40"/>
      <c r="E228" s="40"/>
      <c r="F228" s="40"/>
      <c r="G228" s="40"/>
      <c r="H228" s="40"/>
      <c r="I228" s="40"/>
      <c r="J228" s="40"/>
      <c r="K228" s="40"/>
      <c r="L228" s="40"/>
      <c r="M228" s="40"/>
      <c r="N228" s="40"/>
      <c r="O228" s="40"/>
      <c r="P228" s="40"/>
      <c r="Q228" s="40"/>
      <c r="R228" s="40"/>
      <c r="S228" s="40"/>
    </row>
    <row r="229" spans="3:19">
      <c r="C229" s="40"/>
      <c r="D229" s="40"/>
      <c r="E229" s="40"/>
      <c r="F229" s="40"/>
      <c r="G229" s="40"/>
      <c r="H229" s="40"/>
      <c r="I229" s="40"/>
      <c r="J229" s="40"/>
      <c r="K229" s="40"/>
      <c r="L229" s="40"/>
      <c r="M229" s="40"/>
      <c r="N229" s="40"/>
      <c r="O229" s="40"/>
      <c r="P229" s="40"/>
      <c r="Q229" s="40"/>
      <c r="R229" s="40"/>
      <c r="S229" s="40"/>
    </row>
    <row r="230" spans="3:19">
      <c r="C230" s="40"/>
      <c r="D230" s="40"/>
      <c r="E230" s="40"/>
      <c r="F230" s="40"/>
      <c r="G230" s="40"/>
      <c r="H230" s="40"/>
      <c r="I230" s="40"/>
      <c r="J230" s="40"/>
      <c r="K230" s="40"/>
      <c r="L230" s="40"/>
      <c r="M230" s="40"/>
      <c r="N230" s="40"/>
      <c r="O230" s="40"/>
      <c r="P230" s="40"/>
      <c r="Q230" s="40"/>
      <c r="R230" s="40"/>
      <c r="S230" s="40"/>
    </row>
    <row r="231" spans="3:19">
      <c r="C231" s="40"/>
      <c r="D231" s="40"/>
      <c r="E231" s="40"/>
      <c r="F231" s="40"/>
      <c r="G231" s="40"/>
      <c r="H231" s="40"/>
      <c r="I231" s="40"/>
      <c r="J231" s="40"/>
      <c r="K231" s="40"/>
      <c r="L231" s="40"/>
      <c r="M231" s="40"/>
      <c r="N231" s="40"/>
      <c r="O231" s="40"/>
      <c r="P231" s="40"/>
      <c r="Q231" s="40"/>
      <c r="R231" s="40"/>
      <c r="S231" s="40"/>
    </row>
    <row r="232" spans="3:19">
      <c r="C232" s="40"/>
      <c r="D232" s="40"/>
      <c r="E232" s="40"/>
      <c r="F232" s="40"/>
      <c r="G232" s="40"/>
      <c r="H232" s="40"/>
      <c r="I232" s="40"/>
      <c r="J232" s="40"/>
      <c r="K232" s="40"/>
      <c r="L232" s="40"/>
      <c r="M232" s="40"/>
      <c r="N232" s="40"/>
      <c r="O232" s="40"/>
      <c r="P232" s="40"/>
      <c r="Q232" s="40"/>
      <c r="R232" s="40"/>
      <c r="S232" s="40"/>
    </row>
    <row r="233" spans="3:19">
      <c r="C233" s="40"/>
      <c r="D233" s="40"/>
      <c r="E233" s="40"/>
      <c r="F233" s="40"/>
      <c r="G233" s="40"/>
      <c r="H233" s="40"/>
      <c r="I233" s="40"/>
      <c r="J233" s="40"/>
      <c r="K233" s="40"/>
      <c r="L233" s="40"/>
      <c r="M233" s="40"/>
      <c r="N233" s="40"/>
      <c r="O233" s="40"/>
      <c r="P233" s="40"/>
      <c r="Q233" s="40"/>
      <c r="R233" s="40"/>
      <c r="S233" s="40"/>
    </row>
    <row r="234" spans="3:19">
      <c r="C234" s="40"/>
      <c r="D234" s="40"/>
      <c r="E234" s="40"/>
      <c r="F234" s="40"/>
      <c r="G234" s="40"/>
      <c r="H234" s="40"/>
      <c r="I234" s="40"/>
      <c r="J234" s="40"/>
      <c r="K234" s="40"/>
      <c r="L234" s="40"/>
      <c r="M234" s="40"/>
      <c r="N234" s="40"/>
      <c r="O234" s="40"/>
      <c r="P234" s="40"/>
      <c r="Q234" s="40"/>
      <c r="R234" s="40"/>
      <c r="S234" s="40"/>
    </row>
    <row r="235" spans="3:19">
      <c r="C235" s="40"/>
      <c r="D235" s="40"/>
      <c r="E235" s="40"/>
      <c r="F235" s="40"/>
      <c r="G235" s="40"/>
      <c r="H235" s="40"/>
      <c r="I235" s="40"/>
      <c r="J235" s="40"/>
      <c r="K235" s="40"/>
      <c r="L235" s="40"/>
      <c r="M235" s="40"/>
      <c r="N235" s="40"/>
      <c r="O235" s="40"/>
      <c r="P235" s="40"/>
      <c r="Q235" s="40"/>
      <c r="R235" s="40"/>
      <c r="S235" s="40"/>
    </row>
    <row r="236" spans="3:19">
      <c r="C236" s="40"/>
      <c r="D236" s="40"/>
      <c r="E236" s="40"/>
      <c r="F236" s="40"/>
      <c r="G236" s="40"/>
      <c r="H236" s="40"/>
      <c r="I236" s="40"/>
      <c r="J236" s="40"/>
      <c r="K236" s="40"/>
      <c r="L236" s="40"/>
      <c r="M236" s="40"/>
      <c r="N236" s="40"/>
      <c r="O236" s="40"/>
      <c r="P236" s="40"/>
      <c r="Q236" s="40"/>
      <c r="R236" s="40"/>
      <c r="S236" s="40"/>
    </row>
    <row r="237" spans="3:19">
      <c r="C237" s="40"/>
      <c r="D237" s="40"/>
      <c r="E237" s="40"/>
      <c r="F237" s="40"/>
      <c r="G237" s="40"/>
      <c r="H237" s="40"/>
      <c r="I237" s="40"/>
      <c r="J237" s="40"/>
      <c r="K237" s="40"/>
      <c r="L237" s="40"/>
      <c r="M237" s="40"/>
      <c r="N237" s="40"/>
      <c r="O237" s="40"/>
      <c r="P237" s="40"/>
      <c r="Q237" s="40"/>
      <c r="R237" s="40"/>
      <c r="S237" s="40"/>
    </row>
    <row r="238" spans="3:19">
      <c r="C238" s="40"/>
      <c r="D238" s="40"/>
      <c r="E238" s="40"/>
      <c r="F238" s="40"/>
      <c r="G238" s="40"/>
      <c r="H238" s="40"/>
      <c r="I238" s="40"/>
      <c r="J238" s="40"/>
      <c r="K238" s="40"/>
      <c r="L238" s="40"/>
      <c r="M238" s="40"/>
      <c r="N238" s="40"/>
      <c r="O238" s="40"/>
      <c r="P238" s="40"/>
      <c r="Q238" s="40"/>
      <c r="R238" s="40"/>
      <c r="S238" s="40"/>
    </row>
    <row r="239" spans="3:19">
      <c r="C239" s="40"/>
      <c r="D239" s="40"/>
      <c r="E239" s="40"/>
      <c r="F239" s="40"/>
      <c r="G239" s="40"/>
      <c r="H239" s="40"/>
      <c r="I239" s="40"/>
      <c r="J239" s="40"/>
      <c r="K239" s="40"/>
      <c r="L239" s="40"/>
      <c r="M239" s="40"/>
      <c r="N239" s="40"/>
      <c r="O239" s="40"/>
      <c r="P239" s="40"/>
      <c r="Q239" s="40"/>
      <c r="R239" s="40"/>
      <c r="S239" s="40"/>
    </row>
    <row r="240" spans="3:19">
      <c r="C240" s="40"/>
      <c r="D240" s="40"/>
      <c r="E240" s="40"/>
      <c r="F240" s="40"/>
      <c r="G240" s="40"/>
      <c r="H240" s="40"/>
      <c r="I240" s="40"/>
      <c r="J240" s="40"/>
      <c r="K240" s="40"/>
      <c r="L240" s="40"/>
      <c r="M240" s="40"/>
      <c r="N240" s="40"/>
      <c r="O240" s="40"/>
      <c r="P240" s="40"/>
      <c r="Q240" s="40"/>
      <c r="R240" s="40"/>
      <c r="S240" s="40"/>
    </row>
    <row r="241" spans="3:19">
      <c r="C241" s="40"/>
      <c r="D241" s="40"/>
      <c r="E241" s="40"/>
      <c r="F241" s="40"/>
      <c r="G241" s="40"/>
      <c r="H241" s="40"/>
      <c r="I241" s="40"/>
      <c r="J241" s="40"/>
      <c r="K241" s="40"/>
      <c r="L241" s="40"/>
      <c r="M241" s="40"/>
      <c r="N241" s="40"/>
      <c r="O241" s="40"/>
      <c r="P241" s="40"/>
      <c r="Q241" s="40"/>
      <c r="R241" s="40"/>
      <c r="S241" s="40"/>
    </row>
    <row r="242" spans="3:19">
      <c r="C242" s="40"/>
      <c r="D242" s="40"/>
      <c r="E242" s="40"/>
      <c r="F242" s="40"/>
      <c r="G242" s="40"/>
      <c r="H242" s="40"/>
      <c r="I242" s="40"/>
      <c r="J242" s="40"/>
      <c r="K242" s="40"/>
      <c r="L242" s="40"/>
      <c r="M242" s="40"/>
      <c r="N242" s="40"/>
      <c r="O242" s="40"/>
      <c r="P242" s="40"/>
      <c r="Q242" s="40"/>
      <c r="R242" s="40"/>
      <c r="S242" s="40"/>
    </row>
    <row r="243" spans="3:19">
      <c r="C243" s="40"/>
      <c r="D243" s="40"/>
      <c r="E243" s="40"/>
      <c r="F243" s="40"/>
      <c r="G243" s="40"/>
      <c r="H243" s="40"/>
      <c r="I243" s="40"/>
      <c r="J243" s="40"/>
      <c r="K243" s="40"/>
      <c r="L243" s="40"/>
      <c r="M243" s="40"/>
      <c r="N243" s="40"/>
      <c r="O243" s="40"/>
      <c r="P243" s="40"/>
      <c r="Q243" s="40"/>
      <c r="R243" s="40"/>
      <c r="S243" s="40"/>
    </row>
    <row r="244" spans="3:19">
      <c r="C244" s="40"/>
      <c r="D244" s="40"/>
      <c r="E244" s="40"/>
      <c r="F244" s="40"/>
      <c r="G244" s="40"/>
      <c r="H244" s="40"/>
      <c r="I244" s="40"/>
      <c r="J244" s="40"/>
      <c r="K244" s="40"/>
      <c r="L244" s="40"/>
      <c r="M244" s="40"/>
      <c r="N244" s="40"/>
      <c r="O244" s="40"/>
      <c r="P244" s="40"/>
      <c r="Q244" s="40"/>
      <c r="R244" s="40"/>
      <c r="S244" s="40"/>
    </row>
    <row r="245" spans="3:19">
      <c r="C245" s="40"/>
      <c r="D245" s="40"/>
      <c r="E245" s="40"/>
      <c r="F245" s="40"/>
      <c r="G245" s="40"/>
      <c r="H245" s="40"/>
      <c r="I245" s="40"/>
      <c r="J245" s="40"/>
      <c r="K245" s="40"/>
      <c r="L245" s="40"/>
      <c r="M245" s="40"/>
      <c r="N245" s="40"/>
      <c r="O245" s="40"/>
      <c r="P245" s="40"/>
      <c r="Q245" s="40"/>
      <c r="R245" s="40"/>
      <c r="S245" s="40"/>
    </row>
    <row r="246" spans="3:19">
      <c r="C246" s="40"/>
      <c r="D246" s="40"/>
      <c r="E246" s="40"/>
      <c r="F246" s="40"/>
      <c r="G246" s="40"/>
      <c r="H246" s="40"/>
      <c r="I246" s="40"/>
      <c r="J246" s="40"/>
      <c r="K246" s="40"/>
      <c r="L246" s="40"/>
      <c r="M246" s="40"/>
      <c r="N246" s="40"/>
      <c r="O246" s="40"/>
      <c r="P246" s="40"/>
      <c r="Q246" s="40"/>
      <c r="R246" s="40"/>
      <c r="S246" s="40"/>
    </row>
    <row r="247" spans="3:19">
      <c r="C247" s="40"/>
      <c r="D247" s="40"/>
      <c r="E247" s="40"/>
      <c r="F247" s="40"/>
      <c r="G247" s="40"/>
      <c r="H247" s="40"/>
      <c r="I247" s="40"/>
      <c r="J247" s="40"/>
      <c r="K247" s="40"/>
      <c r="L247" s="40"/>
      <c r="M247" s="40"/>
      <c r="N247" s="40"/>
      <c r="O247" s="40"/>
      <c r="P247" s="40"/>
      <c r="Q247" s="40"/>
      <c r="R247" s="40"/>
      <c r="S247" s="40"/>
    </row>
    <row r="248" spans="3:19">
      <c r="C248" s="40"/>
      <c r="D248" s="40"/>
      <c r="E248" s="40"/>
      <c r="F248" s="40"/>
      <c r="G248" s="40"/>
      <c r="H248" s="40"/>
      <c r="I248" s="40"/>
      <c r="J248" s="40"/>
      <c r="K248" s="40"/>
      <c r="L248" s="40"/>
      <c r="M248" s="40"/>
      <c r="N248" s="40"/>
      <c r="O248" s="40"/>
      <c r="P248" s="40"/>
      <c r="Q248" s="40"/>
      <c r="R248" s="40"/>
      <c r="S248" s="40"/>
    </row>
    <row r="249" spans="3:19">
      <c r="C249" s="40"/>
      <c r="D249" s="40"/>
      <c r="E249" s="40"/>
      <c r="F249" s="40"/>
      <c r="G249" s="40"/>
      <c r="H249" s="40"/>
      <c r="I249" s="40"/>
      <c r="J249" s="40"/>
      <c r="K249" s="40"/>
      <c r="L249" s="40"/>
      <c r="M249" s="40"/>
      <c r="N249" s="40"/>
      <c r="O249" s="40"/>
      <c r="P249" s="40"/>
      <c r="Q249" s="40"/>
      <c r="R249" s="40"/>
      <c r="S249" s="40"/>
    </row>
    <row r="250" spans="3:19">
      <c r="C250" s="40"/>
      <c r="D250" s="40"/>
      <c r="E250" s="40"/>
      <c r="F250" s="40"/>
      <c r="G250" s="40"/>
      <c r="H250" s="40"/>
      <c r="I250" s="40"/>
      <c r="J250" s="40"/>
      <c r="K250" s="40"/>
      <c r="L250" s="40"/>
      <c r="M250" s="40"/>
      <c r="N250" s="40"/>
      <c r="O250" s="40"/>
      <c r="P250" s="40"/>
      <c r="Q250" s="40"/>
      <c r="R250" s="40"/>
      <c r="S250" s="40"/>
    </row>
    <row r="251" spans="3:19">
      <c r="C251" s="40"/>
      <c r="D251" s="40"/>
      <c r="E251" s="40"/>
      <c r="F251" s="40"/>
      <c r="G251" s="40"/>
      <c r="H251" s="40"/>
      <c r="I251" s="40"/>
      <c r="J251" s="40"/>
      <c r="K251" s="40"/>
      <c r="L251" s="40"/>
      <c r="M251" s="40"/>
      <c r="N251" s="40"/>
      <c r="O251" s="40"/>
      <c r="P251" s="40"/>
      <c r="Q251" s="40"/>
      <c r="R251" s="40"/>
      <c r="S251" s="40"/>
    </row>
    <row r="252" spans="3:19">
      <c r="C252" s="40"/>
      <c r="D252" s="40"/>
      <c r="E252" s="40"/>
      <c r="F252" s="40"/>
      <c r="G252" s="40"/>
      <c r="H252" s="40"/>
      <c r="I252" s="40"/>
      <c r="J252" s="40"/>
      <c r="K252" s="40"/>
      <c r="L252" s="40"/>
      <c r="M252" s="40"/>
      <c r="N252" s="40"/>
      <c r="O252" s="40"/>
      <c r="P252" s="40"/>
      <c r="Q252" s="40"/>
      <c r="R252" s="40"/>
      <c r="S252" s="40"/>
    </row>
    <row r="253" spans="3:19">
      <c r="C253" s="40"/>
      <c r="D253" s="40"/>
      <c r="E253" s="40"/>
      <c r="F253" s="40"/>
      <c r="G253" s="40"/>
      <c r="H253" s="40"/>
      <c r="I253" s="40"/>
      <c r="J253" s="40"/>
      <c r="K253" s="40"/>
      <c r="L253" s="40"/>
      <c r="M253" s="40"/>
      <c r="N253" s="40"/>
      <c r="O253" s="40"/>
      <c r="P253" s="40"/>
      <c r="Q253" s="40"/>
      <c r="R253" s="40"/>
      <c r="S253" s="40"/>
    </row>
    <row r="254" spans="3:19">
      <c r="C254" s="40"/>
      <c r="D254" s="40"/>
      <c r="E254" s="40"/>
      <c r="F254" s="40"/>
      <c r="G254" s="40"/>
      <c r="H254" s="40"/>
      <c r="I254" s="40"/>
      <c r="J254" s="40"/>
      <c r="K254" s="40"/>
      <c r="L254" s="40"/>
      <c r="M254" s="40"/>
      <c r="N254" s="40"/>
      <c r="O254" s="40"/>
      <c r="P254" s="40"/>
      <c r="Q254" s="40"/>
      <c r="R254" s="40"/>
      <c r="S254" s="40"/>
    </row>
    <row r="255" spans="3:19">
      <c r="C255" s="40"/>
      <c r="D255" s="40"/>
      <c r="E255" s="40"/>
      <c r="F255" s="40"/>
      <c r="G255" s="40"/>
      <c r="H255" s="40"/>
      <c r="I255" s="40"/>
      <c r="J255" s="40"/>
      <c r="K255" s="40"/>
      <c r="L255" s="40"/>
      <c r="M255" s="40"/>
      <c r="N255" s="40"/>
      <c r="O255" s="40"/>
      <c r="P255" s="40"/>
      <c r="Q255" s="40"/>
      <c r="R255" s="40"/>
      <c r="S255" s="40"/>
    </row>
    <row r="256" spans="3:19">
      <c r="C256" s="40"/>
      <c r="D256" s="40"/>
      <c r="E256" s="40"/>
      <c r="F256" s="40"/>
      <c r="G256" s="40"/>
      <c r="H256" s="40"/>
      <c r="I256" s="40"/>
      <c r="J256" s="40"/>
      <c r="K256" s="40"/>
      <c r="L256" s="40"/>
      <c r="M256" s="40"/>
      <c r="N256" s="40"/>
      <c r="O256" s="40"/>
      <c r="P256" s="40"/>
      <c r="Q256" s="40"/>
      <c r="R256" s="40"/>
      <c r="S256" s="40"/>
    </row>
    <row r="257" spans="3:19">
      <c r="C257" s="40"/>
      <c r="D257" s="40"/>
      <c r="E257" s="40"/>
      <c r="F257" s="40"/>
      <c r="G257" s="40"/>
      <c r="H257" s="40"/>
      <c r="I257" s="40"/>
      <c r="J257" s="40"/>
      <c r="K257" s="40"/>
      <c r="L257" s="40"/>
      <c r="M257" s="40"/>
      <c r="N257" s="40"/>
      <c r="O257" s="40"/>
      <c r="P257" s="40"/>
      <c r="Q257" s="40"/>
      <c r="R257" s="40"/>
      <c r="S257" s="40"/>
    </row>
    <row r="258" spans="3:19">
      <c r="C258" s="40"/>
      <c r="D258" s="40"/>
      <c r="E258" s="40"/>
      <c r="F258" s="40"/>
      <c r="G258" s="40"/>
      <c r="H258" s="40"/>
      <c r="I258" s="40"/>
      <c r="J258" s="40"/>
      <c r="K258" s="40"/>
      <c r="L258" s="40"/>
      <c r="M258" s="40"/>
      <c r="N258" s="40"/>
      <c r="O258" s="40"/>
      <c r="P258" s="40"/>
      <c r="Q258" s="40"/>
      <c r="R258" s="40"/>
      <c r="S258" s="40"/>
    </row>
    <row r="259" spans="3:19">
      <c r="C259" s="40"/>
      <c r="D259" s="40"/>
      <c r="E259" s="40"/>
      <c r="F259" s="40"/>
      <c r="G259" s="40"/>
      <c r="H259" s="40"/>
      <c r="I259" s="40"/>
      <c r="J259" s="40"/>
      <c r="K259" s="40"/>
      <c r="L259" s="40"/>
      <c r="M259" s="40"/>
      <c r="N259" s="40"/>
      <c r="O259" s="40"/>
      <c r="P259" s="40"/>
      <c r="Q259" s="40"/>
      <c r="R259" s="40"/>
      <c r="S259" s="40"/>
    </row>
    <row r="260" spans="3:19">
      <c r="C260" s="40"/>
      <c r="D260" s="40"/>
      <c r="E260" s="40"/>
      <c r="F260" s="40"/>
      <c r="G260" s="40"/>
      <c r="H260" s="40"/>
      <c r="I260" s="40"/>
      <c r="J260" s="40"/>
      <c r="K260" s="40"/>
      <c r="L260" s="40"/>
      <c r="M260" s="40"/>
      <c r="N260" s="40"/>
      <c r="O260" s="40"/>
      <c r="P260" s="40"/>
      <c r="Q260" s="40"/>
      <c r="R260" s="40"/>
      <c r="S260" s="40"/>
    </row>
    <row r="261" spans="3:19">
      <c r="C261" s="40"/>
      <c r="D261" s="40"/>
      <c r="E261" s="40"/>
      <c r="F261" s="40"/>
      <c r="G261" s="40"/>
      <c r="H261" s="40"/>
      <c r="I261" s="40"/>
      <c r="J261" s="40"/>
      <c r="K261" s="40"/>
      <c r="L261" s="40"/>
      <c r="M261" s="40"/>
      <c r="N261" s="40"/>
      <c r="O261" s="40"/>
      <c r="P261" s="40"/>
      <c r="Q261" s="40"/>
      <c r="R261" s="40"/>
      <c r="S261" s="40"/>
    </row>
    <row r="262" spans="3:19">
      <c r="C262" s="40"/>
      <c r="D262" s="40"/>
      <c r="E262" s="40"/>
      <c r="F262" s="40"/>
      <c r="G262" s="40"/>
      <c r="H262" s="40"/>
      <c r="I262" s="40"/>
      <c r="J262" s="40"/>
      <c r="K262" s="40"/>
      <c r="L262" s="40"/>
      <c r="M262" s="40"/>
      <c r="N262" s="40"/>
      <c r="O262" s="40"/>
      <c r="P262" s="40"/>
      <c r="Q262" s="40"/>
      <c r="R262" s="40"/>
      <c r="S262" s="40"/>
    </row>
    <row r="263" spans="3:19">
      <c r="C263" s="40"/>
      <c r="D263" s="40"/>
      <c r="E263" s="40"/>
      <c r="F263" s="40"/>
      <c r="G263" s="40"/>
      <c r="H263" s="40"/>
      <c r="I263" s="40"/>
      <c r="J263" s="40"/>
      <c r="K263" s="40"/>
      <c r="L263" s="40"/>
      <c r="M263" s="40"/>
      <c r="N263" s="40"/>
      <c r="O263" s="40"/>
      <c r="P263" s="40"/>
      <c r="Q263" s="40"/>
      <c r="R263" s="40"/>
      <c r="S263" s="40"/>
    </row>
    <row r="264" spans="3:19">
      <c r="C264" s="40"/>
      <c r="D264" s="40"/>
      <c r="E264" s="40"/>
      <c r="F264" s="40"/>
      <c r="G264" s="40"/>
      <c r="H264" s="40"/>
      <c r="I264" s="40"/>
      <c r="J264" s="40"/>
      <c r="K264" s="40"/>
      <c r="L264" s="40"/>
      <c r="M264" s="40"/>
      <c r="N264" s="40"/>
      <c r="O264" s="40"/>
      <c r="P264" s="40"/>
      <c r="Q264" s="40"/>
      <c r="R264" s="40"/>
      <c r="S264" s="40"/>
    </row>
    <row r="265" spans="3:19">
      <c r="C265" s="40"/>
      <c r="D265" s="40"/>
      <c r="E265" s="40"/>
      <c r="F265" s="40"/>
      <c r="G265" s="40"/>
      <c r="H265" s="40"/>
      <c r="I265" s="40"/>
      <c r="J265" s="40"/>
      <c r="K265" s="40"/>
      <c r="L265" s="40"/>
      <c r="M265" s="40"/>
      <c r="N265" s="40"/>
      <c r="O265" s="40"/>
      <c r="P265" s="40"/>
      <c r="Q265" s="40"/>
      <c r="R265" s="40"/>
      <c r="S265" s="40"/>
    </row>
    <row r="266" spans="3:19">
      <c r="C266" s="40"/>
      <c r="D266" s="40"/>
      <c r="E266" s="40"/>
      <c r="F266" s="40"/>
      <c r="G266" s="40"/>
      <c r="H266" s="40"/>
      <c r="I266" s="40"/>
      <c r="J266" s="40"/>
      <c r="K266" s="40"/>
      <c r="L266" s="40"/>
      <c r="M266" s="40"/>
      <c r="N266" s="40"/>
      <c r="O266" s="40"/>
      <c r="P266" s="40"/>
      <c r="Q266" s="40"/>
      <c r="R266" s="40"/>
      <c r="S266" s="40"/>
    </row>
    <row r="267" spans="3:19">
      <c r="C267" s="40"/>
      <c r="D267" s="40"/>
      <c r="E267" s="40"/>
      <c r="F267" s="40"/>
      <c r="G267" s="40"/>
      <c r="H267" s="40"/>
      <c r="I267" s="40"/>
      <c r="J267" s="40"/>
      <c r="K267" s="40"/>
      <c r="L267" s="40"/>
      <c r="M267" s="40"/>
      <c r="N267" s="40"/>
      <c r="O267" s="40"/>
      <c r="P267" s="40"/>
      <c r="Q267" s="40"/>
      <c r="R267" s="40"/>
      <c r="S267" s="40"/>
    </row>
    <row r="268" spans="3:19">
      <c r="C268" s="40"/>
      <c r="D268" s="40"/>
      <c r="E268" s="40"/>
      <c r="F268" s="40"/>
      <c r="G268" s="40"/>
      <c r="H268" s="40"/>
      <c r="I268" s="40"/>
      <c r="J268" s="40"/>
      <c r="K268" s="40"/>
      <c r="L268" s="40"/>
      <c r="M268" s="40"/>
      <c r="N268" s="40"/>
      <c r="O268" s="40"/>
      <c r="P268" s="40"/>
      <c r="Q268" s="40"/>
      <c r="R268" s="40"/>
      <c r="S268" s="40"/>
    </row>
    <row r="269" spans="3:19">
      <c r="C269" s="40"/>
      <c r="D269" s="40"/>
      <c r="E269" s="40"/>
      <c r="F269" s="40"/>
      <c r="G269" s="40"/>
      <c r="H269" s="40"/>
      <c r="I269" s="40"/>
      <c r="J269" s="40"/>
      <c r="K269" s="40"/>
      <c r="L269" s="40"/>
      <c r="M269" s="40"/>
      <c r="N269" s="40"/>
      <c r="O269" s="40"/>
      <c r="P269" s="40"/>
      <c r="Q269" s="40"/>
      <c r="R269" s="40"/>
      <c r="S269" s="40"/>
    </row>
    <row r="270" spans="3:19">
      <c r="C270" s="40"/>
      <c r="D270" s="40"/>
      <c r="E270" s="40"/>
      <c r="F270" s="40"/>
      <c r="G270" s="40"/>
      <c r="H270" s="40"/>
      <c r="I270" s="40"/>
      <c r="J270" s="40"/>
      <c r="K270" s="40"/>
      <c r="L270" s="40"/>
      <c r="M270" s="40"/>
      <c r="N270" s="40"/>
      <c r="O270" s="40"/>
      <c r="P270" s="40"/>
      <c r="Q270" s="40"/>
      <c r="R270" s="40"/>
      <c r="S270" s="40"/>
    </row>
    <row r="271" spans="3:19">
      <c r="C271" s="40"/>
      <c r="D271" s="40"/>
      <c r="E271" s="40"/>
      <c r="F271" s="40"/>
      <c r="G271" s="40"/>
      <c r="H271" s="40"/>
      <c r="I271" s="40"/>
      <c r="J271" s="40"/>
      <c r="K271" s="40"/>
      <c r="L271" s="40"/>
      <c r="M271" s="40"/>
      <c r="N271" s="40"/>
      <c r="O271" s="40"/>
      <c r="P271" s="40"/>
      <c r="Q271" s="40"/>
      <c r="R271" s="40"/>
      <c r="S271" s="40"/>
    </row>
    <row r="272" spans="3:19">
      <c r="C272" s="40"/>
      <c r="D272" s="40"/>
      <c r="E272" s="40"/>
      <c r="F272" s="40"/>
      <c r="G272" s="40"/>
      <c r="H272" s="40"/>
      <c r="I272" s="40"/>
      <c r="J272" s="40"/>
      <c r="K272" s="40"/>
      <c r="L272" s="40"/>
      <c r="M272" s="40"/>
      <c r="N272" s="40"/>
      <c r="O272" s="40"/>
      <c r="P272" s="40"/>
      <c r="Q272" s="40"/>
      <c r="R272" s="40"/>
      <c r="S272" s="40"/>
    </row>
    <row r="273" spans="3:19">
      <c r="C273" s="40"/>
      <c r="D273" s="40"/>
      <c r="E273" s="40"/>
      <c r="F273" s="40"/>
      <c r="G273" s="40"/>
      <c r="H273" s="40"/>
      <c r="I273" s="40"/>
      <c r="J273" s="40"/>
      <c r="K273" s="40"/>
      <c r="L273" s="40"/>
      <c r="M273" s="40"/>
      <c r="N273" s="40"/>
      <c r="O273" s="40"/>
      <c r="P273" s="40"/>
      <c r="Q273" s="40"/>
      <c r="R273" s="40"/>
      <c r="S273" s="40"/>
    </row>
    <row r="274" spans="3:19">
      <c r="C274" s="40"/>
      <c r="D274" s="40"/>
      <c r="E274" s="40"/>
      <c r="F274" s="40"/>
      <c r="G274" s="40"/>
      <c r="H274" s="40"/>
      <c r="I274" s="40"/>
      <c r="J274" s="40"/>
      <c r="K274" s="40"/>
      <c r="L274" s="40"/>
      <c r="M274" s="40"/>
      <c r="N274" s="40"/>
      <c r="O274" s="40"/>
      <c r="P274" s="40"/>
      <c r="Q274" s="40"/>
      <c r="R274" s="40"/>
      <c r="S274" s="40"/>
    </row>
    <row r="275" spans="3:19">
      <c r="C275" s="40"/>
      <c r="D275" s="40"/>
      <c r="E275" s="40"/>
      <c r="F275" s="40"/>
      <c r="G275" s="40"/>
      <c r="H275" s="40"/>
      <c r="I275" s="40"/>
      <c r="J275" s="40"/>
      <c r="K275" s="40"/>
      <c r="L275" s="40"/>
      <c r="M275" s="40"/>
      <c r="N275" s="40"/>
      <c r="O275" s="40"/>
      <c r="P275" s="40"/>
      <c r="Q275" s="40"/>
      <c r="R275" s="40"/>
      <c r="S275" s="40"/>
    </row>
    <row r="276" spans="3:19">
      <c r="C276" s="40"/>
      <c r="D276" s="40"/>
      <c r="E276" s="40"/>
      <c r="F276" s="40"/>
      <c r="G276" s="40"/>
      <c r="H276" s="40"/>
      <c r="I276" s="40"/>
      <c r="J276" s="40"/>
      <c r="K276" s="40"/>
      <c r="L276" s="40"/>
      <c r="M276" s="40"/>
      <c r="N276" s="40"/>
      <c r="O276" s="40"/>
      <c r="P276" s="40"/>
      <c r="Q276" s="40"/>
      <c r="R276" s="40"/>
      <c r="S276" s="40"/>
    </row>
    <row r="277" spans="3:19">
      <c r="C277" s="40"/>
      <c r="D277" s="40"/>
      <c r="E277" s="40"/>
      <c r="F277" s="40"/>
      <c r="G277" s="40"/>
      <c r="H277" s="40"/>
      <c r="I277" s="40"/>
      <c r="J277" s="40"/>
      <c r="K277" s="40"/>
      <c r="L277" s="40"/>
      <c r="M277" s="40"/>
      <c r="N277" s="40"/>
      <c r="O277" s="40"/>
      <c r="P277" s="40"/>
      <c r="Q277" s="40"/>
      <c r="R277" s="40"/>
      <c r="S277" s="40"/>
    </row>
    <row r="278" spans="3:19">
      <c r="C278" s="40"/>
      <c r="D278" s="40"/>
      <c r="E278" s="40"/>
      <c r="F278" s="40"/>
      <c r="G278" s="40"/>
      <c r="H278" s="40"/>
      <c r="I278" s="40"/>
      <c r="J278" s="40"/>
      <c r="K278" s="40"/>
      <c r="L278" s="40"/>
      <c r="M278" s="40"/>
      <c r="N278" s="40"/>
      <c r="O278" s="40"/>
      <c r="P278" s="40"/>
      <c r="Q278" s="40"/>
      <c r="R278" s="40"/>
      <c r="S278" s="40"/>
    </row>
    <row r="279" spans="3:19">
      <c r="C279" s="40"/>
      <c r="D279" s="40"/>
      <c r="E279" s="40"/>
      <c r="F279" s="40"/>
      <c r="G279" s="40"/>
      <c r="H279" s="40"/>
      <c r="I279" s="40"/>
      <c r="J279" s="40"/>
      <c r="K279" s="40"/>
      <c r="L279" s="40"/>
      <c r="M279" s="40"/>
      <c r="N279" s="40"/>
      <c r="O279" s="40"/>
      <c r="P279" s="40"/>
      <c r="Q279" s="40"/>
      <c r="R279" s="40"/>
      <c r="S279" s="40"/>
    </row>
    <row r="280" spans="3:19">
      <c r="C280" s="40"/>
      <c r="D280" s="40"/>
      <c r="E280" s="40"/>
      <c r="F280" s="40"/>
      <c r="G280" s="40"/>
      <c r="H280" s="40"/>
      <c r="I280" s="40"/>
      <c r="J280" s="40"/>
      <c r="K280" s="40"/>
      <c r="L280" s="40"/>
      <c r="M280" s="40"/>
      <c r="N280" s="40"/>
      <c r="O280" s="40"/>
      <c r="P280" s="40"/>
      <c r="Q280" s="40"/>
      <c r="R280" s="40"/>
      <c r="S280" s="40"/>
    </row>
    <row r="281" spans="3:19">
      <c r="C281" s="40"/>
      <c r="D281" s="40"/>
      <c r="E281" s="40"/>
      <c r="F281" s="40"/>
      <c r="G281" s="40"/>
      <c r="H281" s="40"/>
      <c r="I281" s="40"/>
      <c r="J281" s="40"/>
      <c r="K281" s="40"/>
      <c r="L281" s="40"/>
      <c r="M281" s="40"/>
      <c r="N281" s="40"/>
      <c r="O281" s="40"/>
      <c r="P281" s="40"/>
      <c r="Q281" s="40"/>
      <c r="R281" s="40"/>
      <c r="S281" s="40"/>
    </row>
    <row r="282" spans="3:19">
      <c r="C282" s="40"/>
      <c r="D282" s="40"/>
      <c r="E282" s="40"/>
      <c r="F282" s="40"/>
      <c r="G282" s="40"/>
      <c r="H282" s="40"/>
      <c r="I282" s="40"/>
      <c r="J282" s="40"/>
      <c r="K282" s="40"/>
      <c r="L282" s="40"/>
      <c r="M282" s="40"/>
      <c r="N282" s="40"/>
      <c r="O282" s="40"/>
      <c r="P282" s="40"/>
      <c r="Q282" s="40"/>
      <c r="R282" s="40"/>
      <c r="S282" s="40"/>
    </row>
    <row r="283" spans="3:19">
      <c r="C283" s="40"/>
      <c r="D283" s="40"/>
      <c r="E283" s="40"/>
      <c r="F283" s="40"/>
      <c r="G283" s="40"/>
      <c r="H283" s="40"/>
      <c r="I283" s="40"/>
      <c r="J283" s="40"/>
      <c r="K283" s="40"/>
      <c r="L283" s="40"/>
      <c r="M283" s="40"/>
      <c r="N283" s="40"/>
      <c r="O283" s="40"/>
      <c r="P283" s="40"/>
      <c r="Q283" s="40"/>
      <c r="R283" s="40"/>
      <c r="S283" s="40"/>
    </row>
    <row r="284" spans="3:19">
      <c r="C284" s="40"/>
      <c r="D284" s="40"/>
      <c r="E284" s="40"/>
      <c r="F284" s="40"/>
      <c r="G284" s="40"/>
      <c r="H284" s="40"/>
      <c r="I284" s="40"/>
      <c r="J284" s="40"/>
      <c r="K284" s="40"/>
      <c r="L284" s="40"/>
      <c r="M284" s="40"/>
      <c r="N284" s="40"/>
      <c r="O284" s="40"/>
      <c r="P284" s="40"/>
      <c r="Q284" s="40"/>
      <c r="R284" s="40"/>
      <c r="S284" s="40"/>
    </row>
    <row r="285" spans="3:19">
      <c r="C285" s="40"/>
      <c r="D285" s="40"/>
      <c r="E285" s="40"/>
      <c r="F285" s="40"/>
      <c r="G285" s="40"/>
      <c r="H285" s="40"/>
      <c r="I285" s="40"/>
      <c r="J285" s="40"/>
      <c r="K285" s="40"/>
      <c r="L285" s="40"/>
      <c r="M285" s="40"/>
      <c r="N285" s="40"/>
      <c r="O285" s="40"/>
      <c r="P285" s="40"/>
      <c r="Q285" s="40"/>
      <c r="R285" s="40"/>
      <c r="S285" s="40"/>
    </row>
    <row r="286" spans="3:19">
      <c r="C286" s="40"/>
      <c r="D286" s="40"/>
      <c r="E286" s="40"/>
      <c r="F286" s="40"/>
      <c r="G286" s="40"/>
      <c r="H286" s="40"/>
      <c r="I286" s="40"/>
      <c r="J286" s="40"/>
      <c r="K286" s="40"/>
      <c r="L286" s="40"/>
      <c r="M286" s="40"/>
      <c r="N286" s="40"/>
      <c r="O286" s="40"/>
      <c r="P286" s="40"/>
      <c r="Q286" s="40"/>
      <c r="R286" s="40"/>
      <c r="S286" s="40"/>
    </row>
    <row r="287" spans="3:19">
      <c r="C287" s="40"/>
      <c r="D287" s="40"/>
      <c r="E287" s="40"/>
      <c r="F287" s="40"/>
      <c r="G287" s="40"/>
      <c r="H287" s="40"/>
      <c r="I287" s="40"/>
      <c r="J287" s="40"/>
      <c r="K287" s="40"/>
      <c r="L287" s="40"/>
      <c r="M287" s="40"/>
      <c r="N287" s="40"/>
      <c r="O287" s="40"/>
      <c r="P287" s="40"/>
      <c r="Q287" s="40"/>
      <c r="R287" s="40"/>
      <c r="S287" s="40"/>
    </row>
    <row r="288" spans="3:19">
      <c r="C288" s="40"/>
      <c r="D288" s="40"/>
      <c r="E288" s="40"/>
      <c r="F288" s="40"/>
      <c r="G288" s="40"/>
      <c r="H288" s="40"/>
      <c r="I288" s="40"/>
      <c r="J288" s="40"/>
      <c r="K288" s="40"/>
      <c r="L288" s="40"/>
      <c r="M288" s="40"/>
      <c r="N288" s="40"/>
      <c r="O288" s="40"/>
      <c r="P288" s="40"/>
      <c r="Q288" s="40"/>
      <c r="R288" s="40"/>
      <c r="S288" s="40"/>
    </row>
    <row r="289" spans="3:19">
      <c r="C289" s="40"/>
      <c r="D289" s="40"/>
      <c r="E289" s="40"/>
      <c r="F289" s="40"/>
      <c r="G289" s="40"/>
      <c r="H289" s="40"/>
      <c r="I289" s="40"/>
      <c r="J289" s="40"/>
      <c r="K289" s="40"/>
      <c r="L289" s="40"/>
      <c r="M289" s="40"/>
      <c r="N289" s="40"/>
      <c r="O289" s="40"/>
      <c r="P289" s="40"/>
      <c r="Q289" s="40"/>
      <c r="R289" s="40"/>
      <c r="S289" s="40"/>
    </row>
    <row r="290" spans="3:19">
      <c r="C290" s="40"/>
      <c r="D290" s="40"/>
      <c r="E290" s="40"/>
      <c r="F290" s="40"/>
      <c r="G290" s="40"/>
      <c r="H290" s="40"/>
      <c r="I290" s="40"/>
      <c r="J290" s="40"/>
      <c r="K290" s="40"/>
      <c r="L290" s="40"/>
      <c r="M290" s="40"/>
      <c r="N290" s="40"/>
      <c r="O290" s="40"/>
      <c r="P290" s="40"/>
      <c r="Q290" s="40"/>
      <c r="R290" s="40"/>
      <c r="S290" s="40"/>
    </row>
    <row r="291" spans="3:19">
      <c r="C291" s="40"/>
      <c r="D291" s="40"/>
      <c r="E291" s="40"/>
      <c r="F291" s="40"/>
      <c r="G291" s="40"/>
      <c r="H291" s="40"/>
      <c r="I291" s="40"/>
      <c r="J291" s="40"/>
      <c r="K291" s="40"/>
      <c r="L291" s="40"/>
      <c r="M291" s="40"/>
      <c r="N291" s="40"/>
      <c r="O291" s="40"/>
      <c r="P291" s="40"/>
      <c r="Q291" s="40"/>
      <c r="R291" s="40"/>
      <c r="S291" s="40"/>
    </row>
    <row r="292" spans="3:19">
      <c r="C292" s="40"/>
      <c r="D292" s="40"/>
      <c r="E292" s="40"/>
      <c r="F292" s="40"/>
      <c r="G292" s="40"/>
      <c r="H292" s="40"/>
      <c r="I292" s="40"/>
      <c r="J292" s="40"/>
      <c r="K292" s="40"/>
      <c r="L292" s="40"/>
      <c r="M292" s="40"/>
      <c r="N292" s="40"/>
      <c r="O292" s="40"/>
      <c r="P292" s="40"/>
      <c r="Q292" s="40"/>
      <c r="R292" s="40"/>
      <c r="S292" s="40"/>
    </row>
    <row r="293" spans="3:19">
      <c r="C293" s="40"/>
      <c r="D293" s="40"/>
      <c r="E293" s="40"/>
      <c r="F293" s="40"/>
      <c r="G293" s="40"/>
      <c r="H293" s="40"/>
      <c r="I293" s="40"/>
      <c r="J293" s="40"/>
      <c r="K293" s="40"/>
      <c r="L293" s="40"/>
      <c r="M293" s="40"/>
      <c r="N293" s="40"/>
      <c r="O293" s="40"/>
      <c r="P293" s="40"/>
      <c r="Q293" s="40"/>
      <c r="R293" s="40"/>
      <c r="S293" s="40"/>
    </row>
    <row r="294" spans="3:19">
      <c r="C294" s="40"/>
      <c r="D294" s="40"/>
      <c r="E294" s="40"/>
      <c r="F294" s="40"/>
      <c r="G294" s="40"/>
      <c r="H294" s="40"/>
      <c r="I294" s="40"/>
      <c r="J294" s="40"/>
      <c r="K294" s="40"/>
      <c r="L294" s="40"/>
      <c r="M294" s="40"/>
      <c r="N294" s="40"/>
      <c r="O294" s="40"/>
      <c r="P294" s="40"/>
      <c r="Q294" s="40"/>
      <c r="R294" s="40"/>
      <c r="S294" s="40"/>
    </row>
    <row r="295" spans="3:19">
      <c r="C295" s="40"/>
      <c r="D295" s="40"/>
      <c r="E295" s="40"/>
      <c r="F295" s="40"/>
      <c r="G295" s="40"/>
      <c r="H295" s="40"/>
      <c r="I295" s="40"/>
      <c r="J295" s="40"/>
      <c r="K295" s="40"/>
      <c r="L295" s="40"/>
      <c r="M295" s="40"/>
      <c r="N295" s="40"/>
      <c r="O295" s="40"/>
      <c r="P295" s="40"/>
      <c r="Q295" s="40"/>
      <c r="R295" s="40"/>
      <c r="S295" s="40"/>
    </row>
    <row r="296" spans="3:19">
      <c r="C296" s="40"/>
      <c r="D296" s="40"/>
      <c r="E296" s="40"/>
      <c r="F296" s="40"/>
      <c r="G296" s="40"/>
      <c r="H296" s="40"/>
      <c r="I296" s="40"/>
      <c r="J296" s="40"/>
      <c r="K296" s="40"/>
      <c r="L296" s="40"/>
      <c r="M296" s="40"/>
      <c r="N296" s="40"/>
      <c r="O296" s="40"/>
      <c r="P296" s="40"/>
      <c r="Q296" s="40"/>
      <c r="R296" s="40"/>
      <c r="S296" s="40"/>
    </row>
    <row r="297" spans="3:19">
      <c r="C297" s="40"/>
      <c r="D297" s="40"/>
      <c r="E297" s="40"/>
      <c r="F297" s="40"/>
      <c r="G297" s="40"/>
      <c r="H297" s="40"/>
      <c r="I297" s="40"/>
      <c r="J297" s="40"/>
      <c r="K297" s="40"/>
      <c r="L297" s="40"/>
      <c r="M297" s="40"/>
      <c r="N297" s="40"/>
      <c r="O297" s="40"/>
      <c r="P297" s="40"/>
      <c r="Q297" s="40"/>
      <c r="R297" s="40"/>
      <c r="S297" s="40"/>
    </row>
    <row r="298" spans="3:19">
      <c r="C298" s="40"/>
      <c r="D298" s="40"/>
      <c r="E298" s="40"/>
      <c r="F298" s="40"/>
      <c r="G298" s="40"/>
      <c r="H298" s="40"/>
      <c r="I298" s="40"/>
      <c r="J298" s="40"/>
      <c r="K298" s="40"/>
      <c r="L298" s="40"/>
      <c r="M298" s="40"/>
      <c r="N298" s="40"/>
      <c r="O298" s="40"/>
      <c r="P298" s="40"/>
      <c r="Q298" s="40"/>
      <c r="R298" s="40"/>
      <c r="S298" s="40"/>
    </row>
    <row r="299" spans="3:19">
      <c r="C299" s="40"/>
      <c r="D299" s="40"/>
      <c r="E299" s="40"/>
      <c r="F299" s="40"/>
      <c r="G299" s="40"/>
      <c r="H299" s="40"/>
      <c r="I299" s="40"/>
      <c r="J299" s="40"/>
      <c r="K299" s="40"/>
      <c r="L299" s="40"/>
      <c r="M299" s="40"/>
      <c r="N299" s="40"/>
      <c r="O299" s="40"/>
      <c r="P299" s="40"/>
      <c r="Q299" s="40"/>
      <c r="R299" s="40"/>
      <c r="S299" s="40"/>
    </row>
    <row r="300" spans="3:19">
      <c r="C300" s="40"/>
      <c r="D300" s="40"/>
      <c r="E300" s="40"/>
      <c r="F300" s="40"/>
      <c r="G300" s="40"/>
      <c r="H300" s="40"/>
      <c r="I300" s="40"/>
      <c r="J300" s="40"/>
      <c r="K300" s="40"/>
      <c r="L300" s="40"/>
      <c r="M300" s="40"/>
      <c r="N300" s="40"/>
      <c r="O300" s="40"/>
      <c r="P300" s="40"/>
      <c r="Q300" s="40"/>
      <c r="R300" s="40"/>
      <c r="S300" s="40"/>
    </row>
    <row r="301" spans="3:19">
      <c r="C301" s="40"/>
      <c r="D301" s="40"/>
      <c r="E301" s="40"/>
      <c r="F301" s="40"/>
      <c r="G301" s="40"/>
      <c r="H301" s="40"/>
      <c r="I301" s="40"/>
      <c r="J301" s="40"/>
      <c r="K301" s="40"/>
      <c r="L301" s="40"/>
      <c r="M301" s="40"/>
      <c r="N301" s="40"/>
      <c r="O301" s="40"/>
      <c r="P301" s="40"/>
      <c r="Q301" s="40"/>
      <c r="R301" s="40"/>
      <c r="S301" s="40"/>
    </row>
    <row r="302" spans="3:19">
      <c r="C302" s="40"/>
      <c r="D302" s="40"/>
      <c r="E302" s="40"/>
      <c r="F302" s="40"/>
      <c r="G302" s="40"/>
      <c r="H302" s="40"/>
      <c r="I302" s="40"/>
      <c r="J302" s="40"/>
      <c r="K302" s="40"/>
      <c r="L302" s="40"/>
      <c r="M302" s="40"/>
      <c r="N302" s="40"/>
      <c r="O302" s="40"/>
      <c r="P302" s="40"/>
      <c r="Q302" s="40"/>
      <c r="R302" s="40"/>
      <c r="S302" s="40"/>
    </row>
    <row r="303" spans="3:19">
      <c r="C303" s="40"/>
      <c r="D303" s="40"/>
      <c r="E303" s="40"/>
      <c r="F303" s="40"/>
      <c r="G303" s="40"/>
      <c r="H303" s="40"/>
      <c r="I303" s="40"/>
      <c r="J303" s="40"/>
      <c r="K303" s="40"/>
      <c r="L303" s="40"/>
      <c r="M303" s="40"/>
      <c r="N303" s="40"/>
      <c r="O303" s="40"/>
      <c r="P303" s="40"/>
      <c r="Q303" s="40"/>
      <c r="R303" s="40"/>
      <c r="S303" s="40"/>
    </row>
    <row r="304" spans="3:19">
      <c r="C304" s="40"/>
      <c r="D304" s="40"/>
      <c r="E304" s="40"/>
      <c r="F304" s="40"/>
      <c r="G304" s="40"/>
      <c r="H304" s="40"/>
      <c r="I304" s="40"/>
      <c r="J304" s="40"/>
      <c r="K304" s="40"/>
      <c r="L304" s="40"/>
      <c r="M304" s="40"/>
      <c r="N304" s="40"/>
      <c r="O304" s="40"/>
      <c r="P304" s="40"/>
      <c r="Q304" s="40"/>
      <c r="R304" s="40"/>
      <c r="S304" s="40"/>
    </row>
    <row r="305" spans="3:19">
      <c r="C305" s="40"/>
      <c r="D305" s="40"/>
      <c r="E305" s="40"/>
      <c r="F305" s="40"/>
      <c r="G305" s="40"/>
      <c r="H305" s="40"/>
      <c r="I305" s="40"/>
      <c r="J305" s="40"/>
      <c r="K305" s="40"/>
      <c r="L305" s="40"/>
      <c r="M305" s="40"/>
      <c r="N305" s="40"/>
      <c r="O305" s="40"/>
      <c r="P305" s="40"/>
      <c r="Q305" s="40"/>
      <c r="R305" s="40"/>
      <c r="S305" s="40"/>
    </row>
    <row r="306" spans="3:19">
      <c r="C306" s="40"/>
      <c r="D306" s="40"/>
      <c r="E306" s="40"/>
      <c r="F306" s="40"/>
      <c r="G306" s="40"/>
      <c r="H306" s="40"/>
      <c r="I306" s="40"/>
      <c r="J306" s="40"/>
      <c r="K306" s="40"/>
      <c r="L306" s="40"/>
      <c r="M306" s="40"/>
      <c r="N306" s="40"/>
      <c r="O306" s="40"/>
      <c r="P306" s="40"/>
      <c r="Q306" s="40"/>
      <c r="R306" s="40"/>
      <c r="S306" s="40"/>
    </row>
    <row r="307" spans="3:19">
      <c r="C307" s="40"/>
      <c r="D307" s="40"/>
      <c r="E307" s="40"/>
      <c r="F307" s="40"/>
      <c r="G307" s="40"/>
      <c r="H307" s="40"/>
      <c r="I307" s="40"/>
      <c r="J307" s="40"/>
      <c r="K307" s="40"/>
      <c r="L307" s="40"/>
      <c r="M307" s="40"/>
      <c r="N307" s="40"/>
      <c r="O307" s="40"/>
      <c r="P307" s="40"/>
      <c r="Q307" s="40"/>
      <c r="R307" s="40"/>
      <c r="S307" s="40"/>
    </row>
    <row r="308" spans="3:19">
      <c r="C308" s="40"/>
      <c r="D308" s="40"/>
      <c r="E308" s="40"/>
      <c r="F308" s="40"/>
      <c r="G308" s="40"/>
      <c r="H308" s="40"/>
      <c r="I308" s="40"/>
      <c r="J308" s="40"/>
      <c r="K308" s="40"/>
      <c r="L308" s="40"/>
      <c r="M308" s="40"/>
      <c r="N308" s="40"/>
      <c r="O308" s="40"/>
      <c r="P308" s="40"/>
      <c r="Q308" s="40"/>
      <c r="R308" s="40"/>
      <c r="S308" s="40"/>
    </row>
    <row r="309" spans="3:19">
      <c r="C309" s="40"/>
      <c r="D309" s="40"/>
      <c r="E309" s="40"/>
      <c r="F309" s="40"/>
      <c r="G309" s="40"/>
      <c r="H309" s="40"/>
      <c r="I309" s="40"/>
      <c r="J309" s="40"/>
      <c r="K309" s="40"/>
      <c r="L309" s="40"/>
      <c r="M309" s="40"/>
      <c r="N309" s="40"/>
      <c r="O309" s="40"/>
      <c r="P309" s="40"/>
      <c r="Q309" s="40"/>
      <c r="R309" s="40"/>
      <c r="S309" s="40"/>
    </row>
    <row r="310" spans="3:19">
      <c r="C310" s="40"/>
      <c r="D310" s="40"/>
      <c r="E310" s="40"/>
      <c r="F310" s="40"/>
      <c r="G310" s="40"/>
      <c r="H310" s="40"/>
      <c r="I310" s="40"/>
      <c r="J310" s="40"/>
      <c r="K310" s="40"/>
      <c r="L310" s="40"/>
      <c r="M310" s="40"/>
      <c r="N310" s="40"/>
      <c r="O310" s="40"/>
      <c r="P310" s="40"/>
      <c r="Q310" s="40"/>
      <c r="R310" s="40"/>
      <c r="S310" s="40"/>
    </row>
    <row r="311" spans="3:19">
      <c r="C311" s="40"/>
      <c r="D311" s="40"/>
      <c r="E311" s="40"/>
      <c r="F311" s="40"/>
      <c r="G311" s="40"/>
      <c r="H311" s="40"/>
      <c r="I311" s="40"/>
      <c r="J311" s="40"/>
      <c r="K311" s="40"/>
      <c r="L311" s="40"/>
      <c r="M311" s="40"/>
      <c r="N311" s="40"/>
      <c r="O311" s="40"/>
      <c r="P311" s="40"/>
      <c r="Q311" s="40"/>
      <c r="R311" s="40"/>
      <c r="S311" s="40"/>
    </row>
    <row r="312" spans="3:19">
      <c r="C312" s="40"/>
      <c r="D312" s="40"/>
      <c r="E312" s="40"/>
      <c r="F312" s="40"/>
      <c r="G312" s="40"/>
      <c r="H312" s="40"/>
      <c r="I312" s="40"/>
      <c r="J312" s="40"/>
      <c r="K312" s="40"/>
      <c r="L312" s="40"/>
      <c r="M312" s="40"/>
      <c r="N312" s="40"/>
      <c r="O312" s="40"/>
      <c r="P312" s="40"/>
      <c r="Q312" s="40"/>
      <c r="R312" s="40"/>
      <c r="S312" s="40"/>
    </row>
    <row r="313" spans="3:19">
      <c r="C313" s="40"/>
      <c r="D313" s="40"/>
      <c r="E313" s="40"/>
      <c r="F313" s="40"/>
      <c r="G313" s="40"/>
      <c r="H313" s="40"/>
      <c r="I313" s="40"/>
      <c r="J313" s="40"/>
      <c r="K313" s="40"/>
      <c r="L313" s="40"/>
      <c r="M313" s="40"/>
      <c r="N313" s="40"/>
      <c r="O313" s="40"/>
      <c r="P313" s="40"/>
      <c r="Q313" s="40"/>
      <c r="R313" s="40"/>
      <c r="S313" s="40"/>
    </row>
    <row r="314" spans="3:19">
      <c r="C314" s="40"/>
      <c r="D314" s="40"/>
      <c r="E314" s="40"/>
      <c r="F314" s="40"/>
      <c r="G314" s="40"/>
      <c r="H314" s="40"/>
      <c r="I314" s="40"/>
      <c r="J314" s="40"/>
      <c r="K314" s="40"/>
      <c r="L314" s="40"/>
      <c r="M314" s="40"/>
      <c r="N314" s="40"/>
      <c r="O314" s="40"/>
      <c r="P314" s="40"/>
      <c r="Q314" s="40"/>
      <c r="R314" s="40"/>
      <c r="S314" s="40"/>
    </row>
    <row r="315" spans="3:19">
      <c r="C315" s="40"/>
      <c r="D315" s="40"/>
      <c r="E315" s="40"/>
      <c r="F315" s="40"/>
      <c r="G315" s="40"/>
      <c r="H315" s="40"/>
      <c r="I315" s="40"/>
      <c r="J315" s="40"/>
      <c r="K315" s="40"/>
      <c r="L315" s="40"/>
      <c r="M315" s="40"/>
      <c r="N315" s="40"/>
      <c r="O315" s="40"/>
      <c r="P315" s="40"/>
      <c r="Q315" s="40"/>
      <c r="R315" s="40"/>
      <c r="S315" s="40"/>
    </row>
    <row r="316" spans="3:19">
      <c r="C316" s="40"/>
      <c r="D316" s="40"/>
      <c r="E316" s="40"/>
      <c r="F316" s="40"/>
      <c r="G316" s="40"/>
      <c r="H316" s="40"/>
      <c r="I316" s="40"/>
      <c r="J316" s="40"/>
      <c r="K316" s="40"/>
      <c r="L316" s="40"/>
      <c r="M316" s="40"/>
      <c r="N316" s="40"/>
      <c r="O316" s="40"/>
      <c r="P316" s="40"/>
      <c r="Q316" s="40"/>
      <c r="R316" s="40"/>
      <c r="S316" s="40"/>
    </row>
    <row r="317" spans="3:19">
      <c r="C317" s="40"/>
      <c r="D317" s="40"/>
      <c r="E317" s="40"/>
      <c r="F317" s="40"/>
      <c r="G317" s="40"/>
      <c r="H317" s="40"/>
      <c r="I317" s="40"/>
      <c r="J317" s="40"/>
      <c r="K317" s="40"/>
      <c r="L317" s="40"/>
      <c r="M317" s="40"/>
      <c r="N317" s="40"/>
      <c r="O317" s="40"/>
      <c r="P317" s="40"/>
      <c r="Q317" s="40"/>
      <c r="R317" s="40"/>
      <c r="S317" s="40"/>
    </row>
    <row r="318" spans="3:19">
      <c r="C318" s="40"/>
      <c r="D318" s="40"/>
      <c r="E318" s="40"/>
      <c r="F318" s="40"/>
      <c r="G318" s="40"/>
      <c r="H318" s="40"/>
      <c r="I318" s="40"/>
      <c r="J318" s="40"/>
      <c r="K318" s="40"/>
      <c r="L318" s="40"/>
      <c r="M318" s="40"/>
      <c r="N318" s="40"/>
      <c r="O318" s="40"/>
      <c r="P318" s="40"/>
      <c r="Q318" s="40"/>
      <c r="R318" s="40"/>
      <c r="S318" s="40"/>
    </row>
    <row r="319" spans="3:19">
      <c r="C319" s="40"/>
      <c r="D319" s="40"/>
      <c r="E319" s="40"/>
      <c r="F319" s="40"/>
      <c r="G319" s="40"/>
      <c r="H319" s="40"/>
      <c r="I319" s="40"/>
      <c r="J319" s="40"/>
      <c r="K319" s="40"/>
      <c r="L319" s="40"/>
      <c r="M319" s="40"/>
      <c r="N319" s="40"/>
      <c r="O319" s="40"/>
      <c r="P319" s="40"/>
      <c r="Q319" s="40"/>
      <c r="R319" s="40"/>
      <c r="S319" s="40"/>
    </row>
    <row r="320" spans="3:19">
      <c r="C320" s="40"/>
      <c r="D320" s="40"/>
      <c r="E320" s="40"/>
      <c r="F320" s="40"/>
      <c r="G320" s="40"/>
      <c r="H320" s="40"/>
      <c r="I320" s="40"/>
      <c r="J320" s="40"/>
      <c r="K320" s="40"/>
      <c r="L320" s="40"/>
      <c r="M320" s="40"/>
      <c r="N320" s="40"/>
      <c r="O320" s="40"/>
      <c r="P320" s="40"/>
      <c r="Q320" s="40"/>
      <c r="R320" s="40"/>
      <c r="S320" s="40"/>
    </row>
    <row r="321" spans="3:19">
      <c r="C321" s="40"/>
      <c r="D321" s="40"/>
      <c r="E321" s="40"/>
      <c r="F321" s="40"/>
      <c r="G321" s="40"/>
      <c r="H321" s="40"/>
      <c r="I321" s="40"/>
      <c r="J321" s="40"/>
      <c r="K321" s="40"/>
      <c r="L321" s="40"/>
      <c r="M321" s="40"/>
      <c r="N321" s="40"/>
      <c r="O321" s="40"/>
      <c r="P321" s="40"/>
      <c r="Q321" s="40"/>
      <c r="R321" s="40"/>
      <c r="S321" s="40"/>
    </row>
    <row r="322" spans="3:19">
      <c r="C322" s="40"/>
      <c r="D322" s="40"/>
      <c r="E322" s="40"/>
      <c r="F322" s="40"/>
      <c r="G322" s="40"/>
      <c r="H322" s="40"/>
      <c r="I322" s="40"/>
      <c r="J322" s="40"/>
      <c r="K322" s="40"/>
      <c r="L322" s="40"/>
      <c r="M322" s="40"/>
      <c r="N322" s="40"/>
      <c r="O322" s="40"/>
      <c r="P322" s="40"/>
      <c r="Q322" s="40"/>
      <c r="R322" s="40"/>
      <c r="S322" s="40"/>
    </row>
    <row r="323" spans="3:19">
      <c r="C323" s="40"/>
      <c r="D323" s="40"/>
      <c r="E323" s="40"/>
      <c r="F323" s="40"/>
      <c r="G323" s="40"/>
      <c r="H323" s="40"/>
      <c r="I323" s="40"/>
      <c r="J323" s="40"/>
      <c r="K323" s="40"/>
      <c r="L323" s="40"/>
      <c r="M323" s="40"/>
      <c r="N323" s="40"/>
      <c r="O323" s="40"/>
      <c r="P323" s="40"/>
      <c r="Q323" s="40"/>
      <c r="R323" s="40"/>
      <c r="S323" s="40"/>
    </row>
    <row r="324" spans="3:19">
      <c r="C324" s="40"/>
      <c r="D324" s="40"/>
      <c r="E324" s="40"/>
      <c r="F324" s="40"/>
      <c r="G324" s="40"/>
      <c r="H324" s="40"/>
      <c r="I324" s="40"/>
      <c r="J324" s="40"/>
      <c r="K324" s="40"/>
      <c r="L324" s="40"/>
      <c r="M324" s="40"/>
      <c r="N324" s="40"/>
      <c r="O324" s="40"/>
      <c r="P324" s="40"/>
      <c r="Q324" s="40"/>
      <c r="R324" s="40"/>
      <c r="S324" s="40"/>
    </row>
    <row r="325" spans="3:19">
      <c r="C325" s="40"/>
      <c r="D325" s="40"/>
      <c r="E325" s="40"/>
      <c r="F325" s="40"/>
      <c r="G325" s="40"/>
      <c r="H325" s="40"/>
      <c r="I325" s="40"/>
      <c r="J325" s="40"/>
      <c r="K325" s="40"/>
      <c r="L325" s="40"/>
      <c r="M325" s="40"/>
      <c r="N325" s="40"/>
      <c r="O325" s="40"/>
      <c r="P325" s="40"/>
      <c r="Q325" s="40"/>
      <c r="R325" s="40"/>
      <c r="S325" s="40"/>
    </row>
    <row r="326" spans="3:19">
      <c r="C326" s="40"/>
      <c r="D326" s="40"/>
      <c r="E326" s="40"/>
      <c r="F326" s="40"/>
      <c r="G326" s="40"/>
      <c r="H326" s="40"/>
      <c r="I326" s="40"/>
      <c r="J326" s="40"/>
      <c r="K326" s="40"/>
      <c r="L326" s="40"/>
      <c r="M326" s="40"/>
      <c r="N326" s="40"/>
      <c r="O326" s="40"/>
      <c r="P326" s="40"/>
      <c r="Q326" s="40"/>
      <c r="R326" s="40"/>
      <c r="S326" s="40"/>
    </row>
    <row r="327" spans="3:19">
      <c r="C327" s="40"/>
      <c r="D327" s="40"/>
      <c r="E327" s="40"/>
      <c r="F327" s="40"/>
      <c r="G327" s="40"/>
      <c r="H327" s="40"/>
      <c r="I327" s="40"/>
      <c r="J327" s="40"/>
      <c r="K327" s="40"/>
      <c r="L327" s="40"/>
      <c r="M327" s="40"/>
      <c r="N327" s="40"/>
      <c r="O327" s="40"/>
      <c r="P327" s="40"/>
      <c r="Q327" s="40"/>
      <c r="R327" s="40"/>
      <c r="S327" s="40"/>
    </row>
    <row r="328" spans="3:19">
      <c r="C328" s="40"/>
      <c r="D328" s="40"/>
      <c r="E328" s="40"/>
      <c r="F328" s="40"/>
      <c r="G328" s="40"/>
      <c r="H328" s="40"/>
      <c r="I328" s="40"/>
      <c r="J328" s="40"/>
      <c r="K328" s="40"/>
      <c r="L328" s="40"/>
      <c r="M328" s="40"/>
      <c r="N328" s="40"/>
      <c r="O328" s="40"/>
      <c r="P328" s="40"/>
      <c r="Q328" s="40"/>
      <c r="R328" s="40"/>
      <c r="S328" s="40"/>
    </row>
    <row r="329" spans="3:19">
      <c r="C329" s="40"/>
      <c r="D329" s="40"/>
      <c r="E329" s="40"/>
      <c r="F329" s="40"/>
      <c r="G329" s="40"/>
      <c r="H329" s="40"/>
      <c r="I329" s="40"/>
      <c r="J329" s="40"/>
      <c r="K329" s="40"/>
      <c r="L329" s="40"/>
      <c r="M329" s="40"/>
      <c r="N329" s="40"/>
      <c r="O329" s="40"/>
      <c r="P329" s="40"/>
      <c r="Q329" s="40"/>
      <c r="R329" s="40"/>
      <c r="S329" s="40"/>
    </row>
    <row r="330" spans="3:19">
      <c r="C330" s="40"/>
      <c r="D330" s="40"/>
      <c r="E330" s="40"/>
      <c r="F330" s="40"/>
      <c r="G330" s="40"/>
      <c r="H330" s="40"/>
      <c r="I330" s="40"/>
      <c r="J330" s="40"/>
      <c r="K330" s="40"/>
      <c r="L330" s="40"/>
      <c r="M330" s="40"/>
      <c r="N330" s="40"/>
      <c r="O330" s="40"/>
      <c r="P330" s="40"/>
      <c r="Q330" s="40"/>
      <c r="R330" s="40"/>
      <c r="S330" s="40"/>
    </row>
    <row r="331" spans="3:19">
      <c r="C331" s="40"/>
      <c r="D331" s="40"/>
      <c r="E331" s="40"/>
      <c r="F331" s="40"/>
      <c r="G331" s="40"/>
      <c r="H331" s="40"/>
      <c r="I331" s="40"/>
      <c r="J331" s="40"/>
      <c r="K331" s="40"/>
      <c r="L331" s="40"/>
      <c r="M331" s="40"/>
      <c r="N331" s="40"/>
      <c r="O331" s="40"/>
      <c r="P331" s="40"/>
      <c r="Q331" s="40"/>
      <c r="R331" s="40"/>
      <c r="S331" s="40"/>
    </row>
    <row r="332" spans="3:19">
      <c r="C332" s="40"/>
      <c r="D332" s="40"/>
      <c r="E332" s="40"/>
      <c r="F332" s="40"/>
      <c r="G332" s="40"/>
      <c r="H332" s="40"/>
      <c r="I332" s="40"/>
      <c r="J332" s="40"/>
      <c r="K332" s="40"/>
      <c r="L332" s="40"/>
      <c r="M332" s="40"/>
      <c r="N332" s="40"/>
      <c r="O332" s="40"/>
      <c r="P332" s="40"/>
      <c r="Q332" s="40"/>
      <c r="R332" s="40"/>
      <c r="S332" s="40"/>
    </row>
    <row r="333" spans="3:19">
      <c r="C333" s="40"/>
      <c r="D333" s="40"/>
      <c r="E333" s="40"/>
      <c r="F333" s="40"/>
      <c r="G333" s="40"/>
      <c r="H333" s="40"/>
      <c r="I333" s="40"/>
      <c r="J333" s="40"/>
      <c r="K333" s="40"/>
      <c r="L333" s="40"/>
      <c r="M333" s="40"/>
      <c r="N333" s="40"/>
      <c r="O333" s="40"/>
      <c r="P333" s="40"/>
      <c r="Q333" s="40"/>
      <c r="R333" s="40"/>
      <c r="S333" s="40"/>
    </row>
    <row r="334" spans="3:19">
      <c r="C334" s="40"/>
      <c r="D334" s="40"/>
      <c r="E334" s="40"/>
      <c r="F334" s="40"/>
      <c r="G334" s="40"/>
      <c r="H334" s="40"/>
      <c r="I334" s="40"/>
      <c r="J334" s="40"/>
      <c r="K334" s="40"/>
      <c r="L334" s="40"/>
      <c r="M334" s="40"/>
      <c r="N334" s="40"/>
      <c r="O334" s="40"/>
      <c r="P334" s="40"/>
      <c r="Q334" s="40"/>
      <c r="R334" s="40"/>
      <c r="S334" s="40"/>
    </row>
    <row r="335" spans="3:19">
      <c r="C335" s="40"/>
      <c r="D335" s="40"/>
      <c r="E335" s="40"/>
      <c r="F335" s="40"/>
      <c r="G335" s="40"/>
      <c r="H335" s="40"/>
      <c r="I335" s="40"/>
      <c r="J335" s="40"/>
      <c r="K335" s="40"/>
      <c r="L335" s="40"/>
      <c r="M335" s="40"/>
      <c r="N335" s="40"/>
      <c r="O335" s="40"/>
      <c r="P335" s="40"/>
      <c r="Q335" s="40"/>
      <c r="R335" s="40"/>
      <c r="S335" s="40"/>
    </row>
    <row r="336" spans="3:19">
      <c r="C336" s="40"/>
      <c r="D336" s="40"/>
      <c r="E336" s="40"/>
      <c r="F336" s="40"/>
      <c r="G336" s="40"/>
      <c r="H336" s="40"/>
      <c r="I336" s="40"/>
      <c r="J336" s="40"/>
      <c r="K336" s="40"/>
      <c r="L336" s="40"/>
      <c r="M336" s="40"/>
      <c r="N336" s="40"/>
      <c r="O336" s="40"/>
      <c r="P336" s="40"/>
      <c r="Q336" s="40"/>
      <c r="R336" s="40"/>
      <c r="S336" s="40"/>
    </row>
    <row r="337" spans="3:19">
      <c r="C337" s="40"/>
      <c r="D337" s="40"/>
      <c r="E337" s="40"/>
      <c r="F337" s="40"/>
      <c r="G337" s="40"/>
      <c r="H337" s="40"/>
      <c r="I337" s="40"/>
      <c r="J337" s="40"/>
      <c r="K337" s="40"/>
      <c r="L337" s="40"/>
      <c r="M337" s="40"/>
      <c r="N337" s="40"/>
      <c r="O337" s="40"/>
      <c r="P337" s="40"/>
      <c r="Q337" s="40"/>
      <c r="R337" s="40"/>
      <c r="S337" s="40"/>
    </row>
    <row r="338" spans="3:19">
      <c r="C338" s="40"/>
      <c r="D338" s="40"/>
      <c r="E338" s="40"/>
      <c r="F338" s="40"/>
      <c r="G338" s="40"/>
      <c r="H338" s="40"/>
      <c r="I338" s="40"/>
      <c r="J338" s="40"/>
      <c r="K338" s="40"/>
      <c r="L338" s="40"/>
      <c r="M338" s="40"/>
      <c r="N338" s="40"/>
      <c r="O338" s="40"/>
      <c r="P338" s="40"/>
      <c r="Q338" s="40"/>
      <c r="R338" s="40"/>
      <c r="S338" s="40"/>
    </row>
    <row r="339" spans="3:19">
      <c r="C339" s="40"/>
      <c r="D339" s="40"/>
      <c r="E339" s="40"/>
      <c r="F339" s="40"/>
      <c r="G339" s="40"/>
      <c r="H339" s="40"/>
      <c r="I339" s="40"/>
      <c r="J339" s="40"/>
      <c r="K339" s="40"/>
      <c r="L339" s="40"/>
      <c r="M339" s="40"/>
      <c r="N339" s="40"/>
      <c r="O339" s="40"/>
      <c r="P339" s="40"/>
      <c r="Q339" s="40"/>
      <c r="R339" s="40"/>
      <c r="S339" s="40"/>
    </row>
    <row r="340" spans="3:19">
      <c r="C340" s="40"/>
      <c r="D340" s="40"/>
      <c r="E340" s="40"/>
      <c r="F340" s="40"/>
      <c r="G340" s="40"/>
      <c r="H340" s="40"/>
      <c r="I340" s="40"/>
      <c r="J340" s="40"/>
      <c r="K340" s="40"/>
      <c r="L340" s="40"/>
      <c r="M340" s="40"/>
      <c r="N340" s="40"/>
      <c r="O340" s="40"/>
      <c r="P340" s="40"/>
      <c r="Q340" s="40"/>
      <c r="R340" s="40"/>
      <c r="S340" s="40"/>
    </row>
    <row r="341" spans="3:19">
      <c r="C341" s="40"/>
      <c r="D341" s="40"/>
      <c r="E341" s="40"/>
      <c r="F341" s="40"/>
      <c r="G341" s="40"/>
      <c r="H341" s="40"/>
      <c r="I341" s="40"/>
      <c r="J341" s="40"/>
      <c r="K341" s="40"/>
      <c r="L341" s="40"/>
      <c r="M341" s="40"/>
      <c r="N341" s="40"/>
      <c r="O341" s="40"/>
      <c r="P341" s="40"/>
      <c r="Q341" s="40"/>
      <c r="R341" s="40"/>
      <c r="S341" s="40"/>
    </row>
    <row r="342" spans="3:19">
      <c r="C342" s="40"/>
      <c r="D342" s="40"/>
      <c r="E342" s="40"/>
      <c r="F342" s="40"/>
      <c r="G342" s="40"/>
      <c r="H342" s="40"/>
      <c r="I342" s="40"/>
      <c r="J342" s="40"/>
      <c r="K342" s="40"/>
      <c r="L342" s="40"/>
      <c r="M342" s="40"/>
      <c r="N342" s="40"/>
      <c r="O342" s="40"/>
      <c r="P342" s="40"/>
      <c r="Q342" s="40"/>
      <c r="R342" s="40"/>
      <c r="S342" s="40"/>
    </row>
    <row r="343" spans="3:19">
      <c r="C343" s="40"/>
      <c r="D343" s="40"/>
      <c r="E343" s="40"/>
      <c r="F343" s="40"/>
      <c r="G343" s="40"/>
      <c r="H343" s="40"/>
      <c r="I343" s="40"/>
      <c r="J343" s="40"/>
      <c r="K343" s="40"/>
      <c r="L343" s="40"/>
      <c r="M343" s="40"/>
      <c r="N343" s="40"/>
      <c r="O343" s="40"/>
      <c r="P343" s="40"/>
      <c r="Q343" s="40"/>
      <c r="R343" s="40"/>
      <c r="S343" s="40"/>
    </row>
    <row r="344" spans="3:19">
      <c r="C344" s="40"/>
      <c r="D344" s="40"/>
      <c r="E344" s="40"/>
      <c r="F344" s="40"/>
      <c r="G344" s="40"/>
      <c r="H344" s="40"/>
      <c r="I344" s="40"/>
      <c r="J344" s="40"/>
      <c r="K344" s="40"/>
      <c r="L344" s="40"/>
      <c r="M344" s="40"/>
      <c r="N344" s="40"/>
      <c r="O344" s="40"/>
      <c r="P344" s="40"/>
      <c r="Q344" s="40"/>
      <c r="R344" s="40"/>
      <c r="S344" s="40"/>
    </row>
    <row r="345" spans="3:19">
      <c r="C345" s="40"/>
      <c r="D345" s="40"/>
      <c r="E345" s="40"/>
      <c r="F345" s="40"/>
      <c r="G345" s="40"/>
      <c r="H345" s="40"/>
      <c r="I345" s="40"/>
      <c r="J345" s="40"/>
      <c r="K345" s="40"/>
      <c r="L345" s="40"/>
      <c r="M345" s="40"/>
      <c r="N345" s="40"/>
      <c r="O345" s="40"/>
      <c r="P345" s="40"/>
      <c r="Q345" s="40"/>
      <c r="R345" s="40"/>
      <c r="S345" s="40"/>
    </row>
    <row r="346" spans="3:19">
      <c r="C346" s="40"/>
      <c r="D346" s="40"/>
      <c r="E346" s="40"/>
      <c r="F346" s="40"/>
      <c r="G346" s="40"/>
      <c r="H346" s="40"/>
      <c r="I346" s="40"/>
      <c r="J346" s="40"/>
      <c r="K346" s="40"/>
      <c r="L346" s="40"/>
      <c r="M346" s="40"/>
      <c r="N346" s="40"/>
      <c r="O346" s="40"/>
      <c r="P346" s="40"/>
      <c r="Q346" s="40"/>
      <c r="R346" s="40"/>
      <c r="S346" s="40"/>
    </row>
    <row r="347" spans="3:19">
      <c r="C347" s="40"/>
      <c r="D347" s="40"/>
      <c r="E347" s="40"/>
      <c r="F347" s="40"/>
      <c r="G347" s="40"/>
      <c r="H347" s="40"/>
      <c r="I347" s="40"/>
      <c r="J347" s="40"/>
      <c r="K347" s="40"/>
      <c r="L347" s="40"/>
      <c r="M347" s="40"/>
      <c r="N347" s="40"/>
      <c r="O347" s="40"/>
      <c r="P347" s="40"/>
      <c r="Q347" s="40"/>
      <c r="R347" s="40"/>
      <c r="S347" s="40"/>
    </row>
    <row r="348" spans="3:19">
      <c r="C348" s="40"/>
      <c r="D348" s="40"/>
      <c r="E348" s="40"/>
      <c r="F348" s="40"/>
      <c r="G348" s="40"/>
      <c r="H348" s="40"/>
      <c r="I348" s="40"/>
      <c r="J348" s="40"/>
      <c r="K348" s="40"/>
      <c r="L348" s="40"/>
      <c r="M348" s="40"/>
      <c r="N348" s="40"/>
      <c r="O348" s="40"/>
      <c r="P348" s="40"/>
      <c r="Q348" s="40"/>
      <c r="R348" s="40"/>
      <c r="S348" s="40"/>
    </row>
    <row r="349" spans="3:19">
      <c r="C349" s="40"/>
      <c r="D349" s="40"/>
      <c r="E349" s="40"/>
      <c r="F349" s="40"/>
      <c r="G349" s="40"/>
      <c r="H349" s="40"/>
      <c r="I349" s="40"/>
      <c r="J349" s="40"/>
      <c r="K349" s="40"/>
      <c r="L349" s="40"/>
      <c r="M349" s="40"/>
      <c r="N349" s="40"/>
      <c r="O349" s="40"/>
      <c r="P349" s="40"/>
      <c r="Q349" s="40"/>
      <c r="R349" s="40"/>
      <c r="S349" s="40"/>
    </row>
    <row r="350" spans="3:19">
      <c r="C350" s="40"/>
      <c r="D350" s="40"/>
      <c r="E350" s="40"/>
      <c r="F350" s="40"/>
      <c r="G350" s="40"/>
      <c r="H350" s="40"/>
      <c r="I350" s="40"/>
      <c r="J350" s="40"/>
      <c r="K350" s="40"/>
      <c r="L350" s="40"/>
      <c r="M350" s="40"/>
      <c r="N350" s="40"/>
      <c r="O350" s="40"/>
      <c r="P350" s="40"/>
      <c r="Q350" s="40"/>
      <c r="R350" s="40"/>
      <c r="S350" s="40"/>
    </row>
    <row r="351" spans="3:19">
      <c r="C351" s="40"/>
      <c r="D351" s="40"/>
      <c r="E351" s="40"/>
      <c r="F351" s="40"/>
      <c r="G351" s="40"/>
      <c r="H351" s="40"/>
      <c r="I351" s="40"/>
      <c r="J351" s="40"/>
      <c r="K351" s="40"/>
      <c r="L351" s="40"/>
      <c r="M351" s="40"/>
      <c r="N351" s="40"/>
      <c r="O351" s="40"/>
      <c r="P351" s="40"/>
      <c r="Q351" s="40"/>
      <c r="R351" s="40"/>
      <c r="S351" s="40"/>
    </row>
    <row r="352" spans="3:19">
      <c r="C352" s="40"/>
      <c r="D352" s="40"/>
      <c r="E352" s="40"/>
      <c r="F352" s="40"/>
      <c r="G352" s="40"/>
      <c r="H352" s="40"/>
      <c r="I352" s="40"/>
      <c r="J352" s="40"/>
      <c r="K352" s="40"/>
      <c r="L352" s="40"/>
      <c r="M352" s="40"/>
      <c r="N352" s="40"/>
      <c r="O352" s="40"/>
      <c r="P352" s="40"/>
      <c r="Q352" s="40"/>
      <c r="R352" s="40"/>
      <c r="S352" s="40"/>
    </row>
    <row r="353" spans="3:19">
      <c r="C353" s="40"/>
      <c r="D353" s="40"/>
      <c r="E353" s="40"/>
      <c r="F353" s="40"/>
      <c r="G353" s="40"/>
      <c r="H353" s="40"/>
      <c r="I353" s="40"/>
      <c r="J353" s="40"/>
      <c r="K353" s="40"/>
      <c r="L353" s="40"/>
      <c r="M353" s="40"/>
      <c r="N353" s="40"/>
      <c r="O353" s="40"/>
      <c r="P353" s="40"/>
      <c r="Q353" s="40"/>
      <c r="R353" s="40"/>
      <c r="S353" s="40"/>
    </row>
    <row r="354" spans="3:19">
      <c r="C354" s="40"/>
      <c r="D354" s="40"/>
      <c r="E354" s="40"/>
      <c r="F354" s="40"/>
      <c r="G354" s="40"/>
      <c r="H354" s="40"/>
      <c r="I354" s="40"/>
      <c r="J354" s="40"/>
      <c r="K354" s="40"/>
      <c r="L354" s="40"/>
      <c r="M354" s="40"/>
      <c r="N354" s="40"/>
      <c r="O354" s="40"/>
      <c r="P354" s="40"/>
      <c r="Q354" s="40"/>
      <c r="R354" s="40"/>
      <c r="S354" s="40"/>
    </row>
    <row r="355" spans="3:19">
      <c r="C355" s="40"/>
      <c r="D355" s="40"/>
      <c r="E355" s="40"/>
      <c r="F355" s="40"/>
      <c r="G355" s="40"/>
      <c r="H355" s="40"/>
      <c r="I355" s="40"/>
      <c r="J355" s="40"/>
      <c r="K355" s="40"/>
      <c r="L355" s="40"/>
      <c r="M355" s="40"/>
      <c r="N355" s="40"/>
      <c r="O355" s="40"/>
      <c r="P355" s="40"/>
      <c r="Q355" s="40"/>
      <c r="R355" s="40"/>
      <c r="S355" s="40"/>
    </row>
    <row r="356" spans="3:19">
      <c r="C356" s="40"/>
      <c r="D356" s="40"/>
      <c r="E356" s="40"/>
      <c r="F356" s="40"/>
      <c r="G356" s="40"/>
      <c r="H356" s="40"/>
      <c r="I356" s="40"/>
      <c r="J356" s="40"/>
      <c r="K356" s="40"/>
      <c r="L356" s="40"/>
      <c r="M356" s="40"/>
      <c r="N356" s="40"/>
      <c r="O356" s="40"/>
      <c r="P356" s="40"/>
      <c r="Q356" s="40"/>
      <c r="R356" s="40"/>
      <c r="S356" s="40"/>
    </row>
    <row r="357" spans="3:19">
      <c r="C357" s="40"/>
      <c r="D357" s="40"/>
      <c r="E357" s="40"/>
      <c r="F357" s="40"/>
      <c r="G357" s="40"/>
      <c r="H357" s="40"/>
      <c r="I357" s="40"/>
      <c r="J357" s="40"/>
      <c r="K357" s="40"/>
      <c r="L357" s="40"/>
      <c r="M357" s="40"/>
      <c r="N357" s="40"/>
      <c r="O357" s="40"/>
      <c r="P357" s="40"/>
      <c r="Q357" s="40"/>
      <c r="R357" s="40"/>
      <c r="S357" s="40"/>
    </row>
    <row r="358" spans="3:19">
      <c r="C358" s="40"/>
      <c r="D358" s="40"/>
      <c r="E358" s="40"/>
      <c r="F358" s="40"/>
      <c r="G358" s="40"/>
      <c r="H358" s="40"/>
      <c r="I358" s="40"/>
      <c r="J358" s="40"/>
      <c r="K358" s="40"/>
      <c r="L358" s="40"/>
      <c r="M358" s="40"/>
      <c r="N358" s="40"/>
      <c r="O358" s="40"/>
      <c r="P358" s="40"/>
      <c r="Q358" s="40"/>
      <c r="R358" s="40"/>
      <c r="S358" s="40"/>
    </row>
    <row r="359" spans="3:19">
      <c r="C359" s="40"/>
      <c r="D359" s="40"/>
      <c r="E359" s="40"/>
      <c r="F359" s="40"/>
      <c r="G359" s="40"/>
      <c r="H359" s="40"/>
      <c r="I359" s="40"/>
      <c r="J359" s="40"/>
      <c r="K359" s="40"/>
      <c r="L359" s="40"/>
      <c r="M359" s="40"/>
      <c r="N359" s="40"/>
      <c r="O359" s="40"/>
      <c r="P359" s="40"/>
      <c r="Q359" s="40"/>
      <c r="R359" s="40"/>
      <c r="S359" s="40"/>
    </row>
    <row r="360" spans="3:19">
      <c r="C360" s="40"/>
      <c r="D360" s="40"/>
      <c r="E360" s="40"/>
      <c r="F360" s="40"/>
      <c r="G360" s="40"/>
      <c r="H360" s="40"/>
      <c r="I360" s="40"/>
      <c r="J360" s="40"/>
      <c r="K360" s="40"/>
      <c r="L360" s="40"/>
      <c r="M360" s="40"/>
      <c r="N360" s="40"/>
      <c r="O360" s="40"/>
      <c r="P360" s="40"/>
      <c r="Q360" s="40"/>
      <c r="R360" s="40"/>
      <c r="S360" s="40"/>
    </row>
    <row r="361" spans="3:19">
      <c r="C361" s="40"/>
      <c r="D361" s="40"/>
      <c r="E361" s="40"/>
      <c r="F361" s="40"/>
      <c r="G361" s="40"/>
      <c r="H361" s="40"/>
      <c r="I361" s="40"/>
      <c r="J361" s="40"/>
      <c r="K361" s="40"/>
      <c r="L361" s="40"/>
      <c r="M361" s="40"/>
      <c r="N361" s="40"/>
      <c r="O361" s="40"/>
      <c r="P361" s="40"/>
      <c r="Q361" s="40"/>
      <c r="R361" s="40"/>
      <c r="S361" s="40"/>
    </row>
    <row r="362" spans="3:19">
      <c r="C362" s="40"/>
      <c r="D362" s="40"/>
      <c r="E362" s="40"/>
      <c r="F362" s="40"/>
      <c r="G362" s="40"/>
      <c r="H362" s="40"/>
      <c r="I362" s="40"/>
      <c r="J362" s="40"/>
      <c r="K362" s="40"/>
      <c r="L362" s="40"/>
      <c r="M362" s="40"/>
      <c r="N362" s="40"/>
      <c r="O362" s="40"/>
      <c r="P362" s="40"/>
      <c r="Q362" s="40"/>
      <c r="R362" s="40"/>
      <c r="S362" s="40"/>
    </row>
    <row r="363" spans="3:19">
      <c r="C363" s="40"/>
      <c r="D363" s="40"/>
      <c r="E363" s="40"/>
      <c r="F363" s="40"/>
      <c r="G363" s="40"/>
      <c r="H363" s="40"/>
      <c r="I363" s="40"/>
      <c r="J363" s="40"/>
      <c r="K363" s="40"/>
      <c r="L363" s="40"/>
      <c r="M363" s="40"/>
      <c r="N363" s="40"/>
      <c r="O363" s="40"/>
      <c r="P363" s="40"/>
      <c r="Q363" s="40"/>
      <c r="R363" s="40"/>
      <c r="S363" s="40"/>
    </row>
    <row r="364" spans="3:19">
      <c r="C364" s="40"/>
      <c r="D364" s="40"/>
      <c r="E364" s="40"/>
      <c r="F364" s="40"/>
      <c r="G364" s="40"/>
      <c r="H364" s="40"/>
      <c r="I364" s="40"/>
      <c r="J364" s="40"/>
      <c r="K364" s="40"/>
      <c r="L364" s="40"/>
      <c r="M364" s="40"/>
      <c r="N364" s="40"/>
      <c r="O364" s="40"/>
      <c r="P364" s="40"/>
      <c r="Q364" s="40"/>
      <c r="R364" s="40"/>
      <c r="S364" s="40"/>
    </row>
    <row r="365" spans="3:19">
      <c r="C365" s="40"/>
      <c r="D365" s="40"/>
      <c r="E365" s="40"/>
      <c r="F365" s="40"/>
      <c r="G365" s="40"/>
      <c r="H365" s="40"/>
      <c r="I365" s="40"/>
      <c r="J365" s="40"/>
      <c r="K365" s="40"/>
      <c r="L365" s="40"/>
      <c r="M365" s="40"/>
      <c r="N365" s="40"/>
      <c r="O365" s="40"/>
      <c r="P365" s="40"/>
      <c r="Q365" s="40"/>
      <c r="R365" s="40"/>
      <c r="S365" s="40"/>
    </row>
    <row r="366" spans="3:19">
      <c r="C366" s="40"/>
      <c r="D366" s="40"/>
      <c r="E366" s="40"/>
      <c r="F366" s="40"/>
      <c r="G366" s="40"/>
      <c r="H366" s="40"/>
      <c r="I366" s="40"/>
      <c r="J366" s="40"/>
      <c r="K366" s="40"/>
      <c r="L366" s="40"/>
      <c r="M366" s="40"/>
      <c r="N366" s="40"/>
      <c r="O366" s="40"/>
      <c r="P366" s="40"/>
      <c r="Q366" s="40"/>
      <c r="R366" s="40"/>
      <c r="S366" s="40"/>
    </row>
    <row r="367" spans="3:19">
      <c r="C367" s="40"/>
      <c r="D367" s="40"/>
      <c r="E367" s="40"/>
      <c r="F367" s="40"/>
      <c r="G367" s="40"/>
      <c r="H367" s="40"/>
      <c r="I367" s="40"/>
      <c r="J367" s="40"/>
      <c r="K367" s="40"/>
      <c r="L367" s="40"/>
      <c r="M367" s="40"/>
      <c r="N367" s="40"/>
      <c r="O367" s="40"/>
      <c r="P367" s="40"/>
      <c r="Q367" s="40"/>
      <c r="R367" s="40"/>
      <c r="S367" s="40"/>
    </row>
    <row r="368" spans="3:19">
      <c r="C368" s="40"/>
      <c r="D368" s="40"/>
      <c r="E368" s="40"/>
      <c r="F368" s="40"/>
      <c r="G368" s="40"/>
      <c r="H368" s="40"/>
      <c r="I368" s="40"/>
      <c r="J368" s="40"/>
      <c r="K368" s="40"/>
      <c r="L368" s="40"/>
      <c r="M368" s="40"/>
      <c r="N368" s="40"/>
      <c r="O368" s="40"/>
      <c r="P368" s="40"/>
      <c r="Q368" s="40"/>
      <c r="R368" s="40"/>
      <c r="S368" s="40"/>
    </row>
    <row r="369" spans="3:19">
      <c r="C369" s="40"/>
      <c r="D369" s="40"/>
      <c r="E369" s="40"/>
      <c r="F369" s="40"/>
      <c r="G369" s="40"/>
      <c r="H369" s="40"/>
      <c r="I369" s="40"/>
      <c r="J369" s="40"/>
      <c r="K369" s="40"/>
      <c r="L369" s="40"/>
      <c r="M369" s="40"/>
      <c r="N369" s="40"/>
      <c r="O369" s="40"/>
      <c r="P369" s="40"/>
      <c r="Q369" s="40"/>
      <c r="R369" s="40"/>
      <c r="S369" s="40"/>
    </row>
    <row r="370" spans="3:19">
      <c r="C370" s="40"/>
      <c r="D370" s="40"/>
      <c r="E370" s="40"/>
      <c r="F370" s="40"/>
      <c r="G370" s="40"/>
      <c r="H370" s="40"/>
      <c r="I370" s="40"/>
      <c r="J370" s="40"/>
      <c r="K370" s="40"/>
      <c r="L370" s="40"/>
      <c r="M370" s="40"/>
      <c r="N370" s="40"/>
      <c r="O370" s="40"/>
      <c r="P370" s="40"/>
      <c r="Q370" s="40"/>
      <c r="R370" s="40"/>
      <c r="S370" s="40"/>
    </row>
    <row r="371" spans="3:19">
      <c r="C371" s="40"/>
      <c r="D371" s="40"/>
      <c r="E371" s="40"/>
      <c r="F371" s="40"/>
      <c r="G371" s="40"/>
      <c r="H371" s="40"/>
      <c r="I371" s="40"/>
      <c r="J371" s="40"/>
      <c r="K371" s="40"/>
      <c r="L371" s="40"/>
      <c r="M371" s="40"/>
      <c r="N371" s="40"/>
      <c r="O371" s="40"/>
      <c r="P371" s="40"/>
      <c r="Q371" s="40"/>
      <c r="R371" s="40"/>
      <c r="S371" s="40"/>
    </row>
    <row r="372" spans="3:19">
      <c r="C372" s="40"/>
      <c r="D372" s="40"/>
      <c r="E372" s="40"/>
      <c r="F372" s="40"/>
      <c r="G372" s="40"/>
      <c r="H372" s="40"/>
      <c r="I372" s="40"/>
      <c r="J372" s="40"/>
      <c r="K372" s="40"/>
      <c r="L372" s="40"/>
      <c r="M372" s="40"/>
      <c r="N372" s="40"/>
      <c r="O372" s="40"/>
      <c r="P372" s="40"/>
      <c r="Q372" s="40"/>
      <c r="R372" s="40"/>
      <c r="S372" s="40"/>
    </row>
    <row r="373" spans="3:19">
      <c r="C373" s="40"/>
      <c r="D373" s="40"/>
      <c r="E373" s="40"/>
      <c r="F373" s="40"/>
      <c r="G373" s="40"/>
      <c r="H373" s="40"/>
      <c r="I373" s="40"/>
      <c r="J373" s="40"/>
      <c r="K373" s="40"/>
      <c r="L373" s="40"/>
      <c r="M373" s="40"/>
      <c r="N373" s="40"/>
      <c r="O373" s="40"/>
      <c r="P373" s="40"/>
      <c r="Q373" s="40"/>
      <c r="R373" s="40"/>
      <c r="S373" s="40"/>
    </row>
    <row r="374" spans="3:19">
      <c r="C374" s="40"/>
      <c r="D374" s="40"/>
      <c r="E374" s="40"/>
      <c r="F374" s="40"/>
      <c r="G374" s="40"/>
      <c r="H374" s="40"/>
      <c r="I374" s="40"/>
      <c r="J374" s="40"/>
      <c r="K374" s="40"/>
      <c r="L374" s="40"/>
      <c r="M374" s="40"/>
      <c r="N374" s="40"/>
      <c r="O374" s="40"/>
      <c r="P374" s="40"/>
      <c r="Q374" s="40"/>
      <c r="R374" s="40"/>
      <c r="S374" s="40"/>
    </row>
    <row r="375" spans="3:19">
      <c r="C375" s="40"/>
      <c r="D375" s="40"/>
      <c r="E375" s="40"/>
      <c r="F375" s="40"/>
      <c r="G375" s="40"/>
      <c r="H375" s="40"/>
      <c r="I375" s="40"/>
      <c r="J375" s="40"/>
      <c r="K375" s="40"/>
      <c r="L375" s="40"/>
      <c r="M375" s="40"/>
      <c r="N375" s="40"/>
      <c r="O375" s="40"/>
      <c r="P375" s="40"/>
      <c r="Q375" s="40"/>
      <c r="R375" s="40"/>
      <c r="S375" s="40"/>
    </row>
    <row r="376" spans="3:19">
      <c r="C376" s="40"/>
      <c r="D376" s="40"/>
      <c r="E376" s="40"/>
      <c r="F376" s="40"/>
      <c r="G376" s="40"/>
      <c r="H376" s="40"/>
      <c r="I376" s="40"/>
      <c r="J376" s="40"/>
      <c r="K376" s="40"/>
      <c r="L376" s="40"/>
      <c r="M376" s="40"/>
      <c r="N376" s="40"/>
      <c r="O376" s="40"/>
      <c r="P376" s="40"/>
      <c r="Q376" s="40"/>
      <c r="R376" s="40"/>
      <c r="S376" s="40"/>
    </row>
    <row r="377" spans="3:19">
      <c r="C377" s="40"/>
      <c r="D377" s="40"/>
      <c r="E377" s="40"/>
      <c r="F377" s="40"/>
      <c r="G377" s="40"/>
      <c r="H377" s="40"/>
      <c r="I377" s="40"/>
      <c r="J377" s="40"/>
      <c r="K377" s="40"/>
      <c r="L377" s="40"/>
      <c r="M377" s="40"/>
      <c r="N377" s="40"/>
      <c r="O377" s="40"/>
      <c r="P377" s="40"/>
      <c r="Q377" s="40"/>
      <c r="R377" s="40"/>
      <c r="S377" s="40"/>
    </row>
    <row r="378" spans="3:19">
      <c r="C378" s="40"/>
      <c r="D378" s="40"/>
      <c r="E378" s="40"/>
      <c r="F378" s="40"/>
      <c r="G378" s="40"/>
      <c r="H378" s="40"/>
      <c r="I378" s="40"/>
      <c r="J378" s="40"/>
      <c r="K378" s="40"/>
      <c r="L378" s="40"/>
      <c r="M378" s="40"/>
      <c r="N378" s="40"/>
      <c r="O378" s="40"/>
      <c r="P378" s="40"/>
      <c r="Q378" s="40"/>
      <c r="R378" s="40"/>
      <c r="S378" s="40"/>
    </row>
    <row r="379" spans="3:19">
      <c r="C379" s="40"/>
      <c r="D379" s="40"/>
      <c r="E379" s="40"/>
      <c r="F379" s="40"/>
      <c r="G379" s="40"/>
      <c r="H379" s="40"/>
      <c r="I379" s="40"/>
      <c r="J379" s="40"/>
      <c r="K379" s="40"/>
      <c r="L379" s="40"/>
      <c r="M379" s="40"/>
      <c r="N379" s="40"/>
      <c r="O379" s="40"/>
      <c r="P379" s="40"/>
      <c r="Q379" s="40"/>
      <c r="R379" s="40"/>
      <c r="S379" s="40"/>
    </row>
    <row r="380" spans="3:19">
      <c r="C380" s="40"/>
      <c r="D380" s="40"/>
      <c r="E380" s="40"/>
      <c r="F380" s="40"/>
      <c r="G380" s="40"/>
      <c r="H380" s="40"/>
      <c r="I380" s="40"/>
      <c r="J380" s="40"/>
      <c r="K380" s="40"/>
      <c r="L380" s="40"/>
      <c r="M380" s="40"/>
      <c r="N380" s="40"/>
      <c r="O380" s="40"/>
      <c r="P380" s="40"/>
      <c r="Q380" s="40"/>
      <c r="R380" s="40"/>
      <c r="S380" s="40"/>
    </row>
    <row r="381" spans="3:19">
      <c r="C381" s="40"/>
      <c r="D381" s="40"/>
      <c r="E381" s="40"/>
      <c r="F381" s="40"/>
      <c r="G381" s="40"/>
      <c r="H381" s="40"/>
      <c r="I381" s="40"/>
      <c r="J381" s="40"/>
      <c r="K381" s="40"/>
      <c r="L381" s="40"/>
      <c r="M381" s="40"/>
      <c r="N381" s="40"/>
      <c r="O381" s="40"/>
      <c r="P381" s="40"/>
      <c r="Q381" s="40"/>
      <c r="R381" s="40"/>
      <c r="S381" s="40"/>
    </row>
    <row r="382" spans="3:19">
      <c r="C382" s="40"/>
      <c r="D382" s="40"/>
      <c r="E382" s="40"/>
      <c r="F382" s="40"/>
      <c r="G382" s="40"/>
      <c r="H382" s="40"/>
      <c r="I382" s="40"/>
      <c r="J382" s="40"/>
      <c r="K382" s="40"/>
      <c r="L382" s="40"/>
      <c r="M382" s="40"/>
      <c r="N382" s="40"/>
      <c r="O382" s="40"/>
      <c r="P382" s="40"/>
      <c r="Q382" s="40"/>
      <c r="R382" s="40"/>
      <c r="S382" s="40"/>
    </row>
    <row r="383" spans="3:19">
      <c r="C383" s="40"/>
      <c r="D383" s="40"/>
      <c r="E383" s="40"/>
      <c r="F383" s="40"/>
      <c r="G383" s="40"/>
      <c r="H383" s="40"/>
      <c r="I383" s="40"/>
      <c r="J383" s="40"/>
      <c r="K383" s="40"/>
      <c r="L383" s="40"/>
      <c r="M383" s="40"/>
      <c r="N383" s="40"/>
      <c r="O383" s="40"/>
      <c r="P383" s="40"/>
      <c r="Q383" s="40"/>
      <c r="R383" s="40"/>
      <c r="S383" s="40"/>
    </row>
    <row r="384" spans="3:19">
      <c r="C384" s="40"/>
      <c r="D384" s="40"/>
      <c r="E384" s="40"/>
      <c r="F384" s="40"/>
      <c r="G384" s="40"/>
      <c r="H384" s="40"/>
      <c r="I384" s="40"/>
      <c r="J384" s="40"/>
      <c r="K384" s="40"/>
      <c r="L384" s="40"/>
      <c r="M384" s="40"/>
      <c r="N384" s="40"/>
      <c r="O384" s="40"/>
      <c r="P384" s="40"/>
      <c r="Q384" s="40"/>
      <c r="R384" s="40"/>
      <c r="S384" s="40"/>
    </row>
    <row r="385" spans="3:19">
      <c r="C385" s="40"/>
      <c r="D385" s="40"/>
      <c r="E385" s="40"/>
      <c r="F385" s="40"/>
      <c r="G385" s="40"/>
      <c r="H385" s="40"/>
      <c r="I385" s="40"/>
      <c r="J385" s="40"/>
      <c r="K385" s="40"/>
      <c r="L385" s="40"/>
      <c r="M385" s="40"/>
      <c r="N385" s="40"/>
      <c r="O385" s="40"/>
      <c r="P385" s="40"/>
      <c r="Q385" s="40"/>
      <c r="R385" s="40"/>
      <c r="S385" s="40"/>
    </row>
    <row r="386" spans="3:19">
      <c r="C386" s="40"/>
      <c r="D386" s="40"/>
      <c r="E386" s="40"/>
      <c r="F386" s="40"/>
      <c r="G386" s="40"/>
      <c r="H386" s="40"/>
      <c r="I386" s="40"/>
      <c r="J386" s="40"/>
      <c r="K386" s="40"/>
      <c r="L386" s="40"/>
      <c r="M386" s="40"/>
      <c r="N386" s="40"/>
      <c r="O386" s="40"/>
      <c r="P386" s="40"/>
      <c r="Q386" s="40"/>
      <c r="R386" s="40"/>
      <c r="S386" s="40"/>
    </row>
    <row r="387" spans="3:19">
      <c r="C387" s="40"/>
      <c r="D387" s="40"/>
      <c r="E387" s="40"/>
      <c r="F387" s="40"/>
      <c r="G387" s="40"/>
      <c r="H387" s="40"/>
      <c r="I387" s="40"/>
      <c r="J387" s="40"/>
      <c r="K387" s="40"/>
      <c r="L387" s="40"/>
      <c r="M387" s="40"/>
      <c r="N387" s="40"/>
      <c r="O387" s="40"/>
      <c r="P387" s="40"/>
      <c r="Q387" s="40"/>
      <c r="R387" s="40"/>
      <c r="S387" s="40"/>
    </row>
    <row r="388" spans="3:19">
      <c r="C388" s="40"/>
      <c r="D388" s="40"/>
      <c r="E388" s="40"/>
      <c r="F388" s="40"/>
      <c r="G388" s="40"/>
      <c r="H388" s="40"/>
      <c r="I388" s="40"/>
      <c r="J388" s="40"/>
      <c r="K388" s="40"/>
      <c r="L388" s="40"/>
      <c r="M388" s="40"/>
      <c r="N388" s="40"/>
      <c r="O388" s="40"/>
      <c r="P388" s="40"/>
      <c r="Q388" s="40"/>
      <c r="R388" s="40"/>
      <c r="S388" s="40"/>
    </row>
    <row r="389" spans="3:19">
      <c r="C389" s="40"/>
      <c r="D389" s="40"/>
      <c r="E389" s="40"/>
      <c r="F389" s="40"/>
      <c r="G389" s="40"/>
      <c r="H389" s="40"/>
      <c r="I389" s="40"/>
      <c r="J389" s="40"/>
      <c r="K389" s="40"/>
      <c r="L389" s="40"/>
      <c r="M389" s="40"/>
      <c r="N389" s="40"/>
      <c r="O389" s="40"/>
      <c r="P389" s="40"/>
      <c r="Q389" s="40"/>
      <c r="R389" s="40"/>
      <c r="S389" s="40"/>
    </row>
    <row r="390" spans="3:19">
      <c r="C390" s="40"/>
      <c r="D390" s="40"/>
      <c r="E390" s="40"/>
      <c r="F390" s="40"/>
      <c r="G390" s="40"/>
      <c r="H390" s="40"/>
      <c r="I390" s="40"/>
      <c r="J390" s="40"/>
      <c r="K390" s="40"/>
      <c r="L390" s="40"/>
      <c r="M390" s="40"/>
      <c r="N390" s="40"/>
      <c r="O390" s="40"/>
      <c r="P390" s="40"/>
      <c r="Q390" s="40"/>
      <c r="R390" s="40"/>
      <c r="S390" s="40"/>
    </row>
    <row r="391" spans="3:19">
      <c r="C391" s="40"/>
      <c r="D391" s="40"/>
      <c r="E391" s="40"/>
      <c r="F391" s="40"/>
      <c r="G391" s="40"/>
      <c r="H391" s="40"/>
      <c r="I391" s="40"/>
      <c r="J391" s="40"/>
      <c r="K391" s="40"/>
      <c r="L391" s="40"/>
      <c r="M391" s="40"/>
      <c r="N391" s="40"/>
      <c r="O391" s="40"/>
      <c r="P391" s="40"/>
      <c r="Q391" s="40"/>
      <c r="R391" s="40"/>
      <c r="S391" s="40"/>
    </row>
    <row r="392" spans="3:19">
      <c r="C392" s="40"/>
      <c r="D392" s="40"/>
      <c r="E392" s="40"/>
      <c r="F392" s="40"/>
      <c r="G392" s="40"/>
      <c r="H392" s="40"/>
      <c r="I392" s="40"/>
      <c r="J392" s="40"/>
      <c r="K392" s="40"/>
      <c r="L392" s="40"/>
      <c r="M392" s="40"/>
      <c r="N392" s="40"/>
      <c r="O392" s="40"/>
      <c r="P392" s="40"/>
      <c r="Q392" s="40"/>
      <c r="R392" s="40"/>
      <c r="S392" s="40"/>
    </row>
    <row r="393" spans="3:19">
      <c r="C393" s="40"/>
      <c r="D393" s="40"/>
      <c r="E393" s="40"/>
      <c r="F393" s="40"/>
      <c r="G393" s="40"/>
      <c r="H393" s="40"/>
      <c r="I393" s="40"/>
      <c r="J393" s="40"/>
      <c r="K393" s="40"/>
      <c r="L393" s="40"/>
      <c r="M393" s="40"/>
      <c r="N393" s="40"/>
      <c r="O393" s="40"/>
      <c r="P393" s="40"/>
      <c r="Q393" s="40"/>
      <c r="R393" s="40"/>
      <c r="S393" s="40"/>
    </row>
    <row r="394" spans="3:19">
      <c r="C394" s="40"/>
      <c r="D394" s="40"/>
      <c r="E394" s="40"/>
      <c r="F394" s="40"/>
      <c r="G394" s="40"/>
      <c r="H394" s="40"/>
      <c r="I394" s="40"/>
      <c r="J394" s="40"/>
      <c r="K394" s="40"/>
      <c r="L394" s="40"/>
      <c r="M394" s="40"/>
      <c r="N394" s="40"/>
      <c r="O394" s="40"/>
      <c r="P394" s="40"/>
      <c r="Q394" s="40"/>
      <c r="R394" s="40"/>
      <c r="S394" s="40"/>
    </row>
    <row r="395" spans="3:19">
      <c r="C395" s="40"/>
      <c r="D395" s="40"/>
      <c r="E395" s="40"/>
      <c r="F395" s="40"/>
      <c r="G395" s="40"/>
      <c r="H395" s="40"/>
      <c r="I395" s="40"/>
      <c r="J395" s="40"/>
      <c r="K395" s="40"/>
      <c r="L395" s="40"/>
      <c r="M395" s="40"/>
      <c r="N395" s="40"/>
      <c r="O395" s="40"/>
      <c r="P395" s="40"/>
      <c r="Q395" s="40"/>
      <c r="R395" s="40"/>
      <c r="S395" s="40"/>
    </row>
    <row r="396" spans="3:19">
      <c r="C396" s="40"/>
      <c r="D396" s="40"/>
      <c r="E396" s="40"/>
      <c r="F396" s="40"/>
      <c r="G396" s="40"/>
      <c r="H396" s="40"/>
      <c r="I396" s="40"/>
      <c r="J396" s="40"/>
      <c r="K396" s="40"/>
      <c r="L396" s="40"/>
      <c r="M396" s="40"/>
      <c r="N396" s="40"/>
      <c r="O396" s="40"/>
      <c r="P396" s="40"/>
      <c r="Q396" s="40"/>
      <c r="R396" s="40"/>
      <c r="S396" s="40"/>
    </row>
    <row r="397" spans="3:19">
      <c r="C397" s="40"/>
      <c r="D397" s="40"/>
      <c r="E397" s="40"/>
      <c r="F397" s="40"/>
      <c r="G397" s="40"/>
      <c r="H397" s="40"/>
      <c r="I397" s="40"/>
      <c r="J397" s="40"/>
      <c r="K397" s="40"/>
      <c r="L397" s="40"/>
      <c r="M397" s="40"/>
      <c r="N397" s="40"/>
      <c r="O397" s="40"/>
      <c r="P397" s="40"/>
      <c r="Q397" s="40"/>
      <c r="R397" s="40"/>
      <c r="S397" s="40"/>
    </row>
    <row r="398" spans="3:19">
      <c r="C398" s="40"/>
      <c r="D398" s="40"/>
      <c r="E398" s="40"/>
      <c r="F398" s="40"/>
      <c r="G398" s="40"/>
      <c r="H398" s="40"/>
      <c r="I398" s="40"/>
      <c r="J398" s="40"/>
      <c r="K398" s="40"/>
      <c r="L398" s="40"/>
      <c r="M398" s="40"/>
      <c r="N398" s="40"/>
      <c r="O398" s="40"/>
      <c r="P398" s="40"/>
      <c r="Q398" s="40"/>
      <c r="R398" s="40"/>
      <c r="S398" s="40"/>
    </row>
    <row r="399" spans="3:19">
      <c r="C399" s="40"/>
      <c r="D399" s="40"/>
      <c r="E399" s="40"/>
      <c r="F399" s="40"/>
      <c r="G399" s="40"/>
      <c r="H399" s="40"/>
      <c r="I399" s="40"/>
      <c r="J399" s="40"/>
      <c r="K399" s="40"/>
      <c r="L399" s="40"/>
      <c r="M399" s="40"/>
      <c r="N399" s="40"/>
      <c r="O399" s="40"/>
      <c r="P399" s="40"/>
      <c r="Q399" s="40"/>
      <c r="R399" s="40"/>
      <c r="S399" s="40"/>
    </row>
    <row r="400" spans="3:19">
      <c r="C400" s="40"/>
      <c r="D400" s="40"/>
      <c r="E400" s="40"/>
      <c r="F400" s="40"/>
      <c r="G400" s="40"/>
      <c r="H400" s="40"/>
      <c r="I400" s="40"/>
      <c r="J400" s="40"/>
      <c r="K400" s="40"/>
      <c r="L400" s="40"/>
      <c r="M400" s="40"/>
      <c r="N400" s="40"/>
      <c r="O400" s="40"/>
      <c r="P400" s="40"/>
      <c r="Q400" s="40"/>
      <c r="R400" s="40"/>
      <c r="S400" s="40"/>
    </row>
    <row r="401" spans="3:19">
      <c r="C401" s="40"/>
      <c r="D401" s="40"/>
      <c r="E401" s="40"/>
      <c r="F401" s="40"/>
      <c r="G401" s="40"/>
      <c r="H401" s="40"/>
      <c r="I401" s="40"/>
      <c r="J401" s="40"/>
      <c r="K401" s="40"/>
      <c r="L401" s="40"/>
      <c r="M401" s="40"/>
      <c r="N401" s="40"/>
      <c r="O401" s="40"/>
      <c r="P401" s="40"/>
      <c r="Q401" s="40"/>
      <c r="R401" s="40"/>
      <c r="S401" s="40"/>
    </row>
    <row r="402" spans="3:19">
      <c r="C402" s="40"/>
      <c r="D402" s="40"/>
      <c r="E402" s="40"/>
      <c r="F402" s="40"/>
      <c r="G402" s="40"/>
      <c r="H402" s="40"/>
      <c r="I402" s="40"/>
      <c r="J402" s="40"/>
      <c r="K402" s="40"/>
      <c r="L402" s="40"/>
      <c r="M402" s="40"/>
      <c r="N402" s="40"/>
      <c r="O402" s="40"/>
      <c r="P402" s="40"/>
      <c r="Q402" s="40"/>
      <c r="R402" s="40"/>
      <c r="S402" s="40"/>
    </row>
    <row r="403" spans="3:19">
      <c r="C403" s="40"/>
      <c r="D403" s="40"/>
      <c r="E403" s="40"/>
      <c r="F403" s="40"/>
      <c r="G403" s="40"/>
      <c r="H403" s="40"/>
      <c r="I403" s="40"/>
      <c r="J403" s="40"/>
      <c r="K403" s="40"/>
      <c r="L403" s="40"/>
      <c r="M403" s="40"/>
      <c r="N403" s="40"/>
      <c r="O403" s="40"/>
      <c r="P403" s="40"/>
      <c r="Q403" s="40"/>
      <c r="R403" s="40"/>
      <c r="S403" s="40"/>
    </row>
    <row r="404" spans="3:19">
      <c r="C404" s="40"/>
      <c r="D404" s="40"/>
      <c r="E404" s="40"/>
      <c r="F404" s="40"/>
      <c r="G404" s="40"/>
      <c r="H404" s="40"/>
      <c r="I404" s="40"/>
      <c r="J404" s="40"/>
      <c r="K404" s="40"/>
      <c r="L404" s="40"/>
      <c r="M404" s="40"/>
      <c r="N404" s="40"/>
      <c r="O404" s="40"/>
      <c r="P404" s="40"/>
      <c r="Q404" s="40"/>
      <c r="R404" s="40"/>
      <c r="S404" s="40"/>
    </row>
    <row r="405" spans="3:19">
      <c r="C405" s="40"/>
      <c r="D405" s="40"/>
      <c r="E405" s="40"/>
      <c r="F405" s="40"/>
      <c r="G405" s="40"/>
      <c r="H405" s="40"/>
      <c r="I405" s="40"/>
      <c r="J405" s="40"/>
      <c r="K405" s="40"/>
      <c r="L405" s="40"/>
      <c r="M405" s="40"/>
      <c r="N405" s="40"/>
      <c r="O405" s="40"/>
      <c r="P405" s="40"/>
      <c r="Q405" s="40"/>
      <c r="R405" s="40"/>
      <c r="S405" s="40"/>
    </row>
    <row r="406" spans="3:19">
      <c r="C406" s="40"/>
      <c r="D406" s="40"/>
      <c r="E406" s="40"/>
      <c r="F406" s="40"/>
      <c r="G406" s="40"/>
      <c r="H406" s="40"/>
      <c r="I406" s="40"/>
      <c r="J406" s="40"/>
      <c r="K406" s="40"/>
      <c r="L406" s="40"/>
      <c r="M406" s="40"/>
      <c r="N406" s="40"/>
      <c r="O406" s="40"/>
      <c r="P406" s="40"/>
      <c r="Q406" s="40"/>
      <c r="R406" s="40"/>
      <c r="S406" s="40"/>
    </row>
    <row r="407" spans="3:19">
      <c r="C407" s="40"/>
      <c r="D407" s="40"/>
      <c r="E407" s="40"/>
      <c r="F407" s="40"/>
      <c r="G407" s="40"/>
      <c r="H407" s="40"/>
      <c r="I407" s="40"/>
      <c r="J407" s="40"/>
      <c r="K407" s="40"/>
      <c r="L407" s="40"/>
      <c r="M407" s="40"/>
      <c r="N407" s="40"/>
      <c r="O407" s="40"/>
      <c r="P407" s="40"/>
      <c r="Q407" s="40"/>
      <c r="R407" s="40"/>
      <c r="S407" s="40"/>
    </row>
    <row r="408" spans="3:19">
      <c r="C408" s="40"/>
      <c r="D408" s="40"/>
      <c r="E408" s="40"/>
      <c r="F408" s="40"/>
      <c r="G408" s="40"/>
      <c r="H408" s="40"/>
      <c r="I408" s="40"/>
      <c r="J408" s="40"/>
      <c r="K408" s="40"/>
      <c r="L408" s="40"/>
      <c r="M408" s="40"/>
      <c r="N408" s="40"/>
      <c r="O408" s="40"/>
      <c r="P408" s="40"/>
      <c r="Q408" s="40"/>
      <c r="R408" s="40"/>
      <c r="S408" s="40"/>
    </row>
    <row r="409" spans="3:19">
      <c r="C409" s="40"/>
      <c r="D409" s="40"/>
      <c r="E409" s="40"/>
      <c r="F409" s="40"/>
      <c r="G409" s="40"/>
      <c r="H409" s="40"/>
      <c r="I409" s="40"/>
      <c r="J409" s="40"/>
      <c r="K409" s="40"/>
      <c r="L409" s="40"/>
      <c r="M409" s="40"/>
      <c r="N409" s="40"/>
      <c r="O409" s="40"/>
      <c r="P409" s="40"/>
      <c r="Q409" s="40"/>
      <c r="R409" s="40"/>
      <c r="S409" s="40"/>
    </row>
    <row r="410" spans="3:19">
      <c r="C410" s="40"/>
      <c r="D410" s="40"/>
      <c r="E410" s="40"/>
      <c r="F410" s="40"/>
      <c r="G410" s="40"/>
      <c r="H410" s="40"/>
      <c r="I410" s="40"/>
      <c r="J410" s="40"/>
      <c r="K410" s="40"/>
      <c r="L410" s="40"/>
      <c r="M410" s="40"/>
      <c r="N410" s="40"/>
      <c r="O410" s="40"/>
      <c r="P410" s="40"/>
      <c r="Q410" s="40"/>
      <c r="R410" s="40"/>
      <c r="S410" s="40"/>
    </row>
    <row r="411" spans="3:19">
      <c r="C411" s="40"/>
      <c r="D411" s="40"/>
      <c r="E411" s="40"/>
      <c r="F411" s="40"/>
      <c r="G411" s="40"/>
      <c r="H411" s="40"/>
      <c r="I411" s="40"/>
      <c r="J411" s="40"/>
      <c r="K411" s="40"/>
      <c r="L411" s="40"/>
      <c r="M411" s="40"/>
      <c r="N411" s="40"/>
      <c r="O411" s="40"/>
      <c r="P411" s="40"/>
      <c r="Q411" s="40"/>
      <c r="R411" s="40"/>
      <c r="S411" s="40"/>
    </row>
    <row r="412" spans="3:19">
      <c r="C412" s="40"/>
      <c r="D412" s="40"/>
      <c r="E412" s="40"/>
      <c r="F412" s="40"/>
      <c r="G412" s="40"/>
      <c r="H412" s="40"/>
      <c r="I412" s="40"/>
      <c r="J412" s="40"/>
      <c r="K412" s="40"/>
      <c r="L412" s="40"/>
      <c r="M412" s="40"/>
      <c r="N412" s="40"/>
      <c r="O412" s="40"/>
      <c r="P412" s="40"/>
      <c r="Q412" s="40"/>
      <c r="R412" s="40"/>
      <c r="S412" s="40"/>
    </row>
    <row r="413" spans="3:19">
      <c r="C413" s="40"/>
      <c r="D413" s="40"/>
      <c r="E413" s="40"/>
      <c r="F413" s="40"/>
      <c r="G413" s="40"/>
      <c r="H413" s="40"/>
      <c r="I413" s="40"/>
      <c r="J413" s="40"/>
      <c r="K413" s="40"/>
      <c r="L413" s="40"/>
      <c r="M413" s="40"/>
      <c r="N413" s="40"/>
      <c r="O413" s="40"/>
      <c r="P413" s="40"/>
      <c r="Q413" s="40"/>
      <c r="R413" s="40"/>
      <c r="S413" s="40"/>
    </row>
    <row r="414" spans="3:19">
      <c r="C414" s="40"/>
      <c r="D414" s="40"/>
      <c r="E414" s="40"/>
      <c r="F414" s="40"/>
      <c r="G414" s="40"/>
      <c r="H414" s="40"/>
      <c r="I414" s="40"/>
      <c r="J414" s="40"/>
      <c r="K414" s="40"/>
      <c r="L414" s="40"/>
      <c r="M414" s="40"/>
      <c r="N414" s="40"/>
      <c r="O414" s="40"/>
      <c r="P414" s="40"/>
      <c r="Q414" s="40"/>
      <c r="R414" s="40"/>
      <c r="S414" s="40"/>
    </row>
    <row r="415" spans="3:19">
      <c r="C415" s="40"/>
      <c r="D415" s="40"/>
      <c r="E415" s="40"/>
      <c r="F415" s="40"/>
      <c r="G415" s="40"/>
      <c r="H415" s="40"/>
      <c r="I415" s="40"/>
      <c r="J415" s="40"/>
      <c r="K415" s="40"/>
      <c r="L415" s="40"/>
      <c r="M415" s="40"/>
      <c r="N415" s="40"/>
      <c r="O415" s="40"/>
      <c r="P415" s="40"/>
      <c r="Q415" s="40"/>
      <c r="R415" s="40"/>
      <c r="S415" s="40"/>
    </row>
    <row r="416" spans="3:19">
      <c r="C416" s="40"/>
      <c r="D416" s="40"/>
      <c r="E416" s="40"/>
      <c r="F416" s="40"/>
      <c r="G416" s="40"/>
      <c r="H416" s="40"/>
      <c r="I416" s="40"/>
      <c r="J416" s="40"/>
      <c r="K416" s="40"/>
      <c r="L416" s="40"/>
      <c r="M416" s="40"/>
      <c r="N416" s="40"/>
      <c r="O416" s="40"/>
      <c r="P416" s="40"/>
      <c r="Q416" s="40"/>
      <c r="R416" s="40"/>
      <c r="S416" s="40"/>
    </row>
    <row r="417" spans="3:19">
      <c r="C417" s="40"/>
      <c r="D417" s="40"/>
      <c r="E417" s="40"/>
      <c r="F417" s="40"/>
      <c r="G417" s="40"/>
      <c r="H417" s="40"/>
      <c r="I417" s="40"/>
      <c r="J417" s="40"/>
      <c r="K417" s="40"/>
      <c r="L417" s="40"/>
      <c r="M417" s="40"/>
      <c r="N417" s="40"/>
      <c r="O417" s="40"/>
      <c r="P417" s="40"/>
      <c r="Q417" s="40"/>
      <c r="R417" s="40"/>
      <c r="S417" s="40"/>
    </row>
    <row r="418" spans="3:19">
      <c r="C418" s="40"/>
      <c r="D418" s="40"/>
      <c r="E418" s="40"/>
      <c r="F418" s="40"/>
      <c r="G418" s="40"/>
      <c r="H418" s="40"/>
      <c r="I418" s="40"/>
      <c r="J418" s="40"/>
      <c r="K418" s="40"/>
      <c r="L418" s="40"/>
      <c r="M418" s="40"/>
      <c r="N418" s="40"/>
      <c r="O418" s="40"/>
      <c r="P418" s="40"/>
      <c r="Q418" s="40"/>
      <c r="R418" s="40"/>
      <c r="S418" s="40"/>
    </row>
    <row r="419" spans="3:19">
      <c r="C419" s="40"/>
      <c r="D419" s="40"/>
      <c r="E419" s="40"/>
      <c r="F419" s="40"/>
      <c r="G419" s="40"/>
      <c r="H419" s="40"/>
      <c r="I419" s="40"/>
      <c r="J419" s="40"/>
      <c r="K419" s="40"/>
      <c r="L419" s="40"/>
      <c r="M419" s="40"/>
      <c r="N419" s="40"/>
      <c r="O419" s="40"/>
      <c r="P419" s="40"/>
      <c r="Q419" s="40"/>
      <c r="R419" s="40"/>
      <c r="S419" s="40"/>
    </row>
    <row r="420" spans="3:19">
      <c r="C420" s="40"/>
      <c r="D420" s="40"/>
      <c r="E420" s="40"/>
      <c r="F420" s="40"/>
      <c r="G420" s="40"/>
      <c r="H420" s="40"/>
      <c r="I420" s="40"/>
      <c r="J420" s="40"/>
      <c r="K420" s="40"/>
      <c r="L420" s="40"/>
      <c r="M420" s="40"/>
      <c r="N420" s="40"/>
      <c r="O420" s="40"/>
      <c r="P420" s="40"/>
      <c r="Q420" s="40"/>
      <c r="R420" s="40"/>
      <c r="S420" s="40"/>
    </row>
    <row r="421" spans="3:19">
      <c r="C421" s="40"/>
      <c r="D421" s="40"/>
      <c r="E421" s="40"/>
      <c r="F421" s="40"/>
      <c r="G421" s="40"/>
      <c r="H421" s="40"/>
      <c r="I421" s="40"/>
      <c r="J421" s="40"/>
      <c r="K421" s="40"/>
      <c r="L421" s="40"/>
      <c r="M421" s="40"/>
      <c r="N421" s="40"/>
      <c r="O421" s="40"/>
      <c r="P421" s="40"/>
      <c r="Q421" s="40"/>
      <c r="R421" s="40"/>
      <c r="S421" s="40"/>
    </row>
    <row r="422" spans="3:19">
      <c r="C422" s="40"/>
      <c r="D422" s="40"/>
      <c r="E422" s="40"/>
      <c r="F422" s="40"/>
      <c r="G422" s="40"/>
      <c r="H422" s="40"/>
      <c r="I422" s="40"/>
      <c r="J422" s="40"/>
      <c r="K422" s="40"/>
      <c r="L422" s="40"/>
      <c r="M422" s="40"/>
      <c r="N422" s="40"/>
      <c r="O422" s="40"/>
      <c r="P422" s="40"/>
      <c r="Q422" s="40"/>
      <c r="R422" s="40"/>
      <c r="S422" s="40"/>
    </row>
    <row r="423" spans="3:19">
      <c r="C423" s="40"/>
      <c r="D423" s="40"/>
      <c r="E423" s="40"/>
      <c r="F423" s="40"/>
      <c r="G423" s="40"/>
      <c r="H423" s="40"/>
      <c r="I423" s="40"/>
      <c r="J423" s="40"/>
      <c r="K423" s="40"/>
      <c r="L423" s="40"/>
      <c r="M423" s="40"/>
      <c r="N423" s="40"/>
      <c r="O423" s="40"/>
      <c r="P423" s="40"/>
      <c r="Q423" s="40"/>
      <c r="R423" s="40"/>
      <c r="S423" s="40"/>
    </row>
    <row r="424" spans="3:19">
      <c r="C424" s="40"/>
      <c r="D424" s="40"/>
      <c r="E424" s="40"/>
      <c r="F424" s="40"/>
      <c r="G424" s="40"/>
      <c r="H424" s="40"/>
      <c r="I424" s="40"/>
      <c r="J424" s="40"/>
      <c r="K424" s="40"/>
      <c r="L424" s="40"/>
      <c r="M424" s="40"/>
      <c r="N424" s="40"/>
      <c r="O424" s="40"/>
      <c r="P424" s="40"/>
      <c r="Q424" s="40"/>
      <c r="R424" s="40"/>
      <c r="S424" s="40"/>
    </row>
    <row r="425" spans="3:19">
      <c r="C425" s="40"/>
      <c r="D425" s="40"/>
      <c r="E425" s="40"/>
      <c r="F425" s="40"/>
      <c r="G425" s="40"/>
      <c r="H425" s="40"/>
      <c r="I425" s="40"/>
      <c r="J425" s="40"/>
      <c r="K425" s="40"/>
      <c r="L425" s="40"/>
      <c r="M425" s="40"/>
      <c r="N425" s="40"/>
      <c r="O425" s="40"/>
      <c r="P425" s="40"/>
      <c r="Q425" s="40"/>
      <c r="R425" s="40"/>
      <c r="S425" s="40"/>
    </row>
    <row r="426" spans="3:19">
      <c r="C426" s="40"/>
      <c r="D426" s="40"/>
      <c r="E426" s="40"/>
      <c r="F426" s="40"/>
      <c r="G426" s="40"/>
      <c r="H426" s="40"/>
      <c r="I426" s="40"/>
      <c r="J426" s="40"/>
      <c r="K426" s="40"/>
      <c r="L426" s="40"/>
      <c r="M426" s="40"/>
      <c r="N426" s="40"/>
      <c r="O426" s="40"/>
      <c r="P426" s="40"/>
      <c r="Q426" s="40"/>
      <c r="R426" s="40"/>
      <c r="S426" s="40"/>
    </row>
    <row r="427" spans="3:19">
      <c r="C427" s="40"/>
      <c r="D427" s="40"/>
      <c r="E427" s="40"/>
      <c r="F427" s="40"/>
      <c r="G427" s="40"/>
      <c r="H427" s="40"/>
      <c r="I427" s="40"/>
      <c r="J427" s="40"/>
      <c r="K427" s="40"/>
      <c r="L427" s="40"/>
      <c r="M427" s="40"/>
      <c r="N427" s="40"/>
      <c r="O427" s="40"/>
      <c r="P427" s="40"/>
      <c r="Q427" s="40"/>
      <c r="R427" s="40"/>
      <c r="S427" s="40"/>
    </row>
    <row r="428" spans="3:19">
      <c r="C428" s="40"/>
      <c r="D428" s="40"/>
      <c r="E428" s="40"/>
      <c r="F428" s="40"/>
      <c r="G428" s="40"/>
      <c r="H428" s="40"/>
      <c r="I428" s="40"/>
      <c r="J428" s="40"/>
      <c r="K428" s="40"/>
      <c r="L428" s="40"/>
      <c r="M428" s="40"/>
      <c r="N428" s="40"/>
      <c r="O428" s="40"/>
      <c r="P428" s="40"/>
      <c r="Q428" s="40"/>
      <c r="R428" s="40"/>
      <c r="S428" s="40"/>
    </row>
    <row r="429" spans="3:19">
      <c r="C429" s="40"/>
      <c r="D429" s="40"/>
      <c r="E429" s="40"/>
      <c r="F429" s="40"/>
      <c r="G429" s="40"/>
      <c r="H429" s="40"/>
      <c r="I429" s="40"/>
      <c r="J429" s="40"/>
      <c r="K429" s="40"/>
      <c r="L429" s="40"/>
      <c r="M429" s="40"/>
      <c r="N429" s="40"/>
      <c r="O429" s="40"/>
      <c r="P429" s="40"/>
      <c r="Q429" s="40"/>
      <c r="R429" s="40"/>
      <c r="S429" s="40"/>
    </row>
    <row r="430" spans="3:19">
      <c r="C430" s="40"/>
      <c r="D430" s="40"/>
      <c r="E430" s="40"/>
      <c r="F430" s="40"/>
      <c r="G430" s="40"/>
      <c r="H430" s="40"/>
      <c r="I430" s="40"/>
      <c r="J430" s="40"/>
      <c r="K430" s="40"/>
      <c r="L430" s="40"/>
      <c r="M430" s="40"/>
      <c r="N430" s="40"/>
      <c r="O430" s="40"/>
      <c r="P430" s="40"/>
      <c r="Q430" s="40"/>
      <c r="R430" s="40"/>
      <c r="S430" s="40"/>
    </row>
    <row r="431" spans="3:19">
      <c r="C431" s="40"/>
      <c r="D431" s="40"/>
      <c r="E431" s="40"/>
      <c r="F431" s="40"/>
      <c r="G431" s="40"/>
      <c r="H431" s="40"/>
      <c r="I431" s="40"/>
      <c r="J431" s="40"/>
      <c r="K431" s="40"/>
      <c r="L431" s="40"/>
      <c r="M431" s="40"/>
      <c r="N431" s="40"/>
      <c r="O431" s="40"/>
      <c r="P431" s="40"/>
      <c r="Q431" s="40"/>
      <c r="R431" s="40"/>
      <c r="S431" s="40"/>
    </row>
    <row r="432" spans="3:19">
      <c r="C432" s="40"/>
      <c r="D432" s="40"/>
      <c r="E432" s="40"/>
      <c r="F432" s="40"/>
      <c r="G432" s="40"/>
      <c r="H432" s="40"/>
      <c r="I432" s="40"/>
      <c r="J432" s="40"/>
      <c r="K432" s="40"/>
      <c r="L432" s="40"/>
      <c r="M432" s="40"/>
      <c r="N432" s="40"/>
      <c r="O432" s="40"/>
      <c r="P432" s="40"/>
      <c r="Q432" s="40"/>
      <c r="R432" s="40"/>
      <c r="S432" s="40"/>
    </row>
    <row r="433" spans="3:19">
      <c r="C433" s="40"/>
      <c r="D433" s="40"/>
      <c r="E433" s="40"/>
      <c r="F433" s="40"/>
      <c r="G433" s="40"/>
      <c r="H433" s="40"/>
      <c r="I433" s="40"/>
      <c r="J433" s="40"/>
      <c r="K433" s="40"/>
      <c r="L433" s="40"/>
      <c r="M433" s="40"/>
      <c r="N433" s="40"/>
      <c r="O433" s="40"/>
      <c r="P433" s="40"/>
      <c r="Q433" s="40"/>
      <c r="R433" s="40"/>
      <c r="S433" s="40"/>
    </row>
    <row r="434" spans="3:19">
      <c r="C434" s="40"/>
      <c r="D434" s="40"/>
      <c r="E434" s="40"/>
      <c r="F434" s="40"/>
      <c r="G434" s="40"/>
      <c r="H434" s="40"/>
      <c r="I434" s="40"/>
      <c r="J434" s="40"/>
      <c r="K434" s="40"/>
      <c r="L434" s="40"/>
      <c r="M434" s="40"/>
      <c r="N434" s="40"/>
      <c r="O434" s="40"/>
      <c r="P434" s="40"/>
      <c r="Q434" s="40"/>
      <c r="R434" s="40"/>
      <c r="S434" s="40"/>
    </row>
    <row r="435" spans="3:19">
      <c r="C435" s="40"/>
      <c r="D435" s="40"/>
      <c r="E435" s="40"/>
      <c r="F435" s="40"/>
      <c r="G435" s="40"/>
      <c r="H435" s="40"/>
      <c r="I435" s="40"/>
      <c r="J435" s="40"/>
      <c r="K435" s="40"/>
      <c r="L435" s="40"/>
      <c r="M435" s="40"/>
      <c r="N435" s="40"/>
      <c r="O435" s="40"/>
      <c r="P435" s="40"/>
      <c r="Q435" s="40"/>
      <c r="R435" s="40"/>
      <c r="S435" s="40"/>
    </row>
    <row r="436" spans="3:19">
      <c r="C436" s="40"/>
      <c r="D436" s="40"/>
      <c r="E436" s="40"/>
      <c r="F436" s="40"/>
      <c r="G436" s="40"/>
      <c r="H436" s="40"/>
      <c r="I436" s="40"/>
      <c r="J436" s="40"/>
      <c r="K436" s="40"/>
      <c r="L436" s="40"/>
      <c r="M436" s="40"/>
      <c r="N436" s="40"/>
      <c r="O436" s="40"/>
      <c r="P436" s="40"/>
      <c r="Q436" s="40"/>
      <c r="R436" s="40"/>
      <c r="S436" s="40"/>
    </row>
    <row r="437" spans="3:19">
      <c r="C437" s="40"/>
      <c r="D437" s="40"/>
      <c r="E437" s="40"/>
      <c r="F437" s="40"/>
      <c r="G437" s="40"/>
      <c r="H437" s="40"/>
      <c r="I437" s="40"/>
      <c r="J437" s="40"/>
      <c r="K437" s="40"/>
      <c r="L437" s="40"/>
      <c r="M437" s="40"/>
      <c r="N437" s="40"/>
      <c r="O437" s="40"/>
      <c r="P437" s="40"/>
      <c r="Q437" s="40"/>
      <c r="R437" s="40"/>
      <c r="S437" s="40"/>
    </row>
    <row r="438" spans="3:19">
      <c r="C438" s="40"/>
      <c r="D438" s="40"/>
      <c r="E438" s="40"/>
      <c r="F438" s="40"/>
      <c r="G438" s="40"/>
      <c r="H438" s="40"/>
      <c r="I438" s="40"/>
      <c r="J438" s="40"/>
      <c r="K438" s="40"/>
      <c r="L438" s="40"/>
      <c r="M438" s="40"/>
      <c r="N438" s="40"/>
      <c r="O438" s="40"/>
      <c r="P438" s="40"/>
      <c r="Q438" s="40"/>
      <c r="R438" s="40"/>
      <c r="S438" s="40"/>
    </row>
    <row r="439" spans="3:19">
      <c r="C439" s="40"/>
      <c r="D439" s="40"/>
      <c r="E439" s="40"/>
      <c r="F439" s="40"/>
      <c r="G439" s="40"/>
      <c r="H439" s="40"/>
      <c r="I439" s="40"/>
      <c r="J439" s="40"/>
      <c r="K439" s="40"/>
      <c r="L439" s="40"/>
      <c r="M439" s="40"/>
      <c r="N439" s="40"/>
      <c r="O439" s="40"/>
      <c r="P439" s="40"/>
      <c r="Q439" s="40"/>
      <c r="R439" s="40"/>
      <c r="S439" s="40"/>
    </row>
    <row r="440" spans="3:19">
      <c r="C440" s="40"/>
      <c r="D440" s="40"/>
      <c r="E440" s="40"/>
      <c r="F440" s="40"/>
      <c r="G440" s="40"/>
      <c r="H440" s="40"/>
      <c r="I440" s="40"/>
      <c r="J440" s="40"/>
      <c r="K440" s="40"/>
      <c r="L440" s="40"/>
      <c r="M440" s="40"/>
      <c r="N440" s="40"/>
      <c r="O440" s="40"/>
      <c r="P440" s="40"/>
      <c r="Q440" s="40"/>
      <c r="R440" s="40"/>
      <c r="S440" s="40"/>
    </row>
    <row r="441" spans="3:19">
      <c r="C441" s="40"/>
      <c r="D441" s="40"/>
      <c r="E441" s="40"/>
      <c r="F441" s="40"/>
      <c r="G441" s="40"/>
      <c r="H441" s="40"/>
      <c r="I441" s="40"/>
      <c r="J441" s="40"/>
      <c r="K441" s="40"/>
      <c r="L441" s="40"/>
      <c r="M441" s="40"/>
      <c r="N441" s="40"/>
      <c r="O441" s="40"/>
      <c r="P441" s="40"/>
      <c r="Q441" s="40"/>
      <c r="R441" s="40"/>
      <c r="S441" s="40"/>
    </row>
    <row r="442" spans="3:19">
      <c r="C442" s="40"/>
      <c r="D442" s="40"/>
      <c r="E442" s="40"/>
      <c r="F442" s="40"/>
      <c r="G442" s="40"/>
      <c r="H442" s="40"/>
      <c r="I442" s="40"/>
      <c r="J442" s="40"/>
      <c r="K442" s="40"/>
      <c r="L442" s="40"/>
      <c r="M442" s="40"/>
      <c r="N442" s="40"/>
      <c r="O442" s="40"/>
      <c r="P442" s="40"/>
      <c r="Q442" s="40"/>
      <c r="R442" s="40"/>
      <c r="S442" s="40"/>
    </row>
    <row r="443" spans="3:19">
      <c r="C443" s="40"/>
      <c r="D443" s="40"/>
      <c r="E443" s="40"/>
      <c r="F443" s="40"/>
      <c r="G443" s="40"/>
      <c r="H443" s="40"/>
      <c r="I443" s="40"/>
      <c r="J443" s="40"/>
      <c r="K443" s="40"/>
      <c r="L443" s="40"/>
      <c r="M443" s="40"/>
      <c r="N443" s="40"/>
      <c r="O443" s="40"/>
      <c r="P443" s="40"/>
      <c r="Q443" s="40"/>
      <c r="R443" s="40"/>
      <c r="S443" s="40"/>
    </row>
    <row r="444" spans="3:19">
      <c r="C444" s="40"/>
      <c r="D444" s="40"/>
      <c r="E444" s="40"/>
      <c r="F444" s="40"/>
      <c r="G444" s="40"/>
      <c r="H444" s="40"/>
      <c r="I444" s="40"/>
      <c r="J444" s="40"/>
      <c r="K444" s="40"/>
      <c r="L444" s="40"/>
      <c r="M444" s="40"/>
      <c r="N444" s="40"/>
      <c r="O444" s="40"/>
      <c r="P444" s="40"/>
      <c r="Q444" s="40"/>
      <c r="R444" s="40"/>
      <c r="S444" s="40"/>
    </row>
    <row r="445" spans="3:19">
      <c r="C445" s="40"/>
      <c r="D445" s="40"/>
      <c r="E445" s="40"/>
      <c r="F445" s="40"/>
      <c r="G445" s="40"/>
      <c r="H445" s="40"/>
      <c r="I445" s="40"/>
      <c r="J445" s="40"/>
      <c r="K445" s="40"/>
      <c r="L445" s="40"/>
      <c r="M445" s="40"/>
      <c r="N445" s="40"/>
      <c r="O445" s="40"/>
      <c r="P445" s="40"/>
      <c r="Q445" s="40"/>
      <c r="R445" s="40"/>
      <c r="S445" s="40"/>
    </row>
    <row r="446" spans="3:19">
      <c r="C446" s="40"/>
      <c r="D446" s="40"/>
      <c r="E446" s="40"/>
      <c r="F446" s="40"/>
      <c r="G446" s="40"/>
      <c r="H446" s="40"/>
      <c r="I446" s="40"/>
      <c r="J446" s="40"/>
      <c r="K446" s="40"/>
      <c r="L446" s="40"/>
      <c r="M446" s="40"/>
      <c r="N446" s="40"/>
      <c r="O446" s="40"/>
      <c r="P446" s="40"/>
      <c r="Q446" s="40"/>
      <c r="R446" s="40"/>
      <c r="S446" s="40"/>
    </row>
    <row r="447" spans="3:19">
      <c r="C447" s="40"/>
      <c r="D447" s="40"/>
      <c r="E447" s="40"/>
      <c r="F447" s="40"/>
      <c r="G447" s="40"/>
      <c r="H447" s="40"/>
      <c r="I447" s="40"/>
      <c r="J447" s="40"/>
      <c r="K447" s="40"/>
      <c r="L447" s="40"/>
      <c r="M447" s="40"/>
      <c r="N447" s="40"/>
      <c r="O447" s="40"/>
      <c r="P447" s="40"/>
      <c r="Q447" s="40"/>
      <c r="R447" s="40"/>
      <c r="S447" s="40"/>
    </row>
    <row r="448" spans="3:19">
      <c r="C448" s="40"/>
      <c r="D448" s="40"/>
      <c r="E448" s="40"/>
      <c r="F448" s="40"/>
      <c r="G448" s="40"/>
      <c r="H448" s="40"/>
      <c r="I448" s="40"/>
      <c r="J448" s="40"/>
      <c r="K448" s="40"/>
      <c r="L448" s="40"/>
      <c r="M448" s="40"/>
      <c r="N448" s="40"/>
      <c r="O448" s="40"/>
      <c r="P448" s="40"/>
      <c r="Q448" s="40"/>
      <c r="R448" s="40"/>
      <c r="S448" s="40"/>
    </row>
    <row r="449" spans="3:19">
      <c r="C449" s="40"/>
      <c r="D449" s="40"/>
      <c r="E449" s="40"/>
      <c r="F449" s="40"/>
      <c r="G449" s="40"/>
      <c r="H449" s="40"/>
      <c r="I449" s="40"/>
      <c r="J449" s="40"/>
      <c r="K449" s="40"/>
      <c r="L449" s="40"/>
      <c r="M449" s="40"/>
      <c r="N449" s="40"/>
      <c r="O449" s="40"/>
      <c r="P449" s="40"/>
      <c r="Q449" s="40"/>
      <c r="R449" s="40"/>
      <c r="S449" s="40"/>
    </row>
    <row r="450" spans="3:19">
      <c r="C450" s="40"/>
      <c r="D450" s="40"/>
      <c r="E450" s="40"/>
      <c r="F450" s="40"/>
      <c r="G450" s="40"/>
      <c r="H450" s="40"/>
      <c r="I450" s="40"/>
      <c r="J450" s="40"/>
      <c r="K450" s="40"/>
      <c r="L450" s="40"/>
      <c r="M450" s="40"/>
      <c r="N450" s="40"/>
      <c r="O450" s="40"/>
      <c r="P450" s="40"/>
      <c r="Q450" s="40"/>
      <c r="R450" s="40"/>
      <c r="S450" s="40"/>
    </row>
    <row r="451" spans="3:19">
      <c r="C451" s="40"/>
      <c r="D451" s="40"/>
      <c r="E451" s="40"/>
      <c r="F451" s="40"/>
      <c r="G451" s="40"/>
      <c r="H451" s="40"/>
      <c r="I451" s="40"/>
      <c r="J451" s="40"/>
      <c r="K451" s="40"/>
      <c r="L451" s="40"/>
      <c r="M451" s="40"/>
      <c r="N451" s="40"/>
      <c r="O451" s="40"/>
      <c r="P451" s="40"/>
      <c r="Q451" s="40"/>
      <c r="R451" s="40"/>
      <c r="S451" s="40"/>
    </row>
    <row r="452" spans="3:19">
      <c r="C452" s="40"/>
      <c r="D452" s="40"/>
      <c r="E452" s="40"/>
      <c r="F452" s="40"/>
      <c r="G452" s="40"/>
      <c r="H452" s="40"/>
      <c r="I452" s="40"/>
      <c r="J452" s="40"/>
      <c r="K452" s="40"/>
      <c r="L452" s="40"/>
      <c r="M452" s="40"/>
      <c r="N452" s="40"/>
      <c r="O452" s="40"/>
      <c r="P452" s="40"/>
      <c r="Q452" s="40"/>
      <c r="R452" s="40"/>
      <c r="S452" s="40"/>
    </row>
    <row r="453" spans="3:19">
      <c r="C453" s="40"/>
      <c r="D453" s="40"/>
      <c r="E453" s="40"/>
      <c r="F453" s="40"/>
      <c r="G453" s="40"/>
      <c r="H453" s="40"/>
      <c r="I453" s="40"/>
      <c r="J453" s="40"/>
      <c r="K453" s="40"/>
      <c r="L453" s="40"/>
      <c r="M453" s="40"/>
      <c r="N453" s="40"/>
      <c r="O453" s="40"/>
      <c r="P453" s="40"/>
      <c r="Q453" s="40"/>
      <c r="R453" s="40"/>
      <c r="S453" s="40"/>
    </row>
    <row r="454" spans="3:19">
      <c r="C454" s="40"/>
      <c r="D454" s="40"/>
      <c r="E454" s="40"/>
      <c r="F454" s="40"/>
      <c r="G454" s="40"/>
      <c r="H454" s="40"/>
      <c r="I454" s="40"/>
      <c r="J454" s="40"/>
      <c r="K454" s="40"/>
      <c r="L454" s="40"/>
      <c r="M454" s="40"/>
      <c r="N454" s="40"/>
      <c r="O454" s="40"/>
      <c r="P454" s="40"/>
      <c r="Q454" s="40"/>
      <c r="R454" s="40"/>
      <c r="S454" s="40"/>
    </row>
    <row r="455" spans="3:19">
      <c r="C455" s="40"/>
      <c r="D455" s="40"/>
      <c r="E455" s="40"/>
      <c r="F455" s="40"/>
      <c r="G455" s="40"/>
      <c r="H455" s="40"/>
      <c r="I455" s="40"/>
      <c r="J455" s="40"/>
      <c r="K455" s="40"/>
      <c r="L455" s="40"/>
      <c r="M455" s="40"/>
      <c r="N455" s="40"/>
      <c r="O455" s="40"/>
      <c r="P455" s="40"/>
      <c r="Q455" s="40"/>
      <c r="R455" s="40"/>
      <c r="S455" s="40"/>
    </row>
    <row r="456" spans="3:19">
      <c r="C456" s="40"/>
      <c r="D456" s="40"/>
      <c r="E456" s="40"/>
      <c r="F456" s="40"/>
      <c r="G456" s="40"/>
      <c r="H456" s="40"/>
      <c r="I456" s="40"/>
      <c r="J456" s="40"/>
      <c r="K456" s="40"/>
      <c r="L456" s="40"/>
      <c r="M456" s="40"/>
      <c r="N456" s="40"/>
      <c r="O456" s="40"/>
      <c r="P456" s="40"/>
      <c r="Q456" s="40"/>
      <c r="R456" s="40"/>
      <c r="S456" s="40"/>
    </row>
    <row r="457" spans="3:19">
      <c r="C457" s="40"/>
      <c r="D457" s="40"/>
      <c r="E457" s="40"/>
      <c r="F457" s="40"/>
      <c r="G457" s="40"/>
      <c r="H457" s="40"/>
      <c r="I457" s="40"/>
      <c r="J457" s="40"/>
      <c r="K457" s="40"/>
      <c r="L457" s="40"/>
      <c r="M457" s="40"/>
      <c r="N457" s="40"/>
      <c r="O457" s="40"/>
      <c r="P457" s="40"/>
      <c r="Q457" s="40"/>
      <c r="R457" s="40"/>
      <c r="S457" s="40"/>
    </row>
    <row r="458" spans="3:19">
      <c r="C458" s="40"/>
      <c r="D458" s="40"/>
      <c r="E458" s="40"/>
      <c r="F458" s="40"/>
      <c r="G458" s="40"/>
      <c r="H458" s="40"/>
      <c r="I458" s="40"/>
      <c r="J458" s="40"/>
      <c r="K458" s="40"/>
      <c r="L458" s="40"/>
      <c r="M458" s="40"/>
      <c r="N458" s="40"/>
      <c r="O458" s="40"/>
      <c r="P458" s="40"/>
      <c r="Q458" s="40"/>
      <c r="R458" s="40"/>
      <c r="S458" s="40"/>
    </row>
    <row r="459" spans="3:19">
      <c r="C459" s="40"/>
      <c r="D459" s="40"/>
      <c r="E459" s="40"/>
      <c r="F459" s="40"/>
      <c r="G459" s="40"/>
      <c r="H459" s="40"/>
      <c r="I459" s="40"/>
      <c r="J459" s="40"/>
      <c r="K459" s="40"/>
      <c r="L459" s="40"/>
      <c r="M459" s="40"/>
      <c r="N459" s="40"/>
      <c r="O459" s="40"/>
      <c r="P459" s="40"/>
      <c r="Q459" s="40"/>
      <c r="R459" s="40"/>
      <c r="S459" s="40"/>
    </row>
    <row r="460" spans="3:19">
      <c r="C460" s="40"/>
      <c r="D460" s="40"/>
      <c r="E460" s="40"/>
      <c r="F460" s="40"/>
      <c r="G460" s="40"/>
      <c r="H460" s="40"/>
      <c r="I460" s="40"/>
      <c r="J460" s="40"/>
      <c r="K460" s="40"/>
      <c r="L460" s="40"/>
      <c r="M460" s="40"/>
      <c r="N460" s="40"/>
      <c r="O460" s="40"/>
      <c r="P460" s="40"/>
      <c r="Q460" s="40"/>
      <c r="R460" s="40"/>
      <c r="S460" s="40"/>
    </row>
    <row r="461" spans="3:19">
      <c r="C461" s="40"/>
      <c r="D461" s="40"/>
      <c r="E461" s="40"/>
      <c r="F461" s="40"/>
      <c r="G461" s="40"/>
      <c r="H461" s="40"/>
      <c r="I461" s="40"/>
      <c r="J461" s="40"/>
      <c r="K461" s="40"/>
      <c r="L461" s="40"/>
      <c r="M461" s="40"/>
      <c r="N461" s="40"/>
      <c r="O461" s="40"/>
      <c r="P461" s="40"/>
      <c r="Q461" s="40"/>
      <c r="R461" s="40"/>
      <c r="S461" s="40"/>
    </row>
    <row r="462" spans="3:19">
      <c r="C462" s="40"/>
      <c r="D462" s="40"/>
      <c r="E462" s="40"/>
      <c r="F462" s="40"/>
      <c r="G462" s="40"/>
      <c r="H462" s="40"/>
      <c r="I462" s="40"/>
      <c r="J462" s="40"/>
      <c r="K462" s="40"/>
      <c r="L462" s="40"/>
      <c r="M462" s="40"/>
      <c r="N462" s="40"/>
      <c r="O462" s="40"/>
      <c r="P462" s="40"/>
      <c r="Q462" s="40"/>
      <c r="R462" s="40"/>
      <c r="S462" s="40"/>
    </row>
    <row r="463" spans="3:19">
      <c r="C463" s="40"/>
      <c r="D463" s="40"/>
      <c r="E463" s="40"/>
      <c r="F463" s="40"/>
      <c r="G463" s="40"/>
      <c r="H463" s="40"/>
      <c r="I463" s="40"/>
      <c r="J463" s="40"/>
      <c r="K463" s="40"/>
      <c r="L463" s="40"/>
      <c r="M463" s="40"/>
      <c r="N463" s="40"/>
      <c r="O463" s="40"/>
      <c r="P463" s="40"/>
      <c r="Q463" s="40"/>
      <c r="R463" s="40"/>
      <c r="S463" s="40"/>
    </row>
    <row r="464" spans="3:19">
      <c r="C464" s="40"/>
      <c r="D464" s="40"/>
      <c r="E464" s="40"/>
      <c r="F464" s="40"/>
      <c r="G464" s="40"/>
      <c r="H464" s="40"/>
      <c r="I464" s="40"/>
      <c r="J464" s="40"/>
      <c r="K464" s="40"/>
      <c r="L464" s="40"/>
      <c r="M464" s="40"/>
      <c r="N464" s="40"/>
      <c r="O464" s="40"/>
      <c r="P464" s="40"/>
      <c r="Q464" s="40"/>
      <c r="R464" s="40"/>
      <c r="S464" s="40"/>
    </row>
    <row r="465" spans="3:19">
      <c r="C465" s="40"/>
      <c r="D465" s="40"/>
      <c r="E465" s="40"/>
      <c r="F465" s="40"/>
      <c r="G465" s="40"/>
      <c r="H465" s="40"/>
      <c r="I465" s="40"/>
      <c r="J465" s="40"/>
      <c r="K465" s="40"/>
      <c r="L465" s="40"/>
      <c r="M465" s="40"/>
      <c r="N465" s="40"/>
      <c r="O465" s="40"/>
      <c r="P465" s="40"/>
      <c r="Q465" s="40"/>
      <c r="R465" s="40"/>
      <c r="S465" s="40"/>
    </row>
    <row r="466" spans="3:19">
      <c r="C466" s="40"/>
      <c r="D466" s="40"/>
      <c r="E466" s="40"/>
      <c r="F466" s="40"/>
      <c r="G466" s="40"/>
      <c r="H466" s="40"/>
      <c r="I466" s="40"/>
      <c r="J466" s="40"/>
      <c r="K466" s="40"/>
      <c r="L466" s="40"/>
      <c r="M466" s="40"/>
      <c r="N466" s="40"/>
      <c r="O466" s="40"/>
      <c r="P466" s="40"/>
      <c r="Q466" s="40"/>
      <c r="R466" s="40"/>
      <c r="S466" s="40"/>
    </row>
    <row r="467" spans="3:19">
      <c r="C467" s="40"/>
      <c r="D467" s="40"/>
      <c r="E467" s="40"/>
      <c r="F467" s="40"/>
      <c r="G467" s="40"/>
      <c r="H467" s="40"/>
      <c r="I467" s="40"/>
      <c r="J467" s="40"/>
      <c r="K467" s="40"/>
      <c r="L467" s="40"/>
      <c r="M467" s="40"/>
      <c r="N467" s="40"/>
      <c r="O467" s="40"/>
      <c r="P467" s="40"/>
      <c r="Q467" s="40"/>
      <c r="R467" s="40"/>
      <c r="S467" s="40"/>
    </row>
    <row r="468" spans="3:19">
      <c r="C468" s="40"/>
      <c r="D468" s="40"/>
      <c r="E468" s="40"/>
      <c r="F468" s="40"/>
      <c r="G468" s="40"/>
      <c r="H468" s="40"/>
      <c r="I468" s="40"/>
      <c r="J468" s="40"/>
      <c r="K468" s="40"/>
      <c r="L468" s="40"/>
      <c r="M468" s="40"/>
      <c r="N468" s="40"/>
      <c r="O468" s="40"/>
      <c r="P468" s="40"/>
      <c r="Q468" s="40"/>
      <c r="R468" s="40"/>
      <c r="S468" s="40"/>
    </row>
    <row r="469" spans="3:19">
      <c r="C469" s="40"/>
      <c r="D469" s="40"/>
      <c r="E469" s="40"/>
      <c r="F469" s="40"/>
      <c r="G469" s="40"/>
      <c r="H469" s="40"/>
      <c r="I469" s="40"/>
      <c r="J469" s="40"/>
      <c r="K469" s="40"/>
      <c r="L469" s="40"/>
      <c r="M469" s="40"/>
      <c r="N469" s="40"/>
      <c r="O469" s="40"/>
      <c r="P469" s="40"/>
      <c r="Q469" s="40"/>
      <c r="R469" s="40"/>
      <c r="S469" s="40"/>
    </row>
    <row r="470" spans="3:19">
      <c r="C470" s="40"/>
      <c r="D470" s="40"/>
      <c r="E470" s="40"/>
      <c r="F470" s="40"/>
      <c r="G470" s="40"/>
      <c r="H470" s="40"/>
      <c r="I470" s="40"/>
      <c r="J470" s="40"/>
      <c r="K470" s="40"/>
      <c r="L470" s="40"/>
      <c r="M470" s="40"/>
      <c r="N470" s="40"/>
      <c r="O470" s="40"/>
      <c r="P470" s="40"/>
      <c r="Q470" s="40"/>
      <c r="R470" s="40"/>
      <c r="S470" s="40"/>
    </row>
    <row r="471" spans="3:19">
      <c r="C471" s="40"/>
      <c r="D471" s="40"/>
      <c r="E471" s="40"/>
      <c r="F471" s="40"/>
      <c r="G471" s="40"/>
      <c r="H471" s="40"/>
      <c r="I471" s="40"/>
      <c r="J471" s="40"/>
      <c r="K471" s="40"/>
      <c r="L471" s="40"/>
      <c r="M471" s="40"/>
      <c r="N471" s="40"/>
      <c r="O471" s="40"/>
      <c r="P471" s="40"/>
      <c r="Q471" s="40"/>
      <c r="R471" s="40"/>
      <c r="S471" s="40"/>
    </row>
    <row r="472" spans="3:19">
      <c r="C472" s="40"/>
      <c r="D472" s="40"/>
      <c r="E472" s="40"/>
      <c r="F472" s="40"/>
      <c r="G472" s="40"/>
      <c r="H472" s="40"/>
      <c r="I472" s="40"/>
      <c r="J472" s="40"/>
      <c r="K472" s="40"/>
      <c r="L472" s="40"/>
      <c r="M472" s="40"/>
      <c r="N472" s="40"/>
      <c r="O472" s="40"/>
      <c r="P472" s="40"/>
      <c r="Q472" s="40"/>
      <c r="R472" s="40"/>
      <c r="S472" s="40"/>
    </row>
    <row r="473" spans="3:19">
      <c r="C473" s="40"/>
      <c r="D473" s="40"/>
      <c r="E473" s="40"/>
      <c r="F473" s="40"/>
      <c r="G473" s="40"/>
      <c r="H473" s="40"/>
      <c r="I473" s="40"/>
      <c r="J473" s="40"/>
      <c r="K473" s="40"/>
      <c r="L473" s="40"/>
      <c r="M473" s="40"/>
      <c r="N473" s="40"/>
      <c r="O473" s="40"/>
      <c r="P473" s="40"/>
      <c r="Q473" s="40"/>
      <c r="R473" s="40"/>
      <c r="S473" s="40"/>
    </row>
    <row r="474" spans="3:19">
      <c r="C474" s="40"/>
      <c r="D474" s="40"/>
      <c r="E474" s="40"/>
      <c r="F474" s="40"/>
      <c r="G474" s="40"/>
      <c r="H474" s="40"/>
      <c r="I474" s="40"/>
      <c r="J474" s="40"/>
      <c r="K474" s="40"/>
      <c r="L474" s="40"/>
      <c r="M474" s="40"/>
      <c r="N474" s="40"/>
      <c r="O474" s="40"/>
      <c r="P474" s="40"/>
      <c r="Q474" s="40"/>
      <c r="R474" s="40"/>
      <c r="S474" s="40"/>
    </row>
    <row r="475" spans="3:19">
      <c r="C475" s="40"/>
      <c r="D475" s="40"/>
      <c r="E475" s="40"/>
      <c r="F475" s="40"/>
      <c r="G475" s="40"/>
      <c r="H475" s="40"/>
      <c r="I475" s="40"/>
      <c r="J475" s="40"/>
      <c r="K475" s="40"/>
      <c r="L475" s="40"/>
      <c r="M475" s="40"/>
      <c r="N475" s="40"/>
      <c r="O475" s="40"/>
      <c r="P475" s="40"/>
      <c r="Q475" s="40"/>
      <c r="R475" s="40"/>
      <c r="S475" s="40"/>
    </row>
    <row r="476" spans="3:19">
      <c r="C476" s="40"/>
      <c r="D476" s="40"/>
      <c r="E476" s="40"/>
      <c r="F476" s="40"/>
      <c r="G476" s="40"/>
      <c r="H476" s="40"/>
      <c r="I476" s="40"/>
      <c r="J476" s="40"/>
      <c r="K476" s="40"/>
      <c r="L476" s="40"/>
      <c r="M476" s="40"/>
      <c r="N476" s="40"/>
      <c r="O476" s="40"/>
      <c r="P476" s="40"/>
      <c r="Q476" s="40"/>
      <c r="R476" s="40"/>
      <c r="S476" s="40"/>
    </row>
    <row r="477" spans="3:19">
      <c r="C477" s="40"/>
      <c r="D477" s="40"/>
      <c r="E477" s="40"/>
      <c r="F477" s="40"/>
      <c r="G477" s="40"/>
      <c r="H477" s="40"/>
      <c r="I477" s="40"/>
      <c r="J477" s="40"/>
      <c r="K477" s="40"/>
      <c r="L477" s="40"/>
      <c r="M477" s="40"/>
      <c r="N477" s="40"/>
      <c r="O477" s="40"/>
      <c r="P477" s="40"/>
      <c r="Q477" s="40"/>
      <c r="R477" s="40"/>
      <c r="S477" s="40"/>
    </row>
    <row r="478" spans="3:19">
      <c r="C478" s="40"/>
      <c r="D478" s="40"/>
      <c r="E478" s="40"/>
      <c r="F478" s="40"/>
      <c r="G478" s="40"/>
      <c r="H478" s="40"/>
      <c r="I478" s="40"/>
      <c r="J478" s="40"/>
      <c r="K478" s="40"/>
      <c r="L478" s="40"/>
      <c r="M478" s="40"/>
      <c r="N478" s="40"/>
      <c r="O478" s="40"/>
      <c r="P478" s="40"/>
      <c r="Q478" s="40"/>
      <c r="R478" s="40"/>
      <c r="S478" s="40"/>
    </row>
    <row r="479" spans="3:19">
      <c r="C479" s="40"/>
      <c r="D479" s="40"/>
      <c r="E479" s="40"/>
      <c r="F479" s="40"/>
      <c r="G479" s="40"/>
      <c r="H479" s="40"/>
      <c r="I479" s="40"/>
      <c r="J479" s="40"/>
      <c r="K479" s="40"/>
      <c r="L479" s="40"/>
      <c r="M479" s="40"/>
      <c r="N479" s="40"/>
      <c r="O479" s="40"/>
      <c r="P479" s="40"/>
      <c r="Q479" s="40"/>
      <c r="R479" s="40"/>
      <c r="S479" s="40"/>
    </row>
    <row r="480" spans="3:19">
      <c r="C480" s="40"/>
      <c r="D480" s="40"/>
      <c r="E480" s="40"/>
      <c r="F480" s="40"/>
      <c r="G480" s="40"/>
      <c r="H480" s="40"/>
      <c r="I480" s="40"/>
      <c r="J480" s="40"/>
      <c r="K480" s="40"/>
      <c r="L480" s="40"/>
      <c r="M480" s="40"/>
      <c r="N480" s="40"/>
      <c r="O480" s="40"/>
      <c r="P480" s="40"/>
      <c r="Q480" s="40"/>
      <c r="R480" s="40"/>
      <c r="S480" s="40"/>
    </row>
    <row r="481" spans="3:19">
      <c r="C481" s="40"/>
      <c r="D481" s="40"/>
      <c r="E481" s="40"/>
      <c r="F481" s="40"/>
      <c r="G481" s="40"/>
      <c r="H481" s="40"/>
      <c r="I481" s="40"/>
      <c r="J481" s="40"/>
      <c r="K481" s="40"/>
      <c r="L481" s="40"/>
      <c r="M481" s="40"/>
      <c r="N481" s="40"/>
      <c r="O481" s="40"/>
      <c r="P481" s="40"/>
      <c r="Q481" s="40"/>
      <c r="R481" s="40"/>
      <c r="S481" s="40"/>
    </row>
    <row r="482" spans="3:19">
      <c r="C482" s="40"/>
      <c r="D482" s="40"/>
      <c r="E482" s="40"/>
      <c r="F482" s="40"/>
      <c r="G482" s="40"/>
      <c r="H482" s="40"/>
      <c r="I482" s="40"/>
      <c r="J482" s="40"/>
      <c r="K482" s="40"/>
      <c r="L482" s="40"/>
      <c r="M482" s="40"/>
      <c r="N482" s="40"/>
      <c r="O482" s="40"/>
      <c r="P482" s="40"/>
      <c r="Q482" s="40"/>
      <c r="R482" s="40"/>
      <c r="S482" s="40"/>
    </row>
    <row r="483" spans="3:19">
      <c r="C483" s="40"/>
      <c r="D483" s="40"/>
      <c r="E483" s="40"/>
      <c r="F483" s="40"/>
      <c r="G483" s="40"/>
      <c r="H483" s="40"/>
      <c r="I483" s="40"/>
      <c r="J483" s="40"/>
      <c r="K483" s="40"/>
      <c r="L483" s="40"/>
      <c r="M483" s="40"/>
      <c r="N483" s="40"/>
      <c r="O483" s="40"/>
      <c r="P483" s="40"/>
      <c r="Q483" s="40"/>
      <c r="R483" s="40"/>
      <c r="S483" s="40"/>
    </row>
    <row r="484" spans="3:19">
      <c r="C484" s="40"/>
      <c r="D484" s="40"/>
      <c r="E484" s="40"/>
      <c r="F484" s="40"/>
      <c r="G484" s="40"/>
      <c r="H484" s="40"/>
      <c r="I484" s="40"/>
      <c r="J484" s="40"/>
      <c r="K484" s="40"/>
      <c r="L484" s="40"/>
      <c r="M484" s="40"/>
      <c r="N484" s="40"/>
      <c r="O484" s="40"/>
      <c r="P484" s="40"/>
      <c r="Q484" s="40"/>
      <c r="R484" s="40"/>
      <c r="S484" s="40"/>
    </row>
    <row r="485" spans="3:19">
      <c r="C485" s="40"/>
      <c r="D485" s="40"/>
      <c r="E485" s="40"/>
      <c r="F485" s="40"/>
      <c r="G485" s="40"/>
      <c r="H485" s="40"/>
      <c r="I485" s="40"/>
      <c r="J485" s="40"/>
      <c r="K485" s="40"/>
      <c r="L485" s="40"/>
      <c r="M485" s="40"/>
      <c r="N485" s="40"/>
      <c r="O485" s="40"/>
      <c r="P485" s="40"/>
      <c r="Q485" s="40"/>
      <c r="R485" s="40"/>
      <c r="S485" s="40"/>
    </row>
    <row r="486" spans="3:19">
      <c r="C486" s="40"/>
      <c r="D486" s="40"/>
      <c r="E486" s="40"/>
      <c r="F486" s="40"/>
      <c r="G486" s="40"/>
      <c r="H486" s="40"/>
      <c r="I486" s="40"/>
      <c r="J486" s="40"/>
      <c r="K486" s="40"/>
      <c r="L486" s="40"/>
      <c r="M486" s="40"/>
      <c r="N486" s="40"/>
      <c r="O486" s="40"/>
      <c r="P486" s="40"/>
      <c r="Q486" s="40"/>
      <c r="R486" s="40"/>
      <c r="S486" s="40"/>
    </row>
    <row r="487" spans="3:19">
      <c r="C487" s="40"/>
      <c r="D487" s="40"/>
      <c r="E487" s="40"/>
      <c r="F487" s="40"/>
      <c r="G487" s="40"/>
      <c r="H487" s="40"/>
      <c r="I487" s="40"/>
      <c r="J487" s="40"/>
      <c r="K487" s="40"/>
      <c r="L487" s="40"/>
      <c r="M487" s="40"/>
      <c r="N487" s="40"/>
      <c r="O487" s="40"/>
      <c r="P487" s="40"/>
      <c r="Q487" s="40"/>
      <c r="R487" s="40"/>
      <c r="S487" s="40"/>
    </row>
    <row r="488" spans="3:19">
      <c r="C488" s="40"/>
      <c r="D488" s="40"/>
      <c r="E488" s="40"/>
      <c r="F488" s="40"/>
      <c r="G488" s="40"/>
      <c r="H488" s="40"/>
      <c r="I488" s="40"/>
      <c r="J488" s="40"/>
      <c r="K488" s="40"/>
      <c r="L488" s="40"/>
      <c r="M488" s="40"/>
      <c r="N488" s="40"/>
      <c r="O488" s="40"/>
      <c r="P488" s="40"/>
      <c r="Q488" s="40"/>
      <c r="R488" s="40"/>
      <c r="S488" s="40"/>
    </row>
    <row r="489" spans="3:19">
      <c r="C489" s="40"/>
      <c r="D489" s="40"/>
      <c r="E489" s="40"/>
      <c r="F489" s="40"/>
      <c r="G489" s="40"/>
      <c r="H489" s="40"/>
      <c r="I489" s="40"/>
      <c r="J489" s="40"/>
      <c r="K489" s="40"/>
      <c r="L489" s="40"/>
      <c r="M489" s="40"/>
      <c r="N489" s="40"/>
      <c r="O489" s="40"/>
      <c r="P489" s="40"/>
      <c r="Q489" s="40"/>
      <c r="R489" s="40"/>
      <c r="S489" s="40"/>
    </row>
    <row r="490" spans="3:19">
      <c r="C490" s="40"/>
      <c r="D490" s="40"/>
      <c r="E490" s="40"/>
      <c r="F490" s="40"/>
      <c r="G490" s="40"/>
      <c r="H490" s="40"/>
      <c r="I490" s="40"/>
      <c r="J490" s="40"/>
      <c r="K490" s="40"/>
      <c r="L490" s="40"/>
      <c r="M490" s="40"/>
      <c r="N490" s="40"/>
      <c r="O490" s="40"/>
      <c r="P490" s="40"/>
      <c r="Q490" s="40"/>
      <c r="R490" s="40"/>
      <c r="S490" s="40"/>
    </row>
    <row r="491" spans="3:19">
      <c r="C491" s="40"/>
      <c r="D491" s="40"/>
      <c r="E491" s="40"/>
      <c r="F491" s="40"/>
      <c r="G491" s="40"/>
      <c r="H491" s="40"/>
      <c r="I491" s="40"/>
      <c r="J491" s="40"/>
      <c r="K491" s="40"/>
      <c r="L491" s="40"/>
      <c r="M491" s="40"/>
      <c r="N491" s="40"/>
      <c r="O491" s="40"/>
      <c r="P491" s="40"/>
      <c r="Q491" s="40"/>
      <c r="R491" s="40"/>
      <c r="S491" s="40"/>
    </row>
    <row r="492" spans="3:19">
      <c r="C492" s="40"/>
      <c r="D492" s="40"/>
      <c r="E492" s="40"/>
      <c r="F492" s="40"/>
      <c r="G492" s="40"/>
      <c r="H492" s="40"/>
      <c r="I492" s="40"/>
      <c r="J492" s="40"/>
      <c r="K492" s="40"/>
      <c r="L492" s="40"/>
      <c r="M492" s="40"/>
      <c r="N492" s="40"/>
      <c r="O492" s="40"/>
      <c r="P492" s="40"/>
      <c r="Q492" s="40"/>
      <c r="R492" s="40"/>
      <c r="S492" s="40"/>
    </row>
    <row r="493" spans="3:19">
      <c r="C493" s="40"/>
      <c r="D493" s="40"/>
      <c r="E493" s="40"/>
      <c r="F493" s="40"/>
      <c r="G493" s="40"/>
      <c r="H493" s="40"/>
      <c r="I493" s="40"/>
      <c r="J493" s="40"/>
      <c r="K493" s="40"/>
      <c r="L493" s="40"/>
      <c r="M493" s="40"/>
      <c r="N493" s="40"/>
      <c r="O493" s="40"/>
      <c r="P493" s="40"/>
      <c r="Q493" s="40"/>
      <c r="R493" s="40"/>
      <c r="S493" s="40"/>
    </row>
    <row r="494" spans="3:19">
      <c r="C494" s="40"/>
      <c r="D494" s="40"/>
      <c r="E494" s="40"/>
      <c r="F494" s="40"/>
      <c r="G494" s="40"/>
      <c r="H494" s="40"/>
      <c r="I494" s="40"/>
      <c r="J494" s="40"/>
      <c r="K494" s="40"/>
      <c r="L494" s="40"/>
      <c r="M494" s="40"/>
      <c r="N494" s="40"/>
      <c r="O494" s="40"/>
      <c r="P494" s="40"/>
      <c r="Q494" s="40"/>
      <c r="R494" s="40"/>
      <c r="S494" s="40"/>
    </row>
    <row r="495" spans="3:19">
      <c r="C495" s="40"/>
      <c r="D495" s="40"/>
      <c r="E495" s="40"/>
      <c r="F495" s="40"/>
      <c r="G495" s="40"/>
      <c r="H495" s="40"/>
      <c r="I495" s="40"/>
      <c r="J495" s="40"/>
      <c r="K495" s="40"/>
      <c r="L495" s="40"/>
      <c r="M495" s="40"/>
      <c r="N495" s="40"/>
      <c r="O495" s="40"/>
      <c r="P495" s="40"/>
      <c r="Q495" s="40"/>
      <c r="R495" s="40"/>
      <c r="S495" s="40"/>
    </row>
    <row r="496" spans="3:19">
      <c r="C496" s="40"/>
      <c r="D496" s="40"/>
      <c r="E496" s="40"/>
      <c r="F496" s="40"/>
      <c r="G496" s="40"/>
      <c r="H496" s="40"/>
      <c r="I496" s="40"/>
      <c r="J496" s="40"/>
      <c r="K496" s="40"/>
      <c r="L496" s="40"/>
      <c r="M496" s="40"/>
      <c r="N496" s="40"/>
      <c r="O496" s="40"/>
      <c r="P496" s="40"/>
      <c r="Q496" s="40"/>
      <c r="R496" s="40"/>
      <c r="S496" s="40"/>
    </row>
    <row r="497" spans="3:19">
      <c r="C497" s="40"/>
      <c r="D497" s="40"/>
      <c r="E497" s="40"/>
      <c r="F497" s="40"/>
      <c r="G497" s="40"/>
      <c r="H497" s="40"/>
      <c r="I497" s="40"/>
      <c r="J497" s="40"/>
      <c r="K497" s="40"/>
      <c r="L497" s="40"/>
      <c r="M497" s="40"/>
      <c r="N497" s="40"/>
      <c r="O497" s="40"/>
      <c r="P497" s="40"/>
      <c r="Q497" s="40"/>
      <c r="R497" s="40"/>
      <c r="S497" s="40"/>
    </row>
    <row r="498" spans="3:19">
      <c r="C498" s="40"/>
      <c r="D498" s="40"/>
      <c r="E498" s="40"/>
      <c r="F498" s="40"/>
      <c r="G498" s="40"/>
      <c r="H498" s="40"/>
      <c r="I498" s="40"/>
      <c r="J498" s="40"/>
      <c r="K498" s="40"/>
      <c r="L498" s="40"/>
      <c r="M498" s="40"/>
      <c r="N498" s="40"/>
      <c r="O498" s="40"/>
      <c r="P498" s="40"/>
      <c r="Q498" s="40"/>
      <c r="R498" s="40"/>
      <c r="S498" s="40"/>
    </row>
    <row r="499" spans="3:19">
      <c r="C499" s="40"/>
      <c r="D499" s="40"/>
      <c r="E499" s="40"/>
      <c r="F499" s="40"/>
      <c r="G499" s="40"/>
      <c r="H499" s="40"/>
      <c r="I499" s="40"/>
      <c r="J499" s="40"/>
      <c r="K499" s="40"/>
      <c r="L499" s="40"/>
      <c r="M499" s="40"/>
      <c r="N499" s="40"/>
      <c r="O499" s="40"/>
      <c r="P499" s="40"/>
      <c r="Q499" s="40"/>
      <c r="R499" s="40"/>
      <c r="S499" s="40"/>
    </row>
    <row r="500" spans="3:19">
      <c r="C500" s="40"/>
      <c r="D500" s="40"/>
      <c r="E500" s="40"/>
      <c r="F500" s="40"/>
      <c r="G500" s="40"/>
      <c r="H500" s="40"/>
      <c r="I500" s="40"/>
      <c r="J500" s="40"/>
      <c r="K500" s="40"/>
      <c r="L500" s="40"/>
      <c r="M500" s="40"/>
      <c r="N500" s="40"/>
      <c r="O500" s="40"/>
      <c r="P500" s="40"/>
      <c r="Q500" s="40"/>
      <c r="R500" s="40"/>
      <c r="S500" s="40"/>
    </row>
    <row r="501" spans="3:19">
      <c r="C501" s="40"/>
      <c r="D501" s="40"/>
      <c r="E501" s="40"/>
      <c r="F501" s="40"/>
      <c r="G501" s="40"/>
      <c r="H501" s="40"/>
      <c r="I501" s="40"/>
      <c r="J501" s="40"/>
      <c r="K501" s="40"/>
      <c r="L501" s="40"/>
      <c r="M501" s="40"/>
      <c r="N501" s="40"/>
      <c r="O501" s="40"/>
      <c r="P501" s="40"/>
      <c r="Q501" s="40"/>
      <c r="R501" s="40"/>
      <c r="S501" s="40"/>
    </row>
    <row r="502" spans="3:19">
      <c r="C502" s="40"/>
      <c r="D502" s="40"/>
      <c r="E502" s="40"/>
      <c r="F502" s="40"/>
      <c r="G502" s="40"/>
      <c r="H502" s="40"/>
      <c r="I502" s="40"/>
      <c r="J502" s="40"/>
      <c r="K502" s="40"/>
      <c r="L502" s="40"/>
      <c r="M502" s="40"/>
      <c r="N502" s="40"/>
      <c r="O502" s="40"/>
      <c r="P502" s="40"/>
      <c r="Q502" s="40"/>
      <c r="R502" s="40"/>
      <c r="S502" s="40"/>
    </row>
    <row r="503" spans="3:19">
      <c r="C503" s="40"/>
      <c r="D503" s="40"/>
      <c r="E503" s="40"/>
      <c r="F503" s="40"/>
      <c r="G503" s="40"/>
      <c r="H503" s="40"/>
      <c r="I503" s="40"/>
      <c r="J503" s="40"/>
      <c r="K503" s="40"/>
      <c r="L503" s="40"/>
      <c r="M503" s="40"/>
      <c r="N503" s="40"/>
      <c r="O503" s="40"/>
      <c r="P503" s="40"/>
      <c r="Q503" s="40"/>
      <c r="R503" s="40"/>
      <c r="S503" s="40"/>
    </row>
    <row r="504" spans="3:19">
      <c r="C504" s="40"/>
      <c r="D504" s="40"/>
      <c r="E504" s="40"/>
      <c r="F504" s="40"/>
      <c r="G504" s="40"/>
      <c r="H504" s="40"/>
      <c r="I504" s="40"/>
      <c r="J504" s="40"/>
      <c r="K504" s="40"/>
      <c r="L504" s="40"/>
      <c r="M504" s="40"/>
      <c r="N504" s="40"/>
      <c r="O504" s="40"/>
      <c r="P504" s="40"/>
      <c r="Q504" s="40"/>
      <c r="R504" s="40"/>
      <c r="S504" s="40"/>
    </row>
    <row r="505" spans="3:19">
      <c r="C505" s="40"/>
      <c r="D505" s="40"/>
      <c r="E505" s="40"/>
      <c r="F505" s="40"/>
      <c r="G505" s="40"/>
      <c r="H505" s="40"/>
      <c r="I505" s="40"/>
      <c r="J505" s="40"/>
      <c r="K505" s="40"/>
      <c r="L505" s="40"/>
      <c r="M505" s="40"/>
      <c r="N505" s="40"/>
      <c r="O505" s="40"/>
      <c r="P505" s="40"/>
      <c r="Q505" s="40"/>
      <c r="R505" s="40"/>
      <c r="S505" s="40"/>
    </row>
    <row r="506" spans="3:19">
      <c r="C506" s="40"/>
      <c r="D506" s="40"/>
      <c r="E506" s="40"/>
      <c r="F506" s="40"/>
      <c r="G506" s="40"/>
      <c r="H506" s="40"/>
      <c r="I506" s="40"/>
      <c r="J506" s="40"/>
      <c r="K506" s="40"/>
      <c r="L506" s="40"/>
      <c r="M506" s="40"/>
      <c r="N506" s="40"/>
      <c r="O506" s="40"/>
      <c r="P506" s="40"/>
      <c r="Q506" s="40"/>
      <c r="R506" s="40"/>
      <c r="S506" s="40"/>
    </row>
    <row r="507" spans="3:19">
      <c r="C507" s="40"/>
      <c r="D507" s="40"/>
      <c r="E507" s="40"/>
      <c r="F507" s="40"/>
      <c r="G507" s="40"/>
      <c r="H507" s="40"/>
      <c r="I507" s="40"/>
      <c r="J507" s="40"/>
      <c r="K507" s="40"/>
      <c r="L507" s="40"/>
      <c r="M507" s="40"/>
      <c r="N507" s="40"/>
      <c r="O507" s="40"/>
      <c r="P507" s="40"/>
      <c r="Q507" s="40"/>
      <c r="R507" s="40"/>
      <c r="S507" s="40"/>
    </row>
    <row r="508" spans="3:19">
      <c r="C508" s="40"/>
      <c r="D508" s="40"/>
      <c r="E508" s="40"/>
      <c r="F508" s="40"/>
      <c r="G508" s="40"/>
      <c r="H508" s="40"/>
      <c r="I508" s="40"/>
      <c r="J508" s="40"/>
      <c r="K508" s="40"/>
      <c r="L508" s="40"/>
      <c r="M508" s="40"/>
      <c r="N508" s="40"/>
      <c r="O508" s="40"/>
      <c r="P508" s="40"/>
      <c r="Q508" s="40"/>
      <c r="R508" s="40"/>
      <c r="S508" s="40"/>
    </row>
    <row r="509" spans="3:19">
      <c r="C509" s="40"/>
      <c r="D509" s="40"/>
      <c r="E509" s="40"/>
      <c r="F509" s="40"/>
      <c r="G509" s="40"/>
      <c r="H509" s="40"/>
      <c r="I509" s="40"/>
      <c r="J509" s="40"/>
      <c r="K509" s="40"/>
      <c r="L509" s="40"/>
      <c r="M509" s="40"/>
      <c r="N509" s="40"/>
      <c r="O509" s="40"/>
      <c r="P509" s="40"/>
      <c r="Q509" s="40"/>
      <c r="R509" s="40"/>
      <c r="S509" s="40"/>
    </row>
    <row r="510" spans="3:19">
      <c r="C510" s="40"/>
      <c r="D510" s="40"/>
      <c r="E510" s="40"/>
      <c r="F510" s="40"/>
      <c r="G510" s="40"/>
      <c r="H510" s="40"/>
      <c r="I510" s="40"/>
      <c r="J510" s="40"/>
      <c r="K510" s="40"/>
      <c r="L510" s="40"/>
      <c r="M510" s="40"/>
      <c r="N510" s="40"/>
      <c r="O510" s="40"/>
      <c r="P510" s="40"/>
      <c r="Q510" s="40"/>
      <c r="R510" s="40"/>
      <c r="S510" s="40"/>
    </row>
    <row r="511" spans="3:19">
      <c r="C511" s="40"/>
      <c r="D511" s="40"/>
      <c r="E511" s="40"/>
      <c r="F511" s="40"/>
      <c r="G511" s="40"/>
      <c r="H511" s="40"/>
      <c r="I511" s="40"/>
      <c r="J511" s="40"/>
      <c r="K511" s="40"/>
      <c r="L511" s="40"/>
      <c r="M511" s="40"/>
      <c r="N511" s="40"/>
      <c r="O511" s="40"/>
      <c r="P511" s="40"/>
      <c r="Q511" s="40"/>
      <c r="R511" s="40"/>
      <c r="S511" s="40"/>
    </row>
    <row r="512" spans="3:19">
      <c r="C512" s="40"/>
      <c r="D512" s="40"/>
      <c r="E512" s="40"/>
      <c r="F512" s="40"/>
      <c r="G512" s="40"/>
      <c r="H512" s="40"/>
      <c r="I512" s="40"/>
      <c r="J512" s="40"/>
      <c r="K512" s="40"/>
      <c r="L512" s="40"/>
      <c r="M512" s="40"/>
      <c r="N512" s="40"/>
      <c r="O512" s="40"/>
      <c r="P512" s="40"/>
      <c r="Q512" s="40"/>
      <c r="R512" s="40"/>
      <c r="S512" s="40"/>
    </row>
    <row r="513" spans="3:19">
      <c r="C513" s="40"/>
      <c r="D513" s="40"/>
      <c r="E513" s="40"/>
      <c r="F513" s="40"/>
      <c r="G513" s="40"/>
      <c r="H513" s="40"/>
      <c r="I513" s="40"/>
      <c r="J513" s="40"/>
      <c r="K513" s="40"/>
      <c r="L513" s="40"/>
      <c r="M513" s="40"/>
      <c r="N513" s="40"/>
      <c r="O513" s="40"/>
      <c r="P513" s="40"/>
      <c r="Q513" s="40"/>
      <c r="R513" s="40"/>
      <c r="S513" s="40"/>
    </row>
    <row r="514" spans="3:19">
      <c r="C514" s="40"/>
      <c r="D514" s="40"/>
      <c r="E514" s="40"/>
      <c r="F514" s="40"/>
      <c r="G514" s="40"/>
      <c r="H514" s="40"/>
      <c r="I514" s="40"/>
      <c r="J514" s="40"/>
      <c r="K514" s="40"/>
      <c r="L514" s="40"/>
      <c r="M514" s="40"/>
      <c r="N514" s="40"/>
      <c r="O514" s="40"/>
      <c r="P514" s="40"/>
      <c r="Q514" s="40"/>
      <c r="R514" s="40"/>
      <c r="S514" s="40"/>
    </row>
    <row r="515" spans="3:19">
      <c r="C515" s="40"/>
      <c r="D515" s="40"/>
      <c r="E515" s="40"/>
      <c r="F515" s="40"/>
      <c r="G515" s="40"/>
      <c r="H515" s="40"/>
      <c r="I515" s="40"/>
      <c r="J515" s="40"/>
      <c r="K515" s="40"/>
      <c r="L515" s="40"/>
      <c r="M515" s="40"/>
      <c r="N515" s="40"/>
      <c r="O515" s="40"/>
      <c r="P515" s="40"/>
      <c r="Q515" s="40"/>
      <c r="R515" s="40"/>
      <c r="S515" s="40"/>
    </row>
    <row r="516" spans="3:19">
      <c r="C516" s="40"/>
      <c r="D516" s="40"/>
      <c r="E516" s="40"/>
      <c r="F516" s="40"/>
      <c r="G516" s="40"/>
      <c r="H516" s="40"/>
      <c r="I516" s="40"/>
      <c r="J516" s="40"/>
      <c r="K516" s="40"/>
      <c r="L516" s="40"/>
      <c r="M516" s="40"/>
      <c r="N516" s="40"/>
      <c r="O516" s="40"/>
      <c r="P516" s="40"/>
      <c r="Q516" s="40"/>
      <c r="R516" s="40"/>
      <c r="S516" s="40"/>
    </row>
    <row r="517" spans="3:19">
      <c r="C517" s="40"/>
      <c r="D517" s="40"/>
      <c r="E517" s="40"/>
      <c r="F517" s="40"/>
      <c r="G517" s="40"/>
      <c r="H517" s="40"/>
      <c r="I517" s="40"/>
      <c r="J517" s="40"/>
      <c r="K517" s="40"/>
      <c r="L517" s="40"/>
      <c r="M517" s="40"/>
      <c r="N517" s="40"/>
      <c r="O517" s="40"/>
      <c r="P517" s="40"/>
      <c r="Q517" s="40"/>
      <c r="R517" s="40"/>
      <c r="S517" s="40"/>
    </row>
    <row r="518" spans="3:19">
      <c r="C518" s="40"/>
      <c r="D518" s="40"/>
      <c r="E518" s="40"/>
      <c r="F518" s="40"/>
      <c r="G518" s="40"/>
      <c r="H518" s="40"/>
      <c r="I518" s="40"/>
      <c r="J518" s="40"/>
      <c r="K518" s="40"/>
      <c r="L518" s="40"/>
      <c r="M518" s="40"/>
      <c r="N518" s="40"/>
      <c r="O518" s="40"/>
      <c r="P518" s="40"/>
      <c r="Q518" s="40"/>
      <c r="R518" s="40"/>
      <c r="S518" s="40"/>
    </row>
    <row r="519" spans="3:19">
      <c r="C519" s="40"/>
      <c r="D519" s="40"/>
      <c r="E519" s="40"/>
      <c r="F519" s="40"/>
      <c r="G519" s="40"/>
      <c r="H519" s="40"/>
      <c r="I519" s="40"/>
      <c r="J519" s="40"/>
      <c r="K519" s="40"/>
      <c r="L519" s="40"/>
      <c r="M519" s="40"/>
      <c r="N519" s="40"/>
      <c r="O519" s="40"/>
      <c r="P519" s="40"/>
      <c r="Q519" s="40"/>
      <c r="R519" s="40"/>
      <c r="S519" s="40"/>
    </row>
    <row r="520" spans="3:19">
      <c r="C520" s="40"/>
      <c r="D520" s="40"/>
      <c r="E520" s="40"/>
      <c r="F520" s="40"/>
      <c r="G520" s="40"/>
      <c r="H520" s="40"/>
      <c r="I520" s="40"/>
      <c r="J520" s="40"/>
      <c r="K520" s="40"/>
      <c r="L520" s="40"/>
      <c r="M520" s="40"/>
      <c r="N520" s="40"/>
      <c r="O520" s="40"/>
      <c r="P520" s="40"/>
      <c r="Q520" s="40"/>
      <c r="R520" s="40"/>
      <c r="S520" s="40"/>
    </row>
    <row r="521" spans="3:19">
      <c r="C521" s="40"/>
      <c r="D521" s="40"/>
      <c r="E521" s="40"/>
      <c r="F521" s="40"/>
      <c r="G521" s="40"/>
      <c r="H521" s="40"/>
      <c r="I521" s="40"/>
      <c r="J521" s="40"/>
      <c r="K521" s="40"/>
      <c r="L521" s="40"/>
      <c r="M521" s="40"/>
      <c r="N521" s="40"/>
      <c r="O521" s="40"/>
      <c r="P521" s="40"/>
      <c r="Q521" s="40"/>
      <c r="R521" s="40"/>
      <c r="S521" s="40"/>
    </row>
    <row r="522" spans="3:19">
      <c r="C522" s="40"/>
      <c r="D522" s="40"/>
      <c r="E522" s="40"/>
      <c r="F522" s="40"/>
      <c r="G522" s="40"/>
      <c r="H522" s="40"/>
      <c r="I522" s="40"/>
      <c r="J522" s="40"/>
      <c r="K522" s="40"/>
      <c r="L522" s="40"/>
      <c r="M522" s="40"/>
      <c r="N522" s="40"/>
      <c r="O522" s="40"/>
      <c r="P522" s="40"/>
      <c r="Q522" s="40"/>
      <c r="R522" s="40"/>
      <c r="S522" s="40"/>
    </row>
    <row r="523" spans="3:19">
      <c r="C523" s="40"/>
      <c r="D523" s="40"/>
      <c r="E523" s="40"/>
      <c r="F523" s="40"/>
      <c r="G523" s="40"/>
      <c r="H523" s="40"/>
      <c r="I523" s="40"/>
      <c r="J523" s="40"/>
      <c r="K523" s="40"/>
      <c r="L523" s="40"/>
      <c r="M523" s="40"/>
      <c r="N523" s="40"/>
      <c r="O523" s="40"/>
      <c r="P523" s="40"/>
      <c r="Q523" s="40"/>
      <c r="R523" s="40"/>
      <c r="S523" s="40"/>
    </row>
    <row r="524" spans="3:19">
      <c r="C524" s="40"/>
      <c r="D524" s="40"/>
      <c r="E524" s="40"/>
      <c r="F524" s="40"/>
      <c r="G524" s="40"/>
      <c r="H524" s="40"/>
      <c r="I524" s="40"/>
      <c r="J524" s="40"/>
      <c r="K524" s="40"/>
      <c r="L524" s="40"/>
      <c r="M524" s="40"/>
      <c r="N524" s="40"/>
      <c r="O524" s="40"/>
      <c r="P524" s="40"/>
      <c r="Q524" s="40"/>
      <c r="R524" s="40"/>
      <c r="S524" s="40"/>
    </row>
    <row r="525" spans="3:19">
      <c r="C525" s="40"/>
      <c r="D525" s="40"/>
      <c r="E525" s="40"/>
      <c r="F525" s="40"/>
      <c r="G525" s="40"/>
      <c r="H525" s="40"/>
      <c r="I525" s="40"/>
      <c r="J525" s="40"/>
      <c r="K525" s="40"/>
      <c r="L525" s="40"/>
      <c r="M525" s="40"/>
      <c r="N525" s="40"/>
      <c r="O525" s="40"/>
      <c r="P525" s="40"/>
      <c r="Q525" s="40"/>
      <c r="R525" s="40"/>
      <c r="S525" s="40"/>
    </row>
    <row r="526" spans="3:19">
      <c r="C526" s="40"/>
      <c r="D526" s="40"/>
      <c r="E526" s="40"/>
      <c r="F526" s="40"/>
      <c r="G526" s="40"/>
      <c r="H526" s="40"/>
      <c r="I526" s="40"/>
      <c r="J526" s="40"/>
      <c r="K526" s="40"/>
      <c r="L526" s="40"/>
      <c r="M526" s="40"/>
      <c r="N526" s="40"/>
      <c r="O526" s="40"/>
      <c r="P526" s="40"/>
      <c r="Q526" s="40"/>
      <c r="R526" s="40"/>
      <c r="S526" s="40"/>
    </row>
    <row r="527" spans="3:19">
      <c r="C527" s="40"/>
      <c r="D527" s="40"/>
      <c r="E527" s="40"/>
      <c r="F527" s="40"/>
      <c r="G527" s="40"/>
      <c r="H527" s="40"/>
      <c r="I527" s="40"/>
      <c r="J527" s="40"/>
      <c r="K527" s="40"/>
      <c r="L527" s="40"/>
      <c r="M527" s="40"/>
      <c r="N527" s="40"/>
      <c r="O527" s="40"/>
      <c r="P527" s="40"/>
      <c r="Q527" s="40"/>
      <c r="R527" s="40"/>
      <c r="S527" s="40"/>
    </row>
    <row r="528" spans="3:19">
      <c r="C528" s="40"/>
      <c r="D528" s="40"/>
      <c r="E528" s="40"/>
      <c r="F528" s="40"/>
      <c r="G528" s="40"/>
      <c r="H528" s="40"/>
      <c r="I528" s="40"/>
      <c r="J528" s="40"/>
      <c r="K528" s="40"/>
      <c r="L528" s="40"/>
      <c r="M528" s="40"/>
      <c r="N528" s="40"/>
      <c r="O528" s="40"/>
      <c r="P528" s="40"/>
      <c r="Q528" s="40"/>
      <c r="R528" s="40"/>
      <c r="S528" s="40"/>
    </row>
    <row r="529" spans="3:19">
      <c r="C529" s="40"/>
      <c r="D529" s="40"/>
      <c r="E529" s="40"/>
      <c r="F529" s="40"/>
      <c r="G529" s="40"/>
      <c r="H529" s="40"/>
      <c r="I529" s="40"/>
      <c r="J529" s="40"/>
      <c r="K529" s="40"/>
      <c r="L529" s="40"/>
      <c r="M529" s="40"/>
      <c r="N529" s="40"/>
      <c r="O529" s="40"/>
      <c r="P529" s="40"/>
      <c r="Q529" s="40"/>
      <c r="R529" s="40"/>
      <c r="S529" s="40"/>
    </row>
    <row r="530" spans="3:19">
      <c r="C530" s="40"/>
      <c r="D530" s="40"/>
      <c r="E530" s="40"/>
      <c r="F530" s="40"/>
      <c r="G530" s="40"/>
      <c r="H530" s="40"/>
      <c r="I530" s="40"/>
      <c r="J530" s="40"/>
      <c r="K530" s="40"/>
      <c r="L530" s="40"/>
      <c r="M530" s="40"/>
      <c r="N530" s="40"/>
      <c r="O530" s="40"/>
      <c r="P530" s="40"/>
      <c r="Q530" s="40"/>
      <c r="R530" s="40"/>
      <c r="S530" s="40"/>
    </row>
    <row r="531" spans="3:19">
      <c r="C531" s="40"/>
      <c r="D531" s="40"/>
      <c r="E531" s="40"/>
      <c r="F531" s="40"/>
      <c r="G531" s="40"/>
      <c r="H531" s="40"/>
      <c r="I531" s="40"/>
      <c r="J531" s="40"/>
      <c r="K531" s="40"/>
      <c r="L531" s="40"/>
      <c r="M531" s="40"/>
      <c r="N531" s="40"/>
      <c r="O531" s="40"/>
      <c r="P531" s="40"/>
      <c r="Q531" s="40"/>
      <c r="R531" s="40"/>
      <c r="S531" s="40"/>
    </row>
    <row r="532" spans="3:19">
      <c r="C532" s="40"/>
      <c r="D532" s="40"/>
      <c r="E532" s="40"/>
      <c r="F532" s="40"/>
      <c r="G532" s="40"/>
      <c r="H532" s="40"/>
      <c r="I532" s="40"/>
      <c r="J532" s="40"/>
      <c r="K532" s="40"/>
      <c r="L532" s="40"/>
      <c r="M532" s="40"/>
      <c r="N532" s="40"/>
      <c r="O532" s="40"/>
      <c r="P532" s="40"/>
      <c r="Q532" s="40"/>
      <c r="R532" s="40"/>
      <c r="S532" s="40"/>
    </row>
    <row r="533" spans="3:19">
      <c r="C533" s="40"/>
      <c r="D533" s="40"/>
      <c r="E533" s="40"/>
      <c r="F533" s="40"/>
      <c r="G533" s="40"/>
      <c r="H533" s="40"/>
      <c r="I533" s="40"/>
      <c r="J533" s="40"/>
      <c r="K533" s="40"/>
      <c r="L533" s="40"/>
      <c r="M533" s="40"/>
      <c r="N533" s="40"/>
      <c r="O533" s="40"/>
      <c r="P533" s="40"/>
      <c r="Q533" s="40"/>
      <c r="R533" s="40"/>
      <c r="S533" s="40"/>
    </row>
    <row r="534" spans="3:19">
      <c r="C534" s="40"/>
      <c r="D534" s="40"/>
      <c r="E534" s="40"/>
      <c r="F534" s="40"/>
      <c r="G534" s="40"/>
      <c r="H534" s="40"/>
      <c r="I534" s="40"/>
      <c r="J534" s="40"/>
      <c r="K534" s="40"/>
      <c r="L534" s="40"/>
      <c r="M534" s="40"/>
      <c r="N534" s="40"/>
      <c r="O534" s="40"/>
      <c r="P534" s="40"/>
      <c r="Q534" s="40"/>
      <c r="R534" s="40"/>
      <c r="S534" s="40"/>
    </row>
    <row r="535" spans="3:19">
      <c r="C535" s="40"/>
      <c r="D535" s="40"/>
      <c r="E535" s="40"/>
      <c r="F535" s="40"/>
      <c r="G535" s="40"/>
      <c r="H535" s="40"/>
      <c r="I535" s="40"/>
      <c r="J535" s="40"/>
      <c r="K535" s="40"/>
      <c r="L535" s="40"/>
      <c r="M535" s="40"/>
      <c r="N535" s="40"/>
      <c r="O535" s="40"/>
      <c r="P535" s="40"/>
      <c r="Q535" s="40"/>
      <c r="R535" s="40"/>
      <c r="S535" s="40"/>
    </row>
    <row r="536" spans="3:19">
      <c r="C536" s="40"/>
      <c r="D536" s="40"/>
      <c r="E536" s="40"/>
      <c r="F536" s="40"/>
      <c r="G536" s="40"/>
      <c r="H536" s="40"/>
      <c r="I536" s="40"/>
      <c r="J536" s="40"/>
      <c r="K536" s="40"/>
      <c r="L536" s="40"/>
      <c r="M536" s="40"/>
      <c r="N536" s="40"/>
      <c r="O536" s="40"/>
      <c r="P536" s="40"/>
      <c r="Q536" s="40"/>
      <c r="R536" s="40"/>
      <c r="S536" s="40"/>
    </row>
    <row r="537" spans="3:19">
      <c r="C537" s="40"/>
      <c r="D537" s="40"/>
      <c r="E537" s="40"/>
      <c r="F537" s="40"/>
      <c r="G537" s="40"/>
      <c r="H537" s="40"/>
      <c r="I537" s="40"/>
      <c r="J537" s="40"/>
      <c r="K537" s="40"/>
      <c r="L537" s="40"/>
      <c r="M537" s="40"/>
      <c r="N537" s="40"/>
      <c r="O537" s="40"/>
      <c r="P537" s="40"/>
      <c r="Q537" s="40"/>
      <c r="R537" s="40"/>
      <c r="S537" s="40"/>
    </row>
    <row r="538" spans="3:19">
      <c r="C538" s="40"/>
      <c r="D538" s="40"/>
      <c r="E538" s="40"/>
      <c r="F538" s="40"/>
      <c r="G538" s="40"/>
      <c r="H538" s="40"/>
      <c r="I538" s="40"/>
      <c r="J538" s="40"/>
      <c r="K538" s="40"/>
      <c r="L538" s="40"/>
      <c r="M538" s="40"/>
      <c r="N538" s="40"/>
      <c r="O538" s="40"/>
      <c r="P538" s="40"/>
      <c r="Q538" s="40"/>
      <c r="R538" s="40"/>
      <c r="S538" s="40"/>
    </row>
    <row r="539" spans="3:19">
      <c r="C539" s="40"/>
      <c r="D539" s="40"/>
      <c r="E539" s="40"/>
      <c r="F539" s="40"/>
      <c r="G539" s="40"/>
      <c r="H539" s="40"/>
      <c r="I539" s="40"/>
      <c r="J539" s="40"/>
      <c r="K539" s="40"/>
      <c r="L539" s="40"/>
      <c r="M539" s="40"/>
      <c r="N539" s="40"/>
      <c r="O539" s="40"/>
      <c r="P539" s="40"/>
      <c r="Q539" s="40"/>
      <c r="R539" s="40"/>
      <c r="S539" s="40"/>
    </row>
    <row r="540" spans="3:19">
      <c r="C540" s="40"/>
      <c r="D540" s="40"/>
      <c r="E540" s="40"/>
      <c r="F540" s="40"/>
      <c r="G540" s="40"/>
      <c r="H540" s="40"/>
      <c r="I540" s="40"/>
      <c r="J540" s="40"/>
      <c r="K540" s="40"/>
      <c r="L540" s="40"/>
      <c r="M540" s="40"/>
      <c r="N540" s="40"/>
      <c r="O540" s="40"/>
      <c r="P540" s="40"/>
      <c r="Q540" s="40"/>
      <c r="R540" s="40"/>
      <c r="S540" s="40"/>
    </row>
    <row r="541" spans="3:19">
      <c r="C541" s="40"/>
      <c r="D541" s="40"/>
      <c r="E541" s="40"/>
      <c r="F541" s="40"/>
      <c r="G541" s="40"/>
      <c r="H541" s="40"/>
      <c r="I541" s="40"/>
      <c r="J541" s="40"/>
      <c r="K541" s="40"/>
      <c r="L541" s="40"/>
      <c r="M541" s="40"/>
      <c r="N541" s="40"/>
      <c r="O541" s="40"/>
      <c r="P541" s="40"/>
      <c r="Q541" s="40"/>
      <c r="R541" s="40"/>
      <c r="S541" s="40"/>
    </row>
    <row r="542" spans="3:19">
      <c r="C542" s="40"/>
      <c r="D542" s="40"/>
      <c r="E542" s="40"/>
      <c r="F542" s="40"/>
      <c r="G542" s="40"/>
      <c r="H542" s="40"/>
      <c r="I542" s="40"/>
      <c r="J542" s="40"/>
      <c r="K542" s="40"/>
      <c r="L542" s="40"/>
      <c r="M542" s="40"/>
      <c r="N542" s="40"/>
      <c r="O542" s="40"/>
      <c r="P542" s="40"/>
      <c r="Q542" s="40"/>
      <c r="R542" s="40"/>
      <c r="S542" s="40"/>
    </row>
    <row r="543" spans="3:19">
      <c r="C543" s="40"/>
      <c r="D543" s="40"/>
      <c r="E543" s="40"/>
      <c r="F543" s="40"/>
      <c r="G543" s="40"/>
      <c r="H543" s="40"/>
      <c r="I543" s="40"/>
      <c r="J543" s="40"/>
      <c r="K543" s="40"/>
      <c r="L543" s="40"/>
      <c r="M543" s="40"/>
      <c r="N543" s="40"/>
      <c r="O543" s="40"/>
      <c r="P543" s="40"/>
      <c r="Q543" s="40"/>
      <c r="R543" s="40"/>
      <c r="S543" s="40"/>
    </row>
    <row r="544" spans="3:19">
      <c r="C544" s="40"/>
      <c r="D544" s="40"/>
      <c r="E544" s="40"/>
      <c r="F544" s="40"/>
      <c r="G544" s="40"/>
      <c r="H544" s="40"/>
      <c r="I544" s="40"/>
      <c r="J544" s="40"/>
      <c r="K544" s="40"/>
      <c r="L544" s="40"/>
      <c r="M544" s="40"/>
      <c r="N544" s="40"/>
      <c r="O544" s="40"/>
      <c r="P544" s="40"/>
      <c r="Q544" s="40"/>
      <c r="R544" s="40"/>
      <c r="S544" s="40"/>
    </row>
    <row r="545" spans="3:19">
      <c r="C545" s="40"/>
      <c r="D545" s="40"/>
      <c r="E545" s="40"/>
      <c r="F545" s="40"/>
      <c r="G545" s="40"/>
      <c r="H545" s="40"/>
      <c r="I545" s="40"/>
      <c r="J545" s="40"/>
      <c r="K545" s="40"/>
      <c r="L545" s="40"/>
      <c r="M545" s="40"/>
      <c r="N545" s="40"/>
      <c r="O545" s="40"/>
      <c r="P545" s="40"/>
      <c r="Q545" s="40"/>
      <c r="R545" s="40"/>
      <c r="S545" s="40"/>
    </row>
    <row r="546" spans="3:19">
      <c r="C546" s="40"/>
      <c r="D546" s="40"/>
      <c r="E546" s="40"/>
      <c r="F546" s="40"/>
      <c r="G546" s="40"/>
      <c r="H546" s="40"/>
      <c r="I546" s="40"/>
      <c r="J546" s="40"/>
      <c r="K546" s="40"/>
      <c r="L546" s="40"/>
      <c r="M546" s="40"/>
      <c r="N546" s="40"/>
      <c r="O546" s="40"/>
      <c r="P546" s="40"/>
      <c r="Q546" s="40"/>
      <c r="R546" s="40"/>
      <c r="S546" s="40"/>
    </row>
    <row r="547" spans="3:19">
      <c r="C547" s="40"/>
      <c r="D547" s="40"/>
      <c r="E547" s="40"/>
      <c r="F547" s="40"/>
      <c r="G547" s="40"/>
      <c r="H547" s="40"/>
      <c r="I547" s="40"/>
      <c r="J547" s="40"/>
      <c r="K547" s="40"/>
      <c r="L547" s="40"/>
      <c r="M547" s="40"/>
      <c r="N547" s="40"/>
      <c r="O547" s="40"/>
      <c r="P547" s="40"/>
      <c r="Q547" s="40"/>
      <c r="R547" s="40"/>
      <c r="S547" s="40"/>
    </row>
    <row r="548" spans="3:19">
      <c r="C548" s="40"/>
      <c r="D548" s="40"/>
      <c r="E548" s="40"/>
      <c r="F548" s="40"/>
      <c r="G548" s="40"/>
      <c r="H548" s="40"/>
      <c r="I548" s="40"/>
      <c r="J548" s="40"/>
      <c r="K548" s="40"/>
      <c r="L548" s="40"/>
      <c r="M548" s="40"/>
      <c r="N548" s="40"/>
      <c r="O548" s="40"/>
      <c r="P548" s="40"/>
      <c r="Q548" s="40"/>
      <c r="R548" s="40"/>
      <c r="S548" s="40"/>
    </row>
    <row r="549" spans="3:19">
      <c r="C549" s="40"/>
      <c r="D549" s="40"/>
      <c r="E549" s="40"/>
      <c r="F549" s="40"/>
      <c r="G549" s="40"/>
      <c r="H549" s="40"/>
      <c r="I549" s="40"/>
      <c r="J549" s="40"/>
      <c r="K549" s="40"/>
      <c r="L549" s="40"/>
      <c r="M549" s="40"/>
      <c r="N549" s="40"/>
      <c r="O549" s="40"/>
      <c r="P549" s="40"/>
      <c r="Q549" s="40"/>
      <c r="R549" s="40"/>
      <c r="S549" s="40"/>
    </row>
    <row r="550" spans="3:19">
      <c r="C550" s="40"/>
      <c r="D550" s="40"/>
      <c r="E550" s="40"/>
      <c r="F550" s="40"/>
      <c r="G550" s="40"/>
      <c r="H550" s="40"/>
      <c r="I550" s="40"/>
      <c r="J550" s="40"/>
      <c r="K550" s="40"/>
      <c r="L550" s="40"/>
      <c r="M550" s="40"/>
      <c r="N550" s="40"/>
      <c r="O550" s="40"/>
      <c r="P550" s="40"/>
      <c r="Q550" s="40"/>
      <c r="R550" s="40"/>
      <c r="S550" s="40"/>
    </row>
    <row r="551" spans="3:19">
      <c r="C551" s="40"/>
      <c r="D551" s="40"/>
      <c r="E551" s="40"/>
      <c r="F551" s="40"/>
      <c r="G551" s="40"/>
      <c r="H551" s="40"/>
      <c r="I551" s="40"/>
      <c r="J551" s="40"/>
      <c r="K551" s="40"/>
      <c r="L551" s="40"/>
      <c r="M551" s="40"/>
      <c r="N551" s="40"/>
      <c r="O551" s="40"/>
      <c r="P551" s="40"/>
      <c r="Q551" s="40"/>
      <c r="R551" s="40"/>
      <c r="S551" s="40"/>
    </row>
    <row r="552" spans="3:19">
      <c r="C552" s="40"/>
      <c r="D552" s="40"/>
      <c r="E552" s="40"/>
      <c r="F552" s="40"/>
      <c r="G552" s="40"/>
      <c r="H552" s="40"/>
      <c r="I552" s="40"/>
      <c r="J552" s="40"/>
      <c r="K552" s="40"/>
      <c r="L552" s="40"/>
      <c r="M552" s="40"/>
      <c r="N552" s="40"/>
      <c r="O552" s="40"/>
      <c r="P552" s="40"/>
      <c r="Q552" s="40"/>
      <c r="R552" s="40"/>
      <c r="S552" s="40"/>
    </row>
    <row r="553" spans="3:19">
      <c r="C553" s="40"/>
      <c r="D553" s="40"/>
      <c r="E553" s="40"/>
      <c r="F553" s="40"/>
      <c r="G553" s="40"/>
      <c r="H553" s="40"/>
      <c r="I553" s="40"/>
      <c r="J553" s="40"/>
      <c r="K553" s="40"/>
      <c r="L553" s="40"/>
      <c r="M553" s="40"/>
      <c r="N553" s="40"/>
      <c r="O553" s="40"/>
      <c r="P553" s="40"/>
      <c r="Q553" s="40"/>
      <c r="R553" s="40"/>
      <c r="S553" s="40"/>
    </row>
    <row r="554" spans="3:19">
      <c r="C554" s="40"/>
      <c r="D554" s="40"/>
      <c r="E554" s="40"/>
      <c r="F554" s="40"/>
      <c r="G554" s="40"/>
      <c r="H554" s="40"/>
      <c r="I554" s="40"/>
      <c r="J554" s="40"/>
      <c r="K554" s="40"/>
      <c r="L554" s="40"/>
      <c r="M554" s="40"/>
      <c r="N554" s="40"/>
      <c r="O554" s="40"/>
      <c r="P554" s="40"/>
      <c r="Q554" s="40"/>
      <c r="R554" s="40"/>
      <c r="S554" s="40"/>
    </row>
    <row r="555" spans="3:19">
      <c r="C555" s="40"/>
      <c r="D555" s="40"/>
      <c r="E555" s="40"/>
      <c r="F555" s="40"/>
      <c r="G555" s="40"/>
      <c r="H555" s="40"/>
      <c r="I555" s="40"/>
      <c r="J555" s="40"/>
      <c r="K555" s="40"/>
      <c r="L555" s="40"/>
      <c r="M555" s="40"/>
      <c r="N555" s="40"/>
      <c r="O555" s="40"/>
      <c r="P555" s="40"/>
      <c r="Q555" s="40"/>
      <c r="R555" s="40"/>
      <c r="S555" s="40"/>
    </row>
    <row r="556" spans="3:19">
      <c r="C556" s="40"/>
      <c r="D556" s="40"/>
      <c r="E556" s="40"/>
      <c r="F556" s="40"/>
      <c r="G556" s="40"/>
      <c r="H556" s="40"/>
      <c r="I556" s="40"/>
      <c r="J556" s="40"/>
      <c r="K556" s="40"/>
      <c r="L556" s="40"/>
      <c r="M556" s="40"/>
      <c r="N556" s="40"/>
      <c r="O556" s="40"/>
      <c r="P556" s="40"/>
      <c r="Q556" s="40"/>
      <c r="R556" s="40"/>
      <c r="S556" s="40"/>
    </row>
    <row r="557" spans="3:19">
      <c r="C557" s="40"/>
      <c r="D557" s="40"/>
      <c r="E557" s="40"/>
      <c r="F557" s="40"/>
      <c r="G557" s="40"/>
      <c r="H557" s="40"/>
      <c r="I557" s="40"/>
      <c r="J557" s="40"/>
      <c r="K557" s="40"/>
      <c r="L557" s="40"/>
      <c r="M557" s="40"/>
      <c r="N557" s="40"/>
      <c r="O557" s="40"/>
      <c r="P557" s="40"/>
      <c r="Q557" s="40"/>
      <c r="R557" s="40"/>
      <c r="S557" s="40"/>
    </row>
    <row r="558" spans="3:19">
      <c r="C558" s="40"/>
      <c r="D558" s="40"/>
      <c r="E558" s="40"/>
      <c r="F558" s="40"/>
      <c r="G558" s="40"/>
      <c r="H558" s="40"/>
      <c r="I558" s="40"/>
      <c r="J558" s="40"/>
      <c r="K558" s="40"/>
      <c r="L558" s="40"/>
      <c r="M558" s="40"/>
      <c r="N558" s="40"/>
      <c r="O558" s="40"/>
      <c r="P558" s="40"/>
      <c r="Q558" s="40"/>
      <c r="R558" s="40"/>
      <c r="S558" s="40"/>
    </row>
    <row r="559" spans="3:19">
      <c r="C559" s="40"/>
      <c r="D559" s="40"/>
      <c r="E559" s="40"/>
      <c r="F559" s="40"/>
      <c r="G559" s="40"/>
      <c r="H559" s="40"/>
      <c r="I559" s="40"/>
      <c r="J559" s="40"/>
      <c r="K559" s="40"/>
      <c r="L559" s="40"/>
      <c r="M559" s="40"/>
      <c r="N559" s="40"/>
      <c r="O559" s="40"/>
      <c r="P559" s="40"/>
      <c r="Q559" s="40"/>
      <c r="R559" s="40"/>
      <c r="S559" s="40"/>
    </row>
    <row r="560" spans="3:19">
      <c r="C560" s="40"/>
      <c r="D560" s="40"/>
      <c r="E560" s="40"/>
      <c r="F560" s="40"/>
      <c r="G560" s="40"/>
      <c r="H560" s="40"/>
      <c r="I560" s="40"/>
      <c r="J560" s="40"/>
      <c r="K560" s="40"/>
      <c r="L560" s="40"/>
      <c r="M560" s="40"/>
      <c r="N560" s="40"/>
      <c r="O560" s="40"/>
      <c r="P560" s="40"/>
      <c r="Q560" s="40"/>
      <c r="R560" s="40"/>
      <c r="S560" s="40"/>
    </row>
    <row r="561" spans="3:19">
      <c r="C561" s="40"/>
      <c r="D561" s="40"/>
      <c r="E561" s="40"/>
      <c r="F561" s="40"/>
      <c r="G561" s="40"/>
      <c r="H561" s="40"/>
      <c r="I561" s="40"/>
      <c r="J561" s="40"/>
      <c r="K561" s="40"/>
      <c r="L561" s="40"/>
      <c r="M561" s="40"/>
      <c r="N561" s="40"/>
      <c r="O561" s="40"/>
      <c r="P561" s="40"/>
      <c r="Q561" s="40"/>
      <c r="R561" s="40"/>
      <c r="S561" s="40"/>
    </row>
    <row r="562" spans="3:19">
      <c r="C562" s="40"/>
      <c r="D562" s="40"/>
      <c r="E562" s="40"/>
      <c r="F562" s="40"/>
      <c r="G562" s="40"/>
      <c r="H562" s="40"/>
      <c r="I562" s="40"/>
      <c r="J562" s="40"/>
      <c r="K562" s="40"/>
      <c r="L562" s="40"/>
      <c r="M562" s="40"/>
      <c r="N562" s="40"/>
      <c r="O562" s="40"/>
      <c r="P562" s="40"/>
      <c r="Q562" s="40"/>
      <c r="R562" s="40"/>
      <c r="S562" s="40"/>
    </row>
    <row r="563" spans="3:19">
      <c r="C563" s="40"/>
      <c r="D563" s="40"/>
      <c r="E563" s="40"/>
      <c r="F563" s="40"/>
      <c r="G563" s="40"/>
      <c r="H563" s="40"/>
      <c r="I563" s="40"/>
      <c r="J563" s="40"/>
      <c r="K563" s="40"/>
      <c r="L563" s="40"/>
      <c r="M563" s="40"/>
      <c r="N563" s="40"/>
      <c r="O563" s="40"/>
      <c r="P563" s="40"/>
      <c r="Q563" s="40"/>
      <c r="R563" s="40"/>
      <c r="S563" s="40"/>
    </row>
    <row r="564" spans="3:19">
      <c r="C564" s="40"/>
      <c r="D564" s="40"/>
      <c r="E564" s="40"/>
      <c r="F564" s="40"/>
      <c r="G564" s="40"/>
      <c r="H564" s="40"/>
      <c r="I564" s="40"/>
      <c r="J564" s="40"/>
      <c r="K564" s="40"/>
      <c r="L564" s="40"/>
      <c r="M564" s="40"/>
      <c r="N564" s="40"/>
      <c r="O564" s="40"/>
      <c r="P564" s="40"/>
      <c r="Q564" s="40"/>
      <c r="R564" s="40"/>
      <c r="S564" s="40"/>
    </row>
    <row r="565" spans="3:19">
      <c r="C565" s="40"/>
      <c r="D565" s="40"/>
      <c r="E565" s="40"/>
      <c r="F565" s="40"/>
      <c r="G565" s="40"/>
      <c r="H565" s="40"/>
      <c r="I565" s="40"/>
      <c r="J565" s="40"/>
      <c r="K565" s="40"/>
      <c r="L565" s="40"/>
      <c r="M565" s="40"/>
      <c r="N565" s="40"/>
      <c r="O565" s="40"/>
      <c r="P565" s="40"/>
      <c r="Q565" s="40"/>
      <c r="R565" s="40"/>
      <c r="S565" s="40"/>
    </row>
    <row r="566" spans="3:19">
      <c r="C566" s="40"/>
      <c r="D566" s="40"/>
      <c r="E566" s="40"/>
      <c r="F566" s="40"/>
      <c r="G566" s="40"/>
      <c r="H566" s="40"/>
      <c r="I566" s="40"/>
      <c r="J566" s="40"/>
      <c r="K566" s="40"/>
      <c r="L566" s="40"/>
      <c r="M566" s="40"/>
      <c r="N566" s="40"/>
      <c r="O566" s="40"/>
      <c r="P566" s="40"/>
      <c r="Q566" s="40"/>
      <c r="R566" s="40"/>
      <c r="S566" s="40"/>
    </row>
    <row r="567" spans="3:19">
      <c r="C567" s="40"/>
      <c r="D567" s="40"/>
      <c r="E567" s="40"/>
      <c r="F567" s="40"/>
      <c r="G567" s="40"/>
      <c r="H567" s="40"/>
      <c r="I567" s="40"/>
      <c r="J567" s="40"/>
      <c r="K567" s="40"/>
      <c r="L567" s="40"/>
      <c r="M567" s="40"/>
      <c r="N567" s="40"/>
      <c r="O567" s="40"/>
      <c r="P567" s="40"/>
      <c r="Q567" s="40"/>
      <c r="R567" s="40"/>
      <c r="S567" s="40"/>
    </row>
    <row r="568" spans="3:19">
      <c r="C568" s="40"/>
      <c r="D568" s="40"/>
      <c r="E568" s="40"/>
      <c r="F568" s="40"/>
      <c r="G568" s="40"/>
      <c r="H568" s="40"/>
      <c r="I568" s="40"/>
      <c r="J568" s="40"/>
      <c r="K568" s="40"/>
      <c r="L568" s="40"/>
      <c r="M568" s="40"/>
      <c r="N568" s="40"/>
      <c r="O568" s="40"/>
      <c r="P568" s="40"/>
      <c r="Q568" s="40"/>
      <c r="R568" s="40"/>
      <c r="S568" s="40"/>
    </row>
    <row r="569" spans="3:19">
      <c r="C569" s="40"/>
      <c r="D569" s="40"/>
      <c r="E569" s="40"/>
      <c r="F569" s="40"/>
      <c r="G569" s="40"/>
      <c r="H569" s="40"/>
      <c r="I569" s="40"/>
      <c r="J569" s="40"/>
      <c r="K569" s="40"/>
      <c r="L569" s="40"/>
      <c r="M569" s="40"/>
      <c r="N569" s="40"/>
      <c r="O569" s="40"/>
      <c r="P569" s="40"/>
      <c r="Q569" s="40"/>
      <c r="R569" s="40"/>
      <c r="S569" s="40"/>
    </row>
    <row r="570" spans="3:19">
      <c r="C570" s="40"/>
      <c r="D570" s="40"/>
      <c r="E570" s="40"/>
      <c r="F570" s="40"/>
      <c r="G570" s="40"/>
      <c r="H570" s="40"/>
      <c r="I570" s="40"/>
      <c r="J570" s="40"/>
      <c r="K570" s="40"/>
      <c r="L570" s="40"/>
      <c r="M570" s="40"/>
      <c r="N570" s="40"/>
      <c r="O570" s="40"/>
      <c r="P570" s="40"/>
      <c r="Q570" s="40"/>
      <c r="R570" s="40"/>
      <c r="S570" s="40"/>
    </row>
    <row r="571" spans="3:19">
      <c r="C571" s="40"/>
      <c r="D571" s="40"/>
      <c r="E571" s="40"/>
      <c r="F571" s="40"/>
      <c r="G571" s="40"/>
      <c r="H571" s="40"/>
      <c r="I571" s="40"/>
      <c r="J571" s="40"/>
      <c r="K571" s="40"/>
      <c r="L571" s="40"/>
      <c r="M571" s="40"/>
      <c r="N571" s="40"/>
      <c r="O571" s="40"/>
      <c r="P571" s="40"/>
      <c r="Q571" s="40"/>
      <c r="R571" s="40"/>
      <c r="S571" s="40"/>
    </row>
    <row r="572" spans="3:19">
      <c r="C572" s="40"/>
      <c r="D572" s="40"/>
      <c r="E572" s="40"/>
      <c r="F572" s="40"/>
      <c r="G572" s="40"/>
      <c r="H572" s="40"/>
      <c r="I572" s="40"/>
      <c r="J572" s="40"/>
      <c r="K572" s="40"/>
      <c r="L572" s="40"/>
      <c r="M572" s="40"/>
      <c r="N572" s="40"/>
      <c r="O572" s="40"/>
      <c r="P572" s="40"/>
      <c r="Q572" s="40"/>
      <c r="R572" s="40"/>
      <c r="S572" s="40"/>
    </row>
    <row r="573" spans="3:19">
      <c r="C573" s="40"/>
      <c r="D573" s="40"/>
      <c r="E573" s="40"/>
      <c r="F573" s="40"/>
      <c r="G573" s="40"/>
      <c r="H573" s="40"/>
      <c r="I573" s="40"/>
      <c r="J573" s="40"/>
      <c r="K573" s="40"/>
      <c r="L573" s="40"/>
      <c r="M573" s="40"/>
      <c r="N573" s="40"/>
      <c r="O573" s="40"/>
      <c r="P573" s="40"/>
      <c r="Q573" s="40"/>
      <c r="R573" s="40"/>
      <c r="S573" s="40"/>
    </row>
    <row r="574" spans="3:19">
      <c r="C574" s="40"/>
      <c r="D574" s="40"/>
      <c r="E574" s="40"/>
      <c r="F574" s="40"/>
      <c r="G574" s="40"/>
      <c r="H574" s="40"/>
      <c r="I574" s="40"/>
      <c r="J574" s="40"/>
      <c r="K574" s="40"/>
      <c r="L574" s="40"/>
      <c r="M574" s="40"/>
      <c r="N574" s="40"/>
      <c r="O574" s="40"/>
      <c r="P574" s="40"/>
      <c r="Q574" s="40"/>
      <c r="R574" s="40"/>
      <c r="S574" s="40"/>
    </row>
    <row r="575" spans="3:19">
      <c r="C575" s="40"/>
      <c r="D575" s="40"/>
      <c r="E575" s="40"/>
      <c r="F575" s="40"/>
      <c r="G575" s="40"/>
      <c r="H575" s="40"/>
      <c r="I575" s="40"/>
      <c r="J575" s="40"/>
      <c r="K575" s="40"/>
      <c r="L575" s="40"/>
      <c r="M575" s="40"/>
      <c r="N575" s="40"/>
      <c r="O575" s="40"/>
      <c r="P575" s="40"/>
      <c r="Q575" s="40"/>
      <c r="R575" s="40"/>
      <c r="S575" s="40"/>
    </row>
    <row r="576" spans="3:19">
      <c r="C576" s="40"/>
      <c r="D576" s="40"/>
      <c r="E576" s="40"/>
      <c r="F576" s="40"/>
      <c r="G576" s="40"/>
      <c r="H576" s="40"/>
      <c r="I576" s="40"/>
      <c r="J576" s="40"/>
      <c r="K576" s="40"/>
      <c r="L576" s="40"/>
      <c r="M576" s="40"/>
      <c r="N576" s="40"/>
      <c r="O576" s="40"/>
      <c r="P576" s="40"/>
      <c r="Q576" s="40"/>
      <c r="R576" s="40"/>
      <c r="S576" s="40"/>
    </row>
    <row r="577" spans="3:19">
      <c r="C577" s="40"/>
      <c r="D577" s="40"/>
      <c r="E577" s="40"/>
      <c r="F577" s="40"/>
      <c r="G577" s="40"/>
      <c r="H577" s="40"/>
      <c r="I577" s="40"/>
      <c r="J577" s="40"/>
      <c r="K577" s="40"/>
      <c r="L577" s="40"/>
      <c r="M577" s="40"/>
      <c r="N577" s="40"/>
      <c r="O577" s="40"/>
      <c r="P577" s="40"/>
      <c r="Q577" s="40"/>
      <c r="R577" s="40"/>
      <c r="S577" s="40"/>
    </row>
    <row r="578" spans="3:19">
      <c r="C578" s="40"/>
      <c r="D578" s="40"/>
      <c r="E578" s="40"/>
      <c r="F578" s="40"/>
      <c r="G578" s="40"/>
      <c r="H578" s="40"/>
      <c r="I578" s="40"/>
      <c r="J578" s="40"/>
      <c r="K578" s="40"/>
      <c r="L578" s="40"/>
      <c r="M578" s="40"/>
      <c r="N578" s="40"/>
      <c r="O578" s="40"/>
      <c r="P578" s="40"/>
      <c r="Q578" s="40"/>
      <c r="R578" s="40"/>
      <c r="S578" s="40"/>
    </row>
    <row r="579" spans="3:19">
      <c r="C579" s="40"/>
      <c r="D579" s="40"/>
      <c r="E579" s="40"/>
      <c r="F579" s="40"/>
      <c r="G579" s="40"/>
      <c r="H579" s="40"/>
      <c r="I579" s="40"/>
      <c r="J579" s="40"/>
      <c r="K579" s="40"/>
      <c r="L579" s="40"/>
      <c r="M579" s="40"/>
      <c r="N579" s="40"/>
      <c r="O579" s="40"/>
      <c r="P579" s="40"/>
      <c r="Q579" s="40"/>
      <c r="R579" s="40"/>
      <c r="S579" s="40"/>
    </row>
    <row r="580" spans="3:19">
      <c r="C580" s="40"/>
      <c r="D580" s="40"/>
      <c r="E580" s="40"/>
      <c r="F580" s="40"/>
      <c r="G580" s="40"/>
      <c r="H580" s="40"/>
      <c r="I580" s="40"/>
      <c r="J580" s="40"/>
      <c r="K580" s="40"/>
      <c r="L580" s="40"/>
      <c r="M580" s="40"/>
      <c r="N580" s="40"/>
      <c r="O580" s="40"/>
      <c r="P580" s="40"/>
      <c r="Q580" s="40"/>
      <c r="R580" s="40"/>
      <c r="S580" s="40"/>
    </row>
    <row r="581" spans="3:19">
      <c r="C581" s="40"/>
      <c r="D581" s="40"/>
      <c r="E581" s="40"/>
      <c r="F581" s="40"/>
      <c r="G581" s="40"/>
      <c r="H581" s="40"/>
      <c r="I581" s="40"/>
      <c r="J581" s="40"/>
      <c r="K581" s="40"/>
      <c r="L581" s="40"/>
      <c r="M581" s="40"/>
      <c r="N581" s="40"/>
      <c r="O581" s="40"/>
      <c r="P581" s="40"/>
      <c r="Q581" s="40"/>
      <c r="R581" s="40"/>
      <c r="S581" s="40"/>
    </row>
    <row r="582" spans="3:19">
      <c r="C582" s="40"/>
      <c r="D582" s="40"/>
      <c r="E582" s="40"/>
      <c r="F582" s="40"/>
      <c r="G582" s="40"/>
      <c r="H582" s="40"/>
      <c r="I582" s="40"/>
      <c r="J582" s="40"/>
      <c r="K582" s="40"/>
      <c r="L582" s="40"/>
      <c r="M582" s="40"/>
      <c r="N582" s="40"/>
      <c r="O582" s="40"/>
      <c r="P582" s="40"/>
      <c r="Q582" s="40"/>
      <c r="R582" s="40"/>
      <c r="S582" s="40"/>
    </row>
    <row r="583" spans="3:19">
      <c r="C583" s="40"/>
      <c r="D583" s="40"/>
      <c r="E583" s="40"/>
      <c r="F583" s="40"/>
      <c r="G583" s="40"/>
      <c r="H583" s="40"/>
      <c r="I583" s="40"/>
      <c r="J583" s="40"/>
      <c r="K583" s="40"/>
      <c r="L583" s="40"/>
      <c r="M583" s="40"/>
      <c r="N583" s="40"/>
      <c r="O583" s="40"/>
      <c r="P583" s="40"/>
      <c r="Q583" s="40"/>
      <c r="R583" s="40"/>
      <c r="S583" s="40"/>
    </row>
    <row r="584" spans="3:19">
      <c r="C584" s="40"/>
      <c r="D584" s="40"/>
      <c r="E584" s="40"/>
      <c r="F584" s="40"/>
      <c r="G584" s="40"/>
      <c r="H584" s="40"/>
      <c r="I584" s="40"/>
      <c r="J584" s="40"/>
      <c r="K584" s="40"/>
      <c r="L584" s="40"/>
      <c r="M584" s="40"/>
      <c r="N584" s="40"/>
      <c r="O584" s="40"/>
      <c r="P584" s="40"/>
      <c r="Q584" s="40"/>
      <c r="R584" s="40"/>
      <c r="S584" s="40"/>
    </row>
    <row r="585" spans="3:19">
      <c r="C585" s="40"/>
      <c r="D585" s="40"/>
      <c r="E585" s="40"/>
      <c r="F585" s="40"/>
      <c r="G585" s="40"/>
      <c r="H585" s="40"/>
      <c r="I585" s="40"/>
      <c r="J585" s="40"/>
      <c r="K585" s="40"/>
      <c r="L585" s="40"/>
      <c r="M585" s="40"/>
      <c r="N585" s="40"/>
      <c r="O585" s="40"/>
      <c r="P585" s="40"/>
      <c r="Q585" s="40"/>
      <c r="R585" s="40"/>
      <c r="S585" s="40"/>
    </row>
    <row r="586" spans="3:19">
      <c r="C586" s="40"/>
      <c r="D586" s="40"/>
      <c r="E586" s="40"/>
      <c r="F586" s="40"/>
      <c r="G586" s="40"/>
      <c r="H586" s="40"/>
      <c r="I586" s="40"/>
      <c r="J586" s="40"/>
      <c r="K586" s="40"/>
      <c r="L586" s="40"/>
      <c r="M586" s="40"/>
      <c r="N586" s="40"/>
      <c r="O586" s="40"/>
      <c r="P586" s="40"/>
      <c r="Q586" s="40"/>
      <c r="R586" s="40"/>
      <c r="S586" s="40"/>
    </row>
    <row r="587" spans="3:19">
      <c r="C587" s="40"/>
      <c r="D587" s="40"/>
      <c r="E587" s="40"/>
      <c r="F587" s="40"/>
      <c r="G587" s="40"/>
      <c r="H587" s="40"/>
      <c r="I587" s="40"/>
      <c r="J587" s="40"/>
      <c r="K587" s="40"/>
      <c r="L587" s="40"/>
      <c r="M587" s="40"/>
      <c r="N587" s="40"/>
      <c r="O587" s="40"/>
      <c r="P587" s="40"/>
      <c r="Q587" s="40"/>
      <c r="R587" s="40"/>
      <c r="S587" s="40"/>
    </row>
    <row r="588" spans="3:19">
      <c r="C588" s="40"/>
      <c r="D588" s="40"/>
      <c r="E588" s="40"/>
      <c r="F588" s="40"/>
      <c r="G588" s="40"/>
      <c r="H588" s="40"/>
      <c r="I588" s="40"/>
      <c r="J588" s="40"/>
      <c r="K588" s="40"/>
      <c r="L588" s="40"/>
      <c r="M588" s="40"/>
      <c r="N588" s="40"/>
      <c r="O588" s="40"/>
      <c r="P588" s="40"/>
      <c r="Q588" s="40"/>
      <c r="R588" s="40"/>
      <c r="S588" s="40"/>
    </row>
    <row r="589" spans="3:19">
      <c r="C589" s="40"/>
      <c r="D589" s="40"/>
      <c r="E589" s="40"/>
      <c r="F589" s="40"/>
      <c r="G589" s="40"/>
      <c r="H589" s="40"/>
      <c r="I589" s="40"/>
      <c r="J589" s="40"/>
      <c r="K589" s="40"/>
      <c r="L589" s="40"/>
      <c r="M589" s="40"/>
      <c r="N589" s="40"/>
      <c r="O589" s="40"/>
      <c r="P589" s="40"/>
      <c r="Q589" s="40"/>
      <c r="R589" s="40"/>
      <c r="S589" s="40"/>
    </row>
    <row r="590" spans="3:19">
      <c r="C590" s="40"/>
      <c r="D590" s="40"/>
      <c r="E590" s="40"/>
      <c r="F590" s="40"/>
      <c r="G590" s="40"/>
      <c r="H590" s="40"/>
      <c r="I590" s="40"/>
      <c r="J590" s="40"/>
      <c r="K590" s="40"/>
      <c r="L590" s="40"/>
      <c r="M590" s="40"/>
      <c r="N590" s="40"/>
      <c r="O590" s="40"/>
      <c r="P590" s="40"/>
      <c r="Q590" s="40"/>
      <c r="R590" s="40"/>
      <c r="S590" s="40"/>
    </row>
    <row r="591" spans="3:19">
      <c r="C591" s="40"/>
      <c r="D591" s="40"/>
      <c r="E591" s="40"/>
      <c r="F591" s="40"/>
      <c r="G591" s="40"/>
      <c r="H591" s="40"/>
      <c r="I591" s="40"/>
      <c r="J591" s="40"/>
      <c r="K591" s="40"/>
      <c r="L591" s="40"/>
      <c r="M591" s="40"/>
      <c r="N591" s="40"/>
      <c r="O591" s="40"/>
      <c r="P591" s="40"/>
      <c r="Q591" s="40"/>
      <c r="R591" s="40"/>
      <c r="S591" s="40"/>
    </row>
    <row r="592" spans="3:19">
      <c r="C592" s="40"/>
      <c r="D592" s="40"/>
      <c r="E592" s="40"/>
      <c r="F592" s="40"/>
      <c r="G592" s="40"/>
      <c r="H592" s="40"/>
      <c r="I592" s="40"/>
      <c r="J592" s="40"/>
      <c r="K592" s="40"/>
      <c r="L592" s="40"/>
      <c r="M592" s="40"/>
      <c r="N592" s="40"/>
      <c r="O592" s="40"/>
      <c r="P592" s="40"/>
      <c r="Q592" s="40"/>
      <c r="R592" s="40"/>
      <c r="S592" s="40"/>
    </row>
    <row r="593" spans="3:19">
      <c r="C593" s="40"/>
      <c r="D593" s="40"/>
      <c r="E593" s="40"/>
      <c r="F593" s="40"/>
      <c r="G593" s="40"/>
      <c r="H593" s="40"/>
      <c r="I593" s="40"/>
      <c r="J593" s="40"/>
      <c r="K593" s="40"/>
      <c r="L593" s="40"/>
      <c r="M593" s="40"/>
      <c r="N593" s="40"/>
      <c r="O593" s="40"/>
      <c r="P593" s="40"/>
      <c r="Q593" s="40"/>
      <c r="R593" s="40"/>
      <c r="S593" s="40"/>
    </row>
    <row r="594" spans="3:19">
      <c r="C594" s="40"/>
      <c r="D594" s="40"/>
      <c r="E594" s="40"/>
      <c r="F594" s="40"/>
      <c r="G594" s="40"/>
      <c r="H594" s="40"/>
      <c r="I594" s="40"/>
      <c r="J594" s="40"/>
      <c r="K594" s="40"/>
      <c r="L594" s="40"/>
      <c r="M594" s="40"/>
      <c r="N594" s="40"/>
      <c r="O594" s="40"/>
      <c r="P594" s="40"/>
      <c r="Q594" s="40"/>
      <c r="R594" s="40"/>
      <c r="S594" s="40"/>
    </row>
    <row r="595" spans="3:19">
      <c r="C595" s="40"/>
      <c r="D595" s="40"/>
      <c r="E595" s="40"/>
      <c r="F595" s="40"/>
      <c r="G595" s="40"/>
      <c r="H595" s="40"/>
      <c r="I595" s="40"/>
      <c r="J595" s="40"/>
      <c r="K595" s="40"/>
      <c r="L595" s="40"/>
      <c r="M595" s="40"/>
      <c r="N595" s="40"/>
      <c r="O595" s="40"/>
      <c r="P595" s="40"/>
      <c r="Q595" s="40"/>
      <c r="R595" s="40"/>
      <c r="S595" s="40"/>
    </row>
    <row r="596" spans="3:19">
      <c r="C596" s="40"/>
      <c r="D596" s="40"/>
      <c r="E596" s="40"/>
      <c r="F596" s="40"/>
      <c r="G596" s="40"/>
      <c r="H596" s="40"/>
      <c r="I596" s="40"/>
      <c r="J596" s="40"/>
      <c r="K596" s="40"/>
      <c r="L596" s="40"/>
      <c r="M596" s="40"/>
      <c r="N596" s="40"/>
      <c r="O596" s="40"/>
      <c r="P596" s="40"/>
      <c r="Q596" s="40"/>
      <c r="R596" s="40"/>
      <c r="S596" s="40"/>
    </row>
    <row r="597" spans="3:19">
      <c r="C597" s="40"/>
      <c r="D597" s="40"/>
      <c r="E597" s="40"/>
      <c r="F597" s="40"/>
      <c r="G597" s="40"/>
      <c r="H597" s="40"/>
      <c r="I597" s="40"/>
      <c r="J597" s="40"/>
      <c r="K597" s="40"/>
      <c r="L597" s="40"/>
      <c r="M597" s="40"/>
      <c r="N597" s="40"/>
      <c r="O597" s="40"/>
      <c r="P597" s="40"/>
      <c r="Q597" s="40"/>
      <c r="R597" s="40"/>
      <c r="S597" s="40"/>
    </row>
    <row r="598" spans="3:19">
      <c r="C598" s="40"/>
      <c r="D598" s="40"/>
      <c r="E598" s="40"/>
      <c r="F598" s="40"/>
      <c r="G598" s="40"/>
      <c r="H598" s="40"/>
      <c r="I598" s="40"/>
      <c r="J598" s="40"/>
      <c r="K598" s="40"/>
      <c r="L598" s="40"/>
      <c r="M598" s="40"/>
      <c r="N598" s="40"/>
      <c r="O598" s="40"/>
      <c r="P598" s="40"/>
      <c r="Q598" s="40"/>
      <c r="R598" s="40"/>
      <c r="S598" s="40"/>
    </row>
    <row r="599" spans="3:19">
      <c r="C599" s="40"/>
      <c r="D599" s="40"/>
      <c r="E599" s="40"/>
      <c r="F599" s="40"/>
      <c r="G599" s="40"/>
      <c r="H599" s="40"/>
      <c r="I599" s="40"/>
      <c r="J599" s="40"/>
      <c r="K599" s="40"/>
      <c r="L599" s="40"/>
      <c r="M599" s="40"/>
      <c r="N599" s="40"/>
      <c r="O599" s="40"/>
      <c r="P599" s="40"/>
      <c r="Q599" s="40"/>
      <c r="R599" s="40"/>
      <c r="S599" s="40"/>
    </row>
    <row r="600" spans="3:19">
      <c r="C600" s="40"/>
      <c r="D600" s="40"/>
      <c r="E600" s="40"/>
      <c r="F600" s="40"/>
      <c r="G600" s="40"/>
      <c r="H600" s="40"/>
      <c r="I600" s="40"/>
      <c r="J600" s="40"/>
      <c r="K600" s="40"/>
      <c r="L600" s="40"/>
      <c r="M600" s="40"/>
      <c r="N600" s="40"/>
      <c r="O600" s="40"/>
      <c r="P600" s="40"/>
      <c r="Q600" s="40"/>
      <c r="R600" s="40"/>
      <c r="S600" s="40"/>
    </row>
    <row r="601" spans="3:19">
      <c r="C601" s="40"/>
      <c r="D601" s="40"/>
      <c r="E601" s="40"/>
      <c r="F601" s="40"/>
      <c r="G601" s="40"/>
      <c r="H601" s="40"/>
      <c r="I601" s="40"/>
      <c r="J601" s="40"/>
      <c r="K601" s="40"/>
      <c r="L601" s="40"/>
      <c r="M601" s="40"/>
      <c r="N601" s="40"/>
      <c r="O601" s="40"/>
      <c r="P601" s="40"/>
      <c r="Q601" s="40"/>
      <c r="R601" s="40"/>
      <c r="S601" s="40"/>
    </row>
    <row r="602" spans="3:19">
      <c r="C602" s="40"/>
      <c r="D602" s="40"/>
      <c r="E602" s="40"/>
      <c r="F602" s="40"/>
      <c r="G602" s="40"/>
      <c r="H602" s="40"/>
      <c r="I602" s="40"/>
      <c r="J602" s="40"/>
      <c r="K602" s="40"/>
      <c r="L602" s="40"/>
      <c r="M602" s="40"/>
      <c r="N602" s="40"/>
      <c r="O602" s="40"/>
      <c r="P602" s="40"/>
      <c r="Q602" s="40"/>
      <c r="R602" s="40"/>
      <c r="S602" s="40"/>
    </row>
    <row r="603" spans="3:19">
      <c r="C603" s="40"/>
      <c r="D603" s="40"/>
      <c r="E603" s="40"/>
      <c r="F603" s="40"/>
      <c r="G603" s="40"/>
      <c r="H603" s="40"/>
      <c r="I603" s="40"/>
      <c r="J603" s="40"/>
      <c r="K603" s="40"/>
      <c r="L603" s="40"/>
      <c r="M603" s="40"/>
      <c r="N603" s="40"/>
      <c r="O603" s="40"/>
      <c r="P603" s="40"/>
      <c r="Q603" s="40"/>
      <c r="R603" s="40"/>
      <c r="S603" s="40"/>
    </row>
    <row r="604" spans="3:19">
      <c r="C604" s="40"/>
      <c r="D604" s="40"/>
      <c r="E604" s="40"/>
      <c r="F604" s="40"/>
      <c r="G604" s="40"/>
      <c r="H604" s="40"/>
      <c r="I604" s="40"/>
      <c r="J604" s="40"/>
      <c r="K604" s="40"/>
      <c r="L604" s="40"/>
      <c r="M604" s="40"/>
      <c r="N604" s="40"/>
      <c r="O604" s="40"/>
      <c r="P604" s="40"/>
      <c r="Q604" s="40"/>
      <c r="R604" s="40"/>
      <c r="S604" s="40"/>
    </row>
    <row r="605" spans="3:19">
      <c r="C605" s="40"/>
      <c r="D605" s="40"/>
      <c r="E605" s="40"/>
      <c r="F605" s="40"/>
      <c r="G605" s="40"/>
      <c r="H605" s="40"/>
      <c r="I605" s="40"/>
      <c r="J605" s="40"/>
      <c r="K605" s="40"/>
      <c r="L605" s="40"/>
      <c r="M605" s="40"/>
      <c r="N605" s="40"/>
      <c r="O605" s="40"/>
      <c r="P605" s="40"/>
      <c r="Q605" s="40"/>
      <c r="R605" s="40"/>
      <c r="S605" s="40"/>
    </row>
    <row r="606" spans="3:19">
      <c r="C606" s="40"/>
      <c r="D606" s="40"/>
      <c r="E606" s="40"/>
      <c r="F606" s="40"/>
      <c r="G606" s="40"/>
      <c r="H606" s="40"/>
      <c r="I606" s="40"/>
      <c r="J606" s="40"/>
      <c r="K606" s="40"/>
      <c r="L606" s="40"/>
      <c r="M606" s="40"/>
      <c r="N606" s="40"/>
      <c r="O606" s="40"/>
      <c r="P606" s="40"/>
      <c r="Q606" s="40"/>
      <c r="R606" s="40"/>
      <c r="S606" s="40"/>
    </row>
    <row r="607" spans="3:19">
      <c r="C607" s="40"/>
      <c r="D607" s="40"/>
      <c r="E607" s="40"/>
      <c r="F607" s="40"/>
      <c r="G607" s="40"/>
      <c r="H607" s="40"/>
      <c r="I607" s="40"/>
      <c r="J607" s="40"/>
      <c r="K607" s="40"/>
      <c r="L607" s="40"/>
      <c r="M607" s="40"/>
      <c r="N607" s="40"/>
      <c r="O607" s="40"/>
      <c r="P607" s="40"/>
      <c r="Q607" s="40"/>
      <c r="R607" s="40"/>
      <c r="S607" s="40"/>
    </row>
    <row r="608" spans="3:19">
      <c r="C608" s="40"/>
      <c r="D608" s="40"/>
      <c r="E608" s="40"/>
      <c r="F608" s="40"/>
      <c r="G608" s="40"/>
      <c r="H608" s="40"/>
      <c r="I608" s="40"/>
      <c r="J608" s="40"/>
      <c r="K608" s="40"/>
      <c r="L608" s="40"/>
      <c r="M608" s="40"/>
      <c r="N608" s="40"/>
      <c r="O608" s="40"/>
      <c r="P608" s="40"/>
      <c r="Q608" s="40"/>
      <c r="R608" s="40"/>
      <c r="S608" s="40"/>
    </row>
    <row r="609" spans="3:19">
      <c r="C609" s="40"/>
      <c r="D609" s="40"/>
      <c r="E609" s="40"/>
      <c r="F609" s="40"/>
      <c r="G609" s="40"/>
      <c r="H609" s="40"/>
      <c r="I609" s="40"/>
      <c r="J609" s="40"/>
      <c r="K609" s="40"/>
      <c r="L609" s="40"/>
      <c r="M609" s="40"/>
      <c r="N609" s="40"/>
      <c r="O609" s="40"/>
      <c r="P609" s="40"/>
      <c r="Q609" s="40"/>
      <c r="R609" s="40"/>
      <c r="S609" s="40"/>
    </row>
    <row r="610" spans="3:19">
      <c r="C610" s="40"/>
      <c r="D610" s="40"/>
      <c r="E610" s="40"/>
      <c r="F610" s="40"/>
      <c r="G610" s="40"/>
      <c r="H610" s="40"/>
      <c r="I610" s="40"/>
      <c r="J610" s="40"/>
      <c r="K610" s="40"/>
      <c r="L610" s="40"/>
      <c r="M610" s="40"/>
      <c r="N610" s="40"/>
      <c r="O610" s="40"/>
      <c r="P610" s="40"/>
      <c r="Q610" s="40"/>
      <c r="R610" s="40"/>
      <c r="S610" s="40"/>
    </row>
    <row r="611" spans="3:19">
      <c r="C611" s="40"/>
      <c r="D611" s="40"/>
      <c r="E611" s="40"/>
      <c r="F611" s="40"/>
      <c r="G611" s="40"/>
      <c r="H611" s="40"/>
      <c r="I611" s="40"/>
      <c r="J611" s="40"/>
      <c r="K611" s="40"/>
      <c r="L611" s="40"/>
      <c r="M611" s="40"/>
      <c r="N611" s="40"/>
      <c r="O611" s="40"/>
      <c r="P611" s="40"/>
      <c r="Q611" s="40"/>
      <c r="R611" s="40"/>
      <c r="S611" s="40"/>
    </row>
    <row r="612" spans="3:19">
      <c r="C612" s="40"/>
      <c r="D612" s="40"/>
      <c r="E612" s="40"/>
      <c r="F612" s="40"/>
      <c r="G612" s="40"/>
      <c r="H612" s="40"/>
      <c r="I612" s="40"/>
      <c r="J612" s="40"/>
      <c r="K612" s="40"/>
      <c r="L612" s="40"/>
      <c r="M612" s="40"/>
      <c r="N612" s="40"/>
      <c r="O612" s="40"/>
      <c r="P612" s="40"/>
      <c r="Q612" s="40"/>
      <c r="R612" s="40"/>
      <c r="S612" s="40"/>
    </row>
    <row r="613" spans="3:19">
      <c r="C613" s="40"/>
      <c r="D613" s="40"/>
      <c r="E613" s="40"/>
      <c r="F613" s="40"/>
      <c r="G613" s="40"/>
      <c r="H613" s="40"/>
      <c r="I613" s="40"/>
      <c r="J613" s="40"/>
      <c r="K613" s="40"/>
      <c r="L613" s="40"/>
      <c r="M613" s="40"/>
      <c r="N613" s="40"/>
      <c r="O613" s="40"/>
      <c r="P613" s="40"/>
      <c r="Q613" s="40"/>
      <c r="R613" s="40"/>
      <c r="S613" s="40"/>
    </row>
    <row r="614" spans="3:19">
      <c r="C614" s="40"/>
      <c r="D614" s="40"/>
      <c r="E614" s="40"/>
      <c r="F614" s="40"/>
      <c r="G614" s="40"/>
      <c r="H614" s="40"/>
      <c r="I614" s="40"/>
      <c r="J614" s="40"/>
      <c r="K614" s="40"/>
      <c r="L614" s="40"/>
      <c r="M614" s="40"/>
      <c r="N614" s="40"/>
      <c r="O614" s="40"/>
      <c r="P614" s="40"/>
      <c r="Q614" s="40"/>
      <c r="R614" s="40"/>
      <c r="S614" s="40"/>
    </row>
    <row r="615" spans="3:19">
      <c r="C615" s="40"/>
      <c r="D615" s="40"/>
      <c r="E615" s="40"/>
      <c r="F615" s="40"/>
      <c r="G615" s="40"/>
      <c r="H615" s="40"/>
      <c r="I615" s="40"/>
      <c r="J615" s="40"/>
      <c r="K615" s="40"/>
      <c r="L615" s="40"/>
      <c r="M615" s="40"/>
      <c r="N615" s="40"/>
      <c r="O615" s="40"/>
      <c r="P615" s="40"/>
      <c r="Q615" s="40"/>
      <c r="R615" s="40"/>
      <c r="S615" s="40"/>
    </row>
    <row r="616" spans="3:19">
      <c r="C616" s="40"/>
      <c r="D616" s="40"/>
      <c r="E616" s="40"/>
      <c r="F616" s="40"/>
      <c r="G616" s="40"/>
      <c r="H616" s="40"/>
      <c r="I616" s="40"/>
      <c r="J616" s="40"/>
      <c r="K616" s="40"/>
      <c r="L616" s="40"/>
      <c r="M616" s="40"/>
      <c r="N616" s="40"/>
      <c r="O616" s="40"/>
      <c r="P616" s="40"/>
      <c r="Q616" s="40"/>
      <c r="R616" s="40"/>
      <c r="S616" s="40"/>
    </row>
    <row r="617" spans="3:19">
      <c r="C617" s="40"/>
      <c r="D617" s="40"/>
      <c r="E617" s="40"/>
      <c r="F617" s="40"/>
      <c r="G617" s="40"/>
      <c r="H617" s="40"/>
      <c r="I617" s="40"/>
      <c r="J617" s="40"/>
      <c r="K617" s="40"/>
      <c r="L617" s="40"/>
      <c r="M617" s="40"/>
      <c r="N617" s="40"/>
      <c r="O617" s="40"/>
      <c r="P617" s="40"/>
      <c r="Q617" s="40"/>
      <c r="R617" s="40"/>
      <c r="S617" s="40"/>
    </row>
    <row r="618" spans="3:19">
      <c r="C618" s="40"/>
      <c r="D618" s="40"/>
      <c r="E618" s="40"/>
      <c r="F618" s="40"/>
      <c r="G618" s="40"/>
      <c r="H618" s="40"/>
      <c r="I618" s="40"/>
      <c r="J618" s="40"/>
      <c r="K618" s="40"/>
      <c r="L618" s="40"/>
      <c r="M618" s="40"/>
      <c r="N618" s="40"/>
      <c r="O618" s="40"/>
      <c r="P618" s="40"/>
      <c r="Q618" s="40"/>
      <c r="R618" s="40"/>
      <c r="S618" s="40"/>
    </row>
    <row r="619" spans="3:19">
      <c r="C619" s="40"/>
      <c r="D619" s="40"/>
      <c r="E619" s="40"/>
      <c r="F619" s="40"/>
      <c r="G619" s="40"/>
      <c r="H619" s="40"/>
      <c r="I619" s="40"/>
      <c r="J619" s="40"/>
      <c r="K619" s="40"/>
      <c r="L619" s="40"/>
      <c r="M619" s="40"/>
      <c r="N619" s="40"/>
      <c r="O619" s="40"/>
      <c r="P619" s="40"/>
      <c r="Q619" s="40"/>
      <c r="R619" s="40"/>
      <c r="S619" s="40"/>
    </row>
    <row r="620" spans="3:19">
      <c r="C620" s="40"/>
      <c r="D620" s="40"/>
      <c r="E620" s="40"/>
      <c r="F620" s="40"/>
      <c r="G620" s="40"/>
      <c r="H620" s="40"/>
      <c r="I620" s="40"/>
      <c r="J620" s="40"/>
      <c r="K620" s="40"/>
      <c r="L620" s="40"/>
      <c r="M620" s="40"/>
      <c r="N620" s="40"/>
      <c r="O620" s="40"/>
      <c r="P620" s="40"/>
      <c r="Q620" s="40"/>
      <c r="R620" s="40"/>
      <c r="S620" s="40"/>
    </row>
    <row r="621" spans="3:19">
      <c r="C621" s="40"/>
      <c r="D621" s="40"/>
      <c r="E621" s="40"/>
      <c r="F621" s="40"/>
      <c r="G621" s="40"/>
      <c r="H621" s="40"/>
      <c r="I621" s="40"/>
      <c r="J621" s="40"/>
      <c r="K621" s="40"/>
      <c r="L621" s="40"/>
      <c r="M621" s="40"/>
      <c r="N621" s="40"/>
      <c r="O621" s="40"/>
      <c r="P621" s="40"/>
      <c r="Q621" s="40"/>
      <c r="R621" s="40"/>
      <c r="S621" s="40"/>
    </row>
    <row r="622" spans="3:19">
      <c r="C622" s="40"/>
      <c r="D622" s="40"/>
      <c r="E622" s="40"/>
      <c r="F622" s="40"/>
      <c r="G622" s="40"/>
      <c r="H622" s="40"/>
      <c r="I622" s="40"/>
      <c r="J622" s="40"/>
      <c r="K622" s="40"/>
      <c r="L622" s="40"/>
      <c r="M622" s="40"/>
      <c r="N622" s="40"/>
      <c r="O622" s="40"/>
      <c r="P622" s="40"/>
      <c r="Q622" s="40"/>
      <c r="R622" s="40"/>
      <c r="S622" s="40"/>
    </row>
    <row r="623" spans="3:19">
      <c r="C623" s="40"/>
      <c r="D623" s="40"/>
      <c r="E623" s="40"/>
      <c r="F623" s="40"/>
      <c r="G623" s="40"/>
      <c r="H623" s="40"/>
      <c r="I623" s="40"/>
      <c r="J623" s="40"/>
      <c r="K623" s="40"/>
      <c r="L623" s="40"/>
      <c r="M623" s="40"/>
      <c r="N623" s="40"/>
      <c r="O623" s="40"/>
      <c r="P623" s="40"/>
      <c r="Q623" s="40"/>
      <c r="R623" s="40"/>
      <c r="S623" s="40"/>
    </row>
    <row r="624" spans="3:19">
      <c r="C624" s="40"/>
      <c r="D624" s="40"/>
      <c r="E624" s="40"/>
      <c r="F624" s="40"/>
      <c r="G624" s="40"/>
      <c r="H624" s="40"/>
      <c r="I624" s="40"/>
      <c r="J624" s="40"/>
      <c r="K624" s="40"/>
      <c r="L624" s="40"/>
      <c r="M624" s="40"/>
      <c r="N624" s="40"/>
      <c r="O624" s="40"/>
      <c r="P624" s="40"/>
      <c r="Q624" s="40"/>
      <c r="R624" s="40"/>
      <c r="S624" s="40"/>
    </row>
    <row r="625" spans="3:19">
      <c r="C625" s="40"/>
      <c r="D625" s="40"/>
      <c r="E625" s="40"/>
      <c r="F625" s="40"/>
      <c r="G625" s="40"/>
      <c r="H625" s="40"/>
      <c r="I625" s="40"/>
      <c r="J625" s="40"/>
      <c r="K625" s="40"/>
      <c r="L625" s="40"/>
      <c r="M625" s="40"/>
      <c r="N625" s="40"/>
      <c r="O625" s="40"/>
      <c r="P625" s="40"/>
      <c r="Q625" s="40"/>
      <c r="R625" s="40"/>
      <c r="S625" s="40"/>
    </row>
    <row r="626" spans="3:19">
      <c r="C626" s="40"/>
      <c r="D626" s="40"/>
      <c r="E626" s="40"/>
      <c r="F626" s="40"/>
      <c r="G626" s="40"/>
      <c r="H626" s="40"/>
      <c r="I626" s="40"/>
      <c r="J626" s="40"/>
      <c r="K626" s="40"/>
      <c r="L626" s="40"/>
      <c r="M626" s="40"/>
      <c r="N626" s="40"/>
      <c r="O626" s="40"/>
      <c r="P626" s="40"/>
      <c r="Q626" s="40"/>
      <c r="R626" s="40"/>
      <c r="S626" s="40"/>
    </row>
    <row r="627" spans="3:19">
      <c r="C627" s="40"/>
      <c r="D627" s="40"/>
      <c r="E627" s="40"/>
      <c r="F627" s="40"/>
      <c r="G627" s="40"/>
      <c r="H627" s="40"/>
      <c r="I627" s="40"/>
      <c r="J627" s="40"/>
      <c r="K627" s="40"/>
      <c r="L627" s="40"/>
      <c r="M627" s="40"/>
      <c r="N627" s="40"/>
      <c r="O627" s="40"/>
      <c r="P627" s="40"/>
      <c r="Q627" s="40"/>
      <c r="R627" s="40"/>
      <c r="S627" s="40"/>
    </row>
    <row r="628" spans="3:19">
      <c r="C628" s="40"/>
      <c r="D628" s="40"/>
      <c r="E628" s="40"/>
      <c r="F628" s="40"/>
      <c r="G628" s="40"/>
      <c r="H628" s="40"/>
      <c r="I628" s="40"/>
      <c r="J628" s="40"/>
      <c r="K628" s="40"/>
      <c r="L628" s="40"/>
      <c r="M628" s="40"/>
      <c r="N628" s="40"/>
      <c r="O628" s="40"/>
      <c r="P628" s="40"/>
      <c r="Q628" s="40"/>
      <c r="R628" s="40"/>
      <c r="S628" s="40"/>
    </row>
    <row r="629" spans="3:19">
      <c r="C629" s="40"/>
      <c r="D629" s="40"/>
      <c r="E629" s="40"/>
      <c r="F629" s="40"/>
      <c r="G629" s="40"/>
      <c r="H629" s="40"/>
      <c r="I629" s="40"/>
      <c r="J629" s="40"/>
      <c r="K629" s="40"/>
      <c r="L629" s="40"/>
      <c r="M629" s="40"/>
      <c r="N629" s="40"/>
      <c r="O629" s="40"/>
      <c r="P629" s="40"/>
      <c r="Q629" s="40"/>
      <c r="R629" s="40"/>
      <c r="S629" s="40"/>
    </row>
    <row r="630" spans="3:19">
      <c r="C630" s="40"/>
      <c r="D630" s="40"/>
      <c r="E630" s="40"/>
      <c r="F630" s="40"/>
      <c r="G630" s="40"/>
      <c r="H630" s="40"/>
      <c r="I630" s="40"/>
      <c r="J630" s="40"/>
      <c r="K630" s="40"/>
      <c r="L630" s="40"/>
      <c r="M630" s="40"/>
      <c r="N630" s="40"/>
      <c r="O630" s="40"/>
      <c r="P630" s="40"/>
      <c r="Q630" s="40"/>
      <c r="R630" s="40"/>
      <c r="S630" s="40"/>
    </row>
    <row r="631" spans="3:19">
      <c r="C631" s="40"/>
      <c r="D631" s="40"/>
      <c r="E631" s="40"/>
      <c r="F631" s="40"/>
      <c r="G631" s="40"/>
      <c r="H631" s="40"/>
      <c r="I631" s="40"/>
      <c r="J631" s="40"/>
      <c r="K631" s="40"/>
      <c r="L631" s="40"/>
      <c r="M631" s="40"/>
      <c r="N631" s="40"/>
      <c r="O631" s="40"/>
      <c r="P631" s="40"/>
      <c r="Q631" s="40"/>
      <c r="R631" s="40"/>
      <c r="S631" s="40"/>
    </row>
    <row r="632" spans="3:19">
      <c r="C632" s="40"/>
      <c r="D632" s="40"/>
      <c r="E632" s="40"/>
      <c r="F632" s="40"/>
      <c r="G632" s="40"/>
      <c r="H632" s="40"/>
      <c r="I632" s="40"/>
      <c r="J632" s="40"/>
      <c r="K632" s="40"/>
      <c r="L632" s="40"/>
      <c r="M632" s="40"/>
      <c r="N632" s="40"/>
      <c r="O632" s="40"/>
      <c r="P632" s="40"/>
      <c r="Q632" s="40"/>
      <c r="R632" s="40"/>
      <c r="S632" s="40"/>
    </row>
    <row r="633" spans="3:19">
      <c r="C633" s="40"/>
      <c r="D633" s="40"/>
      <c r="E633" s="40"/>
      <c r="F633" s="40"/>
      <c r="G633" s="40"/>
      <c r="H633" s="40"/>
      <c r="I633" s="40"/>
      <c r="J633" s="40"/>
      <c r="K633" s="40"/>
      <c r="L633" s="40"/>
      <c r="M633" s="40"/>
      <c r="N633" s="40"/>
      <c r="O633" s="40"/>
      <c r="P633" s="40"/>
      <c r="Q633" s="40"/>
      <c r="R633" s="40"/>
      <c r="S633" s="40"/>
    </row>
    <row r="634" spans="3:19">
      <c r="C634" s="40"/>
      <c r="D634" s="40"/>
      <c r="E634" s="40"/>
      <c r="F634" s="40"/>
      <c r="G634" s="40"/>
      <c r="H634" s="40"/>
      <c r="I634" s="40"/>
      <c r="J634" s="40"/>
      <c r="K634" s="40"/>
      <c r="L634" s="40"/>
      <c r="M634" s="40"/>
      <c r="N634" s="40"/>
      <c r="O634" s="40"/>
      <c r="P634" s="40"/>
      <c r="Q634" s="40"/>
      <c r="R634" s="40"/>
      <c r="S634" s="40"/>
    </row>
    <row r="635" spans="3:19">
      <c r="C635" s="40"/>
      <c r="D635" s="40"/>
      <c r="E635" s="40"/>
      <c r="F635" s="40"/>
      <c r="G635" s="40"/>
      <c r="H635" s="40"/>
      <c r="I635" s="40"/>
      <c r="J635" s="40"/>
      <c r="K635" s="40"/>
      <c r="L635" s="40"/>
      <c r="M635" s="40"/>
      <c r="N635" s="40"/>
      <c r="O635" s="40"/>
      <c r="P635" s="40"/>
      <c r="Q635" s="40"/>
      <c r="R635" s="40"/>
      <c r="S635" s="40"/>
    </row>
    <row r="636" spans="3:19">
      <c r="C636" s="40"/>
      <c r="D636" s="40"/>
      <c r="E636" s="40"/>
      <c r="F636" s="40"/>
      <c r="G636" s="40"/>
      <c r="H636" s="40"/>
      <c r="I636" s="40"/>
      <c r="J636" s="40"/>
      <c r="K636" s="40"/>
      <c r="L636" s="40"/>
      <c r="M636" s="40"/>
      <c r="N636" s="40"/>
      <c r="O636" s="40"/>
      <c r="P636" s="40"/>
      <c r="Q636" s="40"/>
      <c r="R636" s="40"/>
      <c r="S636" s="40"/>
    </row>
  </sheetData>
  <pageMargins left="0.7" right="0.7" top="0.75" bottom="0.75" header="0.3" footer="0.3"/>
  <pageSetup paperSize="9" orientation="portrait" horizontalDpi="300" verticalDpi="300"/>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ECE00-7C50-4A87-AEA7-725BACB61AE2}">
  <sheetPr>
    <tabColor rgb="FFFFC000"/>
  </sheetPr>
  <dimension ref="A1:N1218"/>
  <sheetViews>
    <sheetView zoomScaleNormal="100" workbookViewId="0">
      <pane xSplit="4" ySplit="5" topLeftCell="E6" activePane="bottomRight" state="frozen"/>
      <selection activeCell="A1018" sqref="A1018:N1018"/>
      <selection pane="topRight" activeCell="A1018" sqref="A1018:N1018"/>
      <selection pane="bottomLeft" activeCell="A1018" sqref="A1018:N1018"/>
      <selection pane="bottomRight" activeCell="C11" sqref="C11"/>
    </sheetView>
  </sheetViews>
  <sheetFormatPr baseColWidth="10" defaultRowHeight="12" customHeight="1"/>
  <cols>
    <col min="1" max="1" width="8.6640625" style="42" bestFit="1" customWidth="1"/>
    <col min="2" max="2" width="6.6640625" style="42" bestFit="1" customWidth="1"/>
    <col min="3" max="3" width="10.6640625" style="42" bestFit="1" customWidth="1"/>
    <col min="4" max="4" width="5.6640625" style="42" bestFit="1" customWidth="1"/>
    <col min="5" max="5" width="15.6640625" style="42" bestFit="1" customWidth="1"/>
    <col min="6" max="6" width="10.6640625" style="42" bestFit="1" customWidth="1"/>
    <col min="7" max="7" width="9.6640625" style="42" bestFit="1" customWidth="1"/>
    <col min="8" max="8" width="15.6640625" style="42" bestFit="1" customWidth="1"/>
    <col min="9" max="9" width="10.6640625" style="42" bestFit="1" customWidth="1"/>
    <col min="10" max="14" width="8.6640625" style="42" bestFit="1" customWidth="1"/>
    <col min="15" max="16384" width="11.5546875" style="42"/>
  </cols>
  <sheetData>
    <row r="1" spans="1:14" ht="19.05" customHeight="1">
      <c r="A1" s="1073" t="s">
        <v>90</v>
      </c>
      <c r="B1" s="1074"/>
      <c r="C1" s="1074"/>
      <c r="D1" s="1074"/>
      <c r="E1" s="1074"/>
      <c r="F1" s="1074"/>
      <c r="G1" s="1074"/>
      <c r="H1" s="1074"/>
      <c r="I1" s="1074"/>
      <c r="J1" s="1074"/>
      <c r="K1" s="1074"/>
      <c r="L1" s="1074"/>
      <c r="M1" s="1074"/>
      <c r="N1" s="1074"/>
    </row>
    <row r="2" spans="1:14" ht="15" customHeight="1">
      <c r="A2" s="1075" t="s">
        <v>91</v>
      </c>
      <c r="B2" s="1074"/>
      <c r="C2" s="1074"/>
      <c r="D2" s="1074"/>
      <c r="E2" s="1074"/>
      <c r="F2" s="1074"/>
      <c r="G2" s="1074"/>
      <c r="H2" s="1074"/>
      <c r="I2" s="1074"/>
      <c r="J2" s="1074"/>
      <c r="K2" s="1074"/>
      <c r="L2" s="1074"/>
      <c r="M2" s="1074"/>
      <c r="N2" s="1074"/>
    </row>
    <row r="3" spans="1:14" ht="15" customHeight="1">
      <c r="A3" s="1076" t="s">
        <v>92</v>
      </c>
      <c r="B3" s="1074"/>
      <c r="C3" s="1074"/>
      <c r="D3" s="1074"/>
      <c r="E3" s="1074"/>
      <c r="F3" s="1074"/>
      <c r="G3" s="1074"/>
      <c r="H3" s="1074"/>
      <c r="I3" s="1074"/>
      <c r="J3" s="1074"/>
      <c r="K3" s="1074"/>
      <c r="L3" s="1074"/>
      <c r="M3" s="1074"/>
      <c r="N3" s="1074"/>
    </row>
    <row r="5" spans="1:14" ht="30" customHeight="1">
      <c r="A5" s="43" t="s">
        <v>93</v>
      </c>
      <c r="B5" s="43" t="s">
        <v>94</v>
      </c>
      <c r="C5" s="43" t="s">
        <v>95</v>
      </c>
      <c r="D5" s="43" t="s">
        <v>96</v>
      </c>
      <c r="E5" s="44" t="s">
        <v>97</v>
      </c>
      <c r="F5" s="44" t="s">
        <v>98</v>
      </c>
      <c r="G5" s="44" t="s">
        <v>99</v>
      </c>
      <c r="H5" s="44" t="s">
        <v>100</v>
      </c>
      <c r="I5" s="44" t="s">
        <v>101</v>
      </c>
      <c r="J5" s="44" t="s">
        <v>102</v>
      </c>
      <c r="K5" s="44" t="s">
        <v>103</v>
      </c>
      <c r="L5" s="44" t="s">
        <v>104</v>
      </c>
      <c r="M5" s="44" t="s">
        <v>105</v>
      </c>
      <c r="N5" s="44" t="s">
        <v>106</v>
      </c>
    </row>
    <row r="6" spans="1:14" ht="10.050000000000001" customHeight="1">
      <c r="A6" s="45" t="s">
        <v>80</v>
      </c>
      <c r="B6" s="46">
        <v>2000</v>
      </c>
      <c r="C6" s="45" t="s">
        <v>107</v>
      </c>
      <c r="D6" s="47">
        <v>7</v>
      </c>
      <c r="E6" s="48">
        <v>2332784.6</v>
      </c>
      <c r="F6" s="48">
        <v>2905.1</v>
      </c>
      <c r="G6" s="48">
        <v>2335689.7000000002</v>
      </c>
      <c r="H6" s="48">
        <v>1877657.6000000001</v>
      </c>
      <c r="I6" s="48">
        <v>6139.6</v>
      </c>
      <c r="J6" s="48">
        <v>1883797.2</v>
      </c>
      <c r="K6" s="48">
        <v>473648.7</v>
      </c>
      <c r="L6" s="48">
        <v>498993</v>
      </c>
      <c r="M6" s="48">
        <v>31847.8</v>
      </c>
      <c r="N6" s="48">
        <v>196</v>
      </c>
    </row>
    <row r="7" spans="1:14" ht="10.050000000000001" customHeight="1">
      <c r="A7" s="45" t="s">
        <v>83</v>
      </c>
      <c r="B7" s="46">
        <v>2000</v>
      </c>
      <c r="C7" s="45" t="s">
        <v>107</v>
      </c>
      <c r="D7" s="47">
        <v>7</v>
      </c>
      <c r="E7" s="48">
        <v>1011.1</v>
      </c>
      <c r="F7" s="48">
        <v>0</v>
      </c>
      <c r="G7" s="48">
        <v>1011.1</v>
      </c>
      <c r="H7" s="48">
        <v>1988.1</v>
      </c>
      <c r="I7" s="48">
        <v>870.7</v>
      </c>
      <c r="J7" s="48">
        <v>2858.8</v>
      </c>
      <c r="K7" s="48">
        <v>32.799999999999997</v>
      </c>
      <c r="L7" s="48">
        <v>32.799999999999997</v>
      </c>
      <c r="M7" s="48">
        <v>0</v>
      </c>
      <c r="N7" s="48">
        <v>0</v>
      </c>
    </row>
    <row r="8" spans="1:14" ht="10.050000000000001" customHeight="1">
      <c r="A8" s="45" t="s">
        <v>82</v>
      </c>
      <c r="B8" s="46">
        <v>2000</v>
      </c>
      <c r="C8" s="45" t="s">
        <v>107</v>
      </c>
      <c r="D8" s="47">
        <v>7</v>
      </c>
      <c r="E8" s="48">
        <v>67.900000000000006</v>
      </c>
      <c r="F8" s="48">
        <v>0</v>
      </c>
      <c r="G8" s="48">
        <v>67.900000000000006</v>
      </c>
      <c r="H8" s="48">
        <v>12040.7</v>
      </c>
      <c r="I8" s="48">
        <v>493.3</v>
      </c>
      <c r="J8" s="48">
        <v>12534</v>
      </c>
      <c r="K8" s="48">
        <v>123.8</v>
      </c>
      <c r="L8" s="48">
        <v>3.8</v>
      </c>
      <c r="M8" s="48">
        <v>0</v>
      </c>
      <c r="N8" s="48">
        <v>12.9</v>
      </c>
    </row>
    <row r="9" spans="1:14" ht="10.050000000000001" customHeight="1">
      <c r="A9" s="45" t="s">
        <v>81</v>
      </c>
      <c r="B9" s="46">
        <v>2000</v>
      </c>
      <c r="C9" s="45" t="s">
        <v>107</v>
      </c>
      <c r="D9" s="47">
        <v>7</v>
      </c>
      <c r="E9" s="48">
        <v>2938.8</v>
      </c>
      <c r="F9" s="48">
        <v>0</v>
      </c>
      <c r="G9" s="48">
        <v>2938.8</v>
      </c>
      <c r="H9" s="48">
        <v>188219.6</v>
      </c>
      <c r="I9" s="48">
        <v>2464.1</v>
      </c>
      <c r="J9" s="48">
        <v>190683.7</v>
      </c>
      <c r="K9" s="48">
        <v>2773.4</v>
      </c>
      <c r="L9" s="48">
        <v>416.2</v>
      </c>
      <c r="M9" s="48">
        <v>607.20000000000005</v>
      </c>
      <c r="N9" s="48">
        <v>0.2</v>
      </c>
    </row>
    <row r="10" spans="1:14" ht="10.050000000000001" customHeight="1">
      <c r="A10" s="45" t="s">
        <v>80</v>
      </c>
      <c r="B10" s="46">
        <v>2000</v>
      </c>
      <c r="C10" s="45" t="s">
        <v>107</v>
      </c>
      <c r="D10" s="47">
        <v>8</v>
      </c>
      <c r="E10" s="48">
        <v>431628.4</v>
      </c>
      <c r="F10" s="48">
        <v>1377.9</v>
      </c>
      <c r="G10" s="48">
        <v>433006.3</v>
      </c>
      <c r="H10" s="48">
        <v>1926003.8</v>
      </c>
      <c r="I10" s="48">
        <v>6135.4</v>
      </c>
      <c r="J10" s="48">
        <v>1932139.2</v>
      </c>
      <c r="K10" s="48">
        <v>320708.90000000002</v>
      </c>
      <c r="L10" s="48">
        <v>51258.8</v>
      </c>
      <c r="M10" s="48">
        <v>202512.6</v>
      </c>
      <c r="N10" s="48">
        <v>1591.6</v>
      </c>
    </row>
    <row r="11" spans="1:14" ht="10.050000000000001" customHeight="1">
      <c r="A11" s="45" t="s">
        <v>83</v>
      </c>
      <c r="B11" s="46">
        <v>2000</v>
      </c>
      <c r="C11" s="45" t="s">
        <v>107</v>
      </c>
      <c r="D11" s="47">
        <v>8</v>
      </c>
      <c r="E11" s="48">
        <v>9221.6</v>
      </c>
      <c r="F11" s="48">
        <v>0</v>
      </c>
      <c r="G11" s="48">
        <v>9221.6</v>
      </c>
      <c r="H11" s="48">
        <v>9896</v>
      </c>
      <c r="I11" s="48">
        <v>840.6</v>
      </c>
      <c r="J11" s="48">
        <v>10736.6</v>
      </c>
      <c r="K11" s="48">
        <v>210.1</v>
      </c>
      <c r="L11" s="48">
        <v>272.39999999999998</v>
      </c>
      <c r="M11" s="48">
        <v>95.1</v>
      </c>
      <c r="N11" s="48">
        <v>0</v>
      </c>
    </row>
    <row r="12" spans="1:14" ht="10.050000000000001" customHeight="1">
      <c r="A12" s="45" t="s">
        <v>82</v>
      </c>
      <c r="B12" s="46">
        <v>2000</v>
      </c>
      <c r="C12" s="45" t="s">
        <v>107</v>
      </c>
      <c r="D12" s="47">
        <v>8</v>
      </c>
      <c r="E12" s="48">
        <v>385.6</v>
      </c>
      <c r="F12" s="48">
        <v>33.4</v>
      </c>
      <c r="G12" s="48">
        <v>419</v>
      </c>
      <c r="H12" s="48">
        <v>7476.8</v>
      </c>
      <c r="I12" s="48">
        <v>526.70000000000005</v>
      </c>
      <c r="J12" s="48">
        <v>8003.5</v>
      </c>
      <c r="K12" s="48">
        <v>54</v>
      </c>
      <c r="L12" s="48">
        <v>8.8000000000000007</v>
      </c>
      <c r="M12" s="48">
        <v>78.599999999999994</v>
      </c>
      <c r="N12" s="48">
        <v>0</v>
      </c>
    </row>
    <row r="13" spans="1:14" ht="10.050000000000001" customHeight="1">
      <c r="A13" s="45" t="s">
        <v>81</v>
      </c>
      <c r="B13" s="46">
        <v>2000</v>
      </c>
      <c r="C13" s="45" t="s">
        <v>107</v>
      </c>
      <c r="D13" s="47">
        <v>8</v>
      </c>
      <c r="E13" s="48">
        <v>48676.1</v>
      </c>
      <c r="F13" s="48">
        <v>6.1</v>
      </c>
      <c r="G13" s="48">
        <v>48682.2</v>
      </c>
      <c r="H13" s="48">
        <v>165901.79999999999</v>
      </c>
      <c r="I13" s="48">
        <v>2472.5</v>
      </c>
      <c r="J13" s="48">
        <v>168374.3</v>
      </c>
      <c r="K13" s="48">
        <v>9406.7000000000007</v>
      </c>
      <c r="L13" s="48">
        <v>7366.4</v>
      </c>
      <c r="M13" s="48">
        <v>633.20000000000005</v>
      </c>
      <c r="N13" s="48">
        <v>99.9</v>
      </c>
    </row>
    <row r="14" spans="1:14" ht="10.050000000000001" customHeight="1">
      <c r="A14" s="45" t="s">
        <v>80</v>
      </c>
      <c r="B14" s="46">
        <v>2000</v>
      </c>
      <c r="C14" s="45" t="s">
        <v>107</v>
      </c>
      <c r="D14" s="47">
        <v>9</v>
      </c>
      <c r="E14" s="48">
        <v>95884.1</v>
      </c>
      <c r="F14" s="48">
        <v>23.1</v>
      </c>
      <c r="G14" s="48">
        <v>95907.199999999997</v>
      </c>
      <c r="H14" s="48">
        <v>1789218.5</v>
      </c>
      <c r="I14" s="48">
        <v>5687.9</v>
      </c>
      <c r="J14" s="48">
        <v>1794906.4</v>
      </c>
      <c r="K14" s="48">
        <v>254144.5</v>
      </c>
      <c r="L14" s="48">
        <v>4706.3</v>
      </c>
      <c r="M14" s="48">
        <v>69568.2</v>
      </c>
      <c r="N14" s="48">
        <v>1676.6</v>
      </c>
    </row>
    <row r="15" spans="1:14" ht="10.050000000000001" customHeight="1">
      <c r="A15" s="45" t="s">
        <v>83</v>
      </c>
      <c r="B15" s="46">
        <v>2000</v>
      </c>
      <c r="C15" s="45" t="s">
        <v>107</v>
      </c>
      <c r="D15" s="47">
        <v>9</v>
      </c>
      <c r="E15" s="48">
        <v>3189.2</v>
      </c>
      <c r="F15" s="48">
        <v>21.4</v>
      </c>
      <c r="G15" s="48">
        <v>3210.6</v>
      </c>
      <c r="H15" s="48">
        <v>8774.4</v>
      </c>
      <c r="I15" s="48">
        <v>569.70000000000005</v>
      </c>
      <c r="J15" s="48">
        <v>9344.1</v>
      </c>
      <c r="K15" s="48">
        <v>260</v>
      </c>
      <c r="L15" s="48">
        <v>198.6</v>
      </c>
      <c r="M15" s="48">
        <v>148.69999999999999</v>
      </c>
      <c r="N15" s="48">
        <v>0</v>
      </c>
    </row>
    <row r="16" spans="1:14" ht="10.050000000000001" customHeight="1">
      <c r="A16" s="45" t="s">
        <v>82</v>
      </c>
      <c r="B16" s="46">
        <v>2000</v>
      </c>
      <c r="C16" s="45" t="s">
        <v>107</v>
      </c>
      <c r="D16" s="47">
        <v>9</v>
      </c>
      <c r="E16" s="48">
        <v>60183.5</v>
      </c>
      <c r="F16" s="48">
        <v>1773</v>
      </c>
      <c r="G16" s="48">
        <v>61956.5</v>
      </c>
      <c r="H16" s="48">
        <v>56496.5</v>
      </c>
      <c r="I16" s="48">
        <v>2182.1999999999998</v>
      </c>
      <c r="J16" s="48">
        <v>58678.7</v>
      </c>
      <c r="K16" s="48">
        <v>2564.1</v>
      </c>
      <c r="L16" s="48">
        <v>2580.6999999999998</v>
      </c>
      <c r="M16" s="48">
        <v>70.599999999999994</v>
      </c>
      <c r="N16" s="48">
        <v>0</v>
      </c>
    </row>
    <row r="17" spans="1:14" ht="10.050000000000001" customHeight="1">
      <c r="A17" s="45" t="s">
        <v>81</v>
      </c>
      <c r="B17" s="46">
        <v>2000</v>
      </c>
      <c r="C17" s="45" t="s">
        <v>107</v>
      </c>
      <c r="D17" s="47">
        <v>9</v>
      </c>
      <c r="E17" s="48">
        <v>989381.6</v>
      </c>
      <c r="F17" s="48">
        <v>912.4</v>
      </c>
      <c r="G17" s="48">
        <v>990294</v>
      </c>
      <c r="H17" s="48">
        <v>977850.8</v>
      </c>
      <c r="I17" s="48">
        <v>3446.5</v>
      </c>
      <c r="J17" s="48">
        <v>981297.3</v>
      </c>
      <c r="K17" s="48">
        <v>133928.20000000001</v>
      </c>
      <c r="L17" s="48">
        <v>127965.3</v>
      </c>
      <c r="M17" s="48">
        <v>3234.8</v>
      </c>
      <c r="N17" s="48">
        <v>209</v>
      </c>
    </row>
    <row r="18" spans="1:14" ht="10.050000000000001" customHeight="1">
      <c r="A18" s="45" t="s">
        <v>80</v>
      </c>
      <c r="B18" s="46">
        <v>2000</v>
      </c>
      <c r="C18" s="45" t="s">
        <v>107</v>
      </c>
      <c r="D18" s="47">
        <v>10</v>
      </c>
      <c r="E18" s="48">
        <v>58203.9</v>
      </c>
      <c r="F18" s="48">
        <v>47.4</v>
      </c>
      <c r="G18" s="48">
        <v>58251.3</v>
      </c>
      <c r="H18" s="48">
        <v>1567106</v>
      </c>
      <c r="I18" s="48">
        <v>5854.6</v>
      </c>
      <c r="J18" s="48">
        <v>1572960.6</v>
      </c>
      <c r="K18" s="48">
        <v>217627.4</v>
      </c>
      <c r="L18" s="48">
        <v>2874.1</v>
      </c>
      <c r="M18" s="48">
        <v>39199.4</v>
      </c>
      <c r="N18" s="48">
        <v>191.8</v>
      </c>
    </row>
    <row r="19" spans="1:14" ht="10.050000000000001" customHeight="1">
      <c r="A19" s="45" t="s">
        <v>83</v>
      </c>
      <c r="B19" s="46">
        <v>2000</v>
      </c>
      <c r="C19" s="45" t="s">
        <v>107</v>
      </c>
      <c r="D19" s="47">
        <v>10</v>
      </c>
      <c r="E19" s="48">
        <v>950.6</v>
      </c>
      <c r="F19" s="48">
        <v>21.6</v>
      </c>
      <c r="G19" s="48">
        <v>972.2</v>
      </c>
      <c r="H19" s="48">
        <v>6122.3</v>
      </c>
      <c r="I19" s="48">
        <v>562.70000000000005</v>
      </c>
      <c r="J19" s="48">
        <v>6685</v>
      </c>
      <c r="K19" s="48">
        <v>271.8</v>
      </c>
      <c r="L19" s="48">
        <v>63.6</v>
      </c>
      <c r="M19" s="48">
        <v>51.8</v>
      </c>
      <c r="N19" s="48">
        <v>0</v>
      </c>
    </row>
    <row r="20" spans="1:14" ht="10.050000000000001" customHeight="1">
      <c r="A20" s="45" t="s">
        <v>82</v>
      </c>
      <c r="B20" s="46">
        <v>2000</v>
      </c>
      <c r="C20" s="45" t="s">
        <v>107</v>
      </c>
      <c r="D20" s="47">
        <v>10</v>
      </c>
      <c r="E20" s="48">
        <v>69917.3</v>
      </c>
      <c r="F20" s="48">
        <v>1163.4000000000001</v>
      </c>
      <c r="G20" s="48">
        <v>71080.7</v>
      </c>
      <c r="H20" s="48">
        <v>114387.1</v>
      </c>
      <c r="I20" s="48">
        <v>3342.9</v>
      </c>
      <c r="J20" s="48">
        <v>117730</v>
      </c>
      <c r="K20" s="48">
        <v>6628.5</v>
      </c>
      <c r="L20" s="48">
        <v>4558</v>
      </c>
      <c r="M20" s="48">
        <v>486.8</v>
      </c>
      <c r="N20" s="48">
        <v>2</v>
      </c>
    </row>
    <row r="21" spans="1:14" ht="10.050000000000001" customHeight="1">
      <c r="A21" s="45" t="s">
        <v>81</v>
      </c>
      <c r="B21" s="46">
        <v>2000</v>
      </c>
      <c r="C21" s="45" t="s">
        <v>107</v>
      </c>
      <c r="D21" s="47">
        <v>10</v>
      </c>
      <c r="E21" s="48">
        <v>336506.6</v>
      </c>
      <c r="F21" s="48">
        <v>327</v>
      </c>
      <c r="G21" s="48">
        <v>336833.6</v>
      </c>
      <c r="H21" s="48">
        <v>1112260.1000000001</v>
      </c>
      <c r="I21" s="48">
        <v>3411.2</v>
      </c>
      <c r="J21" s="48">
        <v>1115671.3</v>
      </c>
      <c r="K21" s="48">
        <v>149561</v>
      </c>
      <c r="L21" s="48">
        <v>40806.5</v>
      </c>
      <c r="M21" s="48">
        <v>24351.1</v>
      </c>
      <c r="N21" s="48">
        <v>822.6</v>
      </c>
    </row>
    <row r="22" spans="1:14" ht="10.050000000000001" customHeight="1">
      <c r="A22" s="45" t="s">
        <v>80</v>
      </c>
      <c r="B22" s="46">
        <v>2000</v>
      </c>
      <c r="C22" s="45" t="s">
        <v>107</v>
      </c>
      <c r="D22" s="47">
        <v>11</v>
      </c>
      <c r="E22" s="48">
        <v>45997</v>
      </c>
      <c r="F22" s="48">
        <v>3.7</v>
      </c>
      <c r="G22" s="48">
        <v>46000.7</v>
      </c>
      <c r="H22" s="48">
        <v>1355695.6</v>
      </c>
      <c r="I22" s="48">
        <v>4913</v>
      </c>
      <c r="J22" s="48">
        <v>1360608.6</v>
      </c>
      <c r="K22" s="48">
        <v>193409.5</v>
      </c>
      <c r="L22" s="48">
        <v>2986</v>
      </c>
      <c r="M22" s="48">
        <v>26785.5</v>
      </c>
      <c r="N22" s="48">
        <v>418.4</v>
      </c>
    </row>
    <row r="23" spans="1:14" ht="10.050000000000001" customHeight="1">
      <c r="A23" s="45" t="s">
        <v>83</v>
      </c>
      <c r="B23" s="46">
        <v>2000</v>
      </c>
      <c r="C23" s="45" t="s">
        <v>107</v>
      </c>
      <c r="D23" s="47">
        <v>11</v>
      </c>
      <c r="E23" s="48">
        <v>531.9</v>
      </c>
      <c r="F23" s="48">
        <v>27.9</v>
      </c>
      <c r="G23" s="48">
        <v>559.79999999999995</v>
      </c>
      <c r="H23" s="48">
        <v>5281.2</v>
      </c>
      <c r="I23" s="48">
        <v>581.6</v>
      </c>
      <c r="J23" s="48">
        <v>5862.8</v>
      </c>
      <c r="K23" s="48">
        <v>202.8</v>
      </c>
      <c r="L23" s="48">
        <v>0</v>
      </c>
      <c r="M23" s="48">
        <v>69</v>
      </c>
      <c r="N23" s="48">
        <v>0</v>
      </c>
    </row>
    <row r="24" spans="1:14" ht="10.050000000000001" customHeight="1">
      <c r="A24" s="45" t="s">
        <v>82</v>
      </c>
      <c r="B24" s="46">
        <v>2000</v>
      </c>
      <c r="C24" s="45" t="s">
        <v>107</v>
      </c>
      <c r="D24" s="47">
        <v>11</v>
      </c>
      <c r="E24" s="48">
        <v>19639.900000000001</v>
      </c>
      <c r="F24" s="48">
        <v>1752.6</v>
      </c>
      <c r="G24" s="48">
        <v>21392.5</v>
      </c>
      <c r="H24" s="48">
        <v>111080.3</v>
      </c>
      <c r="I24" s="48">
        <v>5015.5</v>
      </c>
      <c r="J24" s="48">
        <v>116095.8</v>
      </c>
      <c r="K24" s="48">
        <v>6597.8</v>
      </c>
      <c r="L24" s="48">
        <v>751.1</v>
      </c>
      <c r="M24" s="48">
        <v>570.29999999999995</v>
      </c>
      <c r="N24" s="48">
        <v>207.3</v>
      </c>
    </row>
    <row r="25" spans="1:14" ht="10.050000000000001" customHeight="1">
      <c r="A25" s="45" t="s">
        <v>81</v>
      </c>
      <c r="B25" s="46">
        <v>2000</v>
      </c>
      <c r="C25" s="45" t="s">
        <v>107</v>
      </c>
      <c r="D25" s="47">
        <v>11</v>
      </c>
      <c r="E25" s="48">
        <v>63173.2</v>
      </c>
      <c r="F25" s="48">
        <v>346.4</v>
      </c>
      <c r="G25" s="48">
        <v>63519.6</v>
      </c>
      <c r="H25" s="48">
        <v>1052195.8999999999</v>
      </c>
      <c r="I25" s="48">
        <v>3620.7</v>
      </c>
      <c r="J25" s="48">
        <v>1055816.6000000001</v>
      </c>
      <c r="K25" s="48">
        <v>137590.79999999999</v>
      </c>
      <c r="L25" s="48">
        <v>7821.6</v>
      </c>
      <c r="M25" s="48">
        <v>18396.099999999999</v>
      </c>
      <c r="N25" s="48">
        <v>1395.7</v>
      </c>
    </row>
    <row r="26" spans="1:14" ht="10.050000000000001" customHeight="1">
      <c r="A26" s="45" t="s">
        <v>80</v>
      </c>
      <c r="B26" s="46">
        <v>2000</v>
      </c>
      <c r="C26" s="45" t="s">
        <v>107</v>
      </c>
      <c r="D26" s="47">
        <v>12</v>
      </c>
      <c r="E26" s="48">
        <v>61552.4</v>
      </c>
      <c r="F26" s="48">
        <v>0</v>
      </c>
      <c r="G26" s="48">
        <v>61552.4</v>
      </c>
      <c r="H26" s="48">
        <v>1181206.5</v>
      </c>
      <c r="I26" s="48">
        <v>4721.5</v>
      </c>
      <c r="J26" s="48">
        <v>1185928</v>
      </c>
      <c r="K26" s="48">
        <v>157866.79999999999</v>
      </c>
      <c r="L26" s="48">
        <v>6628.1</v>
      </c>
      <c r="M26" s="48">
        <v>40987.800000000003</v>
      </c>
      <c r="N26" s="48">
        <v>1183</v>
      </c>
    </row>
    <row r="27" spans="1:14" ht="10.050000000000001" customHeight="1">
      <c r="A27" s="45" t="s">
        <v>83</v>
      </c>
      <c r="B27" s="46">
        <v>2000</v>
      </c>
      <c r="C27" s="45" t="s">
        <v>107</v>
      </c>
      <c r="D27" s="47">
        <v>12</v>
      </c>
      <c r="E27" s="48">
        <v>299.10000000000002</v>
      </c>
      <c r="F27" s="48">
        <v>23.9</v>
      </c>
      <c r="G27" s="48">
        <v>323</v>
      </c>
      <c r="H27" s="48">
        <v>4253.8999999999996</v>
      </c>
      <c r="I27" s="48">
        <v>572.29999999999995</v>
      </c>
      <c r="J27" s="48">
        <v>4826.2</v>
      </c>
      <c r="K27" s="48">
        <v>164.3</v>
      </c>
      <c r="L27" s="48">
        <v>0</v>
      </c>
      <c r="M27" s="48">
        <v>34.6</v>
      </c>
      <c r="N27" s="48">
        <v>3.9</v>
      </c>
    </row>
    <row r="28" spans="1:14" ht="10.050000000000001" customHeight="1">
      <c r="A28" s="45" t="s">
        <v>82</v>
      </c>
      <c r="B28" s="46">
        <v>2000</v>
      </c>
      <c r="C28" s="45" t="s">
        <v>107</v>
      </c>
      <c r="D28" s="47">
        <v>12</v>
      </c>
      <c r="E28" s="48">
        <v>2483.6</v>
      </c>
      <c r="F28" s="48">
        <v>0</v>
      </c>
      <c r="G28" s="48">
        <v>2483.6</v>
      </c>
      <c r="H28" s="48">
        <v>102289.7</v>
      </c>
      <c r="I28" s="48">
        <v>4912</v>
      </c>
      <c r="J28" s="48">
        <v>107201.7</v>
      </c>
      <c r="K28" s="48">
        <v>6300.6</v>
      </c>
      <c r="L28" s="48">
        <v>121.5</v>
      </c>
      <c r="M28" s="48">
        <v>418.7</v>
      </c>
      <c r="N28" s="48">
        <v>0</v>
      </c>
    </row>
    <row r="29" spans="1:14" ht="10.050000000000001" customHeight="1">
      <c r="A29" s="45" t="s">
        <v>81</v>
      </c>
      <c r="B29" s="46">
        <v>2000</v>
      </c>
      <c r="C29" s="45" t="s">
        <v>107</v>
      </c>
      <c r="D29" s="47">
        <v>12</v>
      </c>
      <c r="E29" s="48">
        <v>30864.9</v>
      </c>
      <c r="F29" s="48">
        <v>0</v>
      </c>
      <c r="G29" s="48">
        <v>30864.9</v>
      </c>
      <c r="H29" s="48">
        <v>964943.1</v>
      </c>
      <c r="I29" s="48">
        <v>3565.7</v>
      </c>
      <c r="J29" s="48">
        <v>968508.8</v>
      </c>
      <c r="K29" s="48">
        <v>120095.2</v>
      </c>
      <c r="L29" s="48">
        <v>2349.8000000000002</v>
      </c>
      <c r="M29" s="48">
        <v>19226.8</v>
      </c>
      <c r="N29" s="48">
        <v>618.6</v>
      </c>
    </row>
    <row r="30" spans="1:14" ht="10.050000000000001" customHeight="1">
      <c r="A30" s="45" t="s">
        <v>80</v>
      </c>
      <c r="B30" s="46">
        <v>2000</v>
      </c>
      <c r="C30" s="45" t="s">
        <v>108</v>
      </c>
      <c r="D30" s="47">
        <v>7</v>
      </c>
      <c r="E30" s="48">
        <v>0</v>
      </c>
      <c r="F30" s="48">
        <v>0</v>
      </c>
      <c r="G30" s="48">
        <v>0</v>
      </c>
      <c r="H30" s="48">
        <v>400.5</v>
      </c>
      <c r="I30" s="48">
        <v>0</v>
      </c>
      <c r="J30" s="48">
        <v>400.5</v>
      </c>
      <c r="K30" s="48">
        <v>0</v>
      </c>
      <c r="L30" s="48">
        <v>0</v>
      </c>
      <c r="M30" s="48">
        <v>0</v>
      </c>
      <c r="N30" s="48">
        <v>0</v>
      </c>
    </row>
    <row r="31" spans="1:14" ht="10.050000000000001" customHeight="1">
      <c r="A31" s="45" t="s">
        <v>83</v>
      </c>
      <c r="B31" s="46">
        <v>2000</v>
      </c>
      <c r="C31" s="45" t="s">
        <v>108</v>
      </c>
      <c r="D31" s="47">
        <v>7</v>
      </c>
      <c r="E31" s="48">
        <v>0</v>
      </c>
      <c r="F31" s="48">
        <v>0</v>
      </c>
      <c r="G31" s="48">
        <v>0</v>
      </c>
      <c r="H31" s="48">
        <v>10.6</v>
      </c>
      <c r="I31" s="48">
        <v>0</v>
      </c>
      <c r="J31" s="48">
        <v>10.6</v>
      </c>
      <c r="K31" s="48">
        <v>0</v>
      </c>
      <c r="L31" s="48">
        <v>0</v>
      </c>
      <c r="M31" s="48">
        <v>0</v>
      </c>
      <c r="N31" s="48">
        <v>0</v>
      </c>
    </row>
    <row r="32" spans="1:14" ht="10.050000000000001" customHeight="1">
      <c r="A32" s="45" t="s">
        <v>82</v>
      </c>
      <c r="B32" s="46">
        <v>2000</v>
      </c>
      <c r="C32" s="45" t="s">
        <v>108</v>
      </c>
      <c r="D32" s="47">
        <v>7</v>
      </c>
      <c r="E32" s="48">
        <v>0</v>
      </c>
      <c r="F32" s="48">
        <v>0</v>
      </c>
      <c r="G32" s="48">
        <v>0</v>
      </c>
      <c r="H32" s="48">
        <v>56.8</v>
      </c>
      <c r="I32" s="48">
        <v>0</v>
      </c>
      <c r="J32" s="48">
        <v>56.8</v>
      </c>
      <c r="K32" s="48">
        <v>0</v>
      </c>
      <c r="L32" s="48">
        <v>0</v>
      </c>
      <c r="M32" s="48">
        <v>0</v>
      </c>
      <c r="N32" s="48">
        <v>0</v>
      </c>
    </row>
    <row r="33" spans="1:14" ht="10.050000000000001" customHeight="1">
      <c r="A33" s="45" t="s">
        <v>81</v>
      </c>
      <c r="B33" s="46">
        <v>2000</v>
      </c>
      <c r="C33" s="45" t="s">
        <v>108</v>
      </c>
      <c r="D33" s="47">
        <v>7</v>
      </c>
      <c r="E33" s="48">
        <v>0</v>
      </c>
      <c r="F33" s="48">
        <v>0</v>
      </c>
      <c r="G33" s="48">
        <v>0</v>
      </c>
      <c r="H33" s="48">
        <v>182.5</v>
      </c>
      <c r="I33" s="48">
        <v>0</v>
      </c>
      <c r="J33" s="48">
        <v>182.5</v>
      </c>
      <c r="K33" s="48">
        <v>0</v>
      </c>
      <c r="L33" s="48">
        <v>0</v>
      </c>
      <c r="M33" s="48">
        <v>0</v>
      </c>
      <c r="N33" s="48">
        <v>0</v>
      </c>
    </row>
    <row r="34" spans="1:14" ht="10.050000000000001" customHeight="1">
      <c r="A34" s="45" t="s">
        <v>80</v>
      </c>
      <c r="B34" s="46">
        <v>2000</v>
      </c>
      <c r="C34" s="45" t="s">
        <v>115</v>
      </c>
      <c r="D34" s="47">
        <v>10</v>
      </c>
      <c r="E34" s="48">
        <v>0</v>
      </c>
      <c r="F34" s="48">
        <v>0</v>
      </c>
      <c r="G34" s="48">
        <v>0</v>
      </c>
      <c r="H34" s="48">
        <v>37.1</v>
      </c>
      <c r="I34" s="48">
        <v>0</v>
      </c>
      <c r="J34" s="48">
        <v>37.1</v>
      </c>
      <c r="K34" s="48">
        <v>0</v>
      </c>
      <c r="L34" s="48">
        <v>0</v>
      </c>
      <c r="M34" s="48">
        <v>0</v>
      </c>
      <c r="N34" s="48">
        <v>0</v>
      </c>
    </row>
    <row r="35" spans="1:14" ht="10.050000000000001" customHeight="1">
      <c r="A35" s="45" t="s">
        <v>80</v>
      </c>
      <c r="B35" s="46">
        <v>2000</v>
      </c>
      <c r="C35" s="45" t="s">
        <v>115</v>
      </c>
      <c r="D35" s="47">
        <v>12</v>
      </c>
      <c r="E35" s="48">
        <v>0</v>
      </c>
      <c r="F35" s="48">
        <v>0</v>
      </c>
      <c r="G35" s="48">
        <v>0</v>
      </c>
      <c r="H35" s="48">
        <v>5.8</v>
      </c>
      <c r="I35" s="48">
        <v>0</v>
      </c>
      <c r="J35" s="48">
        <v>5.8</v>
      </c>
      <c r="K35" s="48">
        <v>0</v>
      </c>
      <c r="L35" s="48">
        <v>0</v>
      </c>
      <c r="M35" s="48">
        <v>0</v>
      </c>
      <c r="N35" s="48">
        <v>0</v>
      </c>
    </row>
    <row r="36" spans="1:14" ht="10.050000000000001" customHeight="1">
      <c r="A36" s="45" t="s">
        <v>80</v>
      </c>
      <c r="B36" s="46">
        <v>2001</v>
      </c>
      <c r="C36" s="45" t="s">
        <v>107</v>
      </c>
      <c r="D36" s="47">
        <v>1</v>
      </c>
      <c r="E36" s="48">
        <v>80723.3</v>
      </c>
      <c r="F36" s="48">
        <v>3.5</v>
      </c>
      <c r="G36" s="48">
        <v>80726.8</v>
      </c>
      <c r="H36" s="48">
        <v>1015083.9</v>
      </c>
      <c r="I36" s="48">
        <v>4617</v>
      </c>
      <c r="J36" s="48">
        <v>1019700.9</v>
      </c>
      <c r="K36" s="48">
        <v>119161.2</v>
      </c>
      <c r="L36" s="48">
        <v>11123.3</v>
      </c>
      <c r="M36" s="48">
        <v>44640.4</v>
      </c>
      <c r="N36" s="48">
        <v>465</v>
      </c>
    </row>
    <row r="37" spans="1:14" ht="10.050000000000001" customHeight="1">
      <c r="A37" s="45" t="s">
        <v>83</v>
      </c>
      <c r="B37" s="46">
        <v>2001</v>
      </c>
      <c r="C37" s="45" t="s">
        <v>107</v>
      </c>
      <c r="D37" s="47">
        <v>1</v>
      </c>
      <c r="E37" s="48">
        <v>1985.9</v>
      </c>
      <c r="F37" s="48">
        <v>76.5</v>
      </c>
      <c r="G37" s="48">
        <v>2062.4</v>
      </c>
      <c r="H37" s="48">
        <v>4023.5</v>
      </c>
      <c r="I37" s="48">
        <v>644.6</v>
      </c>
      <c r="J37" s="48">
        <v>4668.1000000000004</v>
      </c>
      <c r="K37" s="48">
        <v>102.8</v>
      </c>
      <c r="L37" s="48">
        <v>12.9</v>
      </c>
      <c r="M37" s="48">
        <v>61.5</v>
      </c>
      <c r="N37" s="48">
        <v>0</v>
      </c>
    </row>
    <row r="38" spans="1:14" ht="10.050000000000001" customHeight="1">
      <c r="A38" s="45" t="s">
        <v>82</v>
      </c>
      <c r="B38" s="46">
        <v>2001</v>
      </c>
      <c r="C38" s="45" t="s">
        <v>107</v>
      </c>
      <c r="D38" s="47">
        <v>1</v>
      </c>
      <c r="E38" s="48">
        <v>3767.5</v>
      </c>
      <c r="F38" s="48">
        <v>44.6</v>
      </c>
      <c r="G38" s="48">
        <v>3812.1</v>
      </c>
      <c r="H38" s="48">
        <v>83933.9</v>
      </c>
      <c r="I38" s="48">
        <v>3553.8</v>
      </c>
      <c r="J38" s="48">
        <v>87487.7</v>
      </c>
      <c r="K38" s="48">
        <v>4177.2</v>
      </c>
      <c r="L38" s="48">
        <v>133.6</v>
      </c>
      <c r="M38" s="48">
        <v>2245.1999999999998</v>
      </c>
      <c r="N38" s="48">
        <v>11.8</v>
      </c>
    </row>
    <row r="39" spans="1:14" ht="10.050000000000001" customHeight="1">
      <c r="A39" s="45" t="s">
        <v>81</v>
      </c>
      <c r="B39" s="46">
        <v>2001</v>
      </c>
      <c r="C39" s="45" t="s">
        <v>107</v>
      </c>
      <c r="D39" s="47">
        <v>1</v>
      </c>
      <c r="E39" s="48">
        <v>36024.400000000001</v>
      </c>
      <c r="F39" s="48">
        <v>583.5</v>
      </c>
      <c r="G39" s="48">
        <v>36607.9</v>
      </c>
      <c r="H39" s="48">
        <v>882623.6</v>
      </c>
      <c r="I39" s="48">
        <v>3946.5</v>
      </c>
      <c r="J39" s="48">
        <v>886570.10000000102</v>
      </c>
      <c r="K39" s="48">
        <v>94082.2</v>
      </c>
      <c r="L39" s="48">
        <v>1709.2</v>
      </c>
      <c r="M39" s="48">
        <v>26931.5</v>
      </c>
      <c r="N39" s="48">
        <v>765.1</v>
      </c>
    </row>
    <row r="40" spans="1:14" ht="10.050000000000001" customHeight="1">
      <c r="A40" s="45" t="s">
        <v>80</v>
      </c>
      <c r="B40" s="46">
        <v>2001</v>
      </c>
      <c r="C40" s="45" t="s">
        <v>107</v>
      </c>
      <c r="D40" s="47">
        <v>2</v>
      </c>
      <c r="E40" s="48">
        <v>56397.4</v>
      </c>
      <c r="F40" s="48">
        <v>2817.1</v>
      </c>
      <c r="G40" s="48">
        <v>59214.5</v>
      </c>
      <c r="H40" s="48">
        <v>831393.4</v>
      </c>
      <c r="I40" s="48">
        <v>7348</v>
      </c>
      <c r="J40" s="48">
        <v>838741.4</v>
      </c>
      <c r="K40" s="48">
        <v>93899.199999999997</v>
      </c>
      <c r="L40" s="48">
        <v>2036.9</v>
      </c>
      <c r="M40" s="48">
        <v>27119.4</v>
      </c>
      <c r="N40" s="48">
        <v>179.5</v>
      </c>
    </row>
    <row r="41" spans="1:14" ht="10.050000000000001" customHeight="1">
      <c r="A41" s="45" t="s">
        <v>83</v>
      </c>
      <c r="B41" s="46">
        <v>2001</v>
      </c>
      <c r="C41" s="45" t="s">
        <v>107</v>
      </c>
      <c r="D41" s="47">
        <v>2</v>
      </c>
      <c r="E41" s="48">
        <v>478.8</v>
      </c>
      <c r="F41" s="48">
        <v>269.2</v>
      </c>
      <c r="G41" s="48">
        <v>748</v>
      </c>
      <c r="H41" s="48">
        <v>3623.6</v>
      </c>
      <c r="I41" s="48">
        <v>872.5</v>
      </c>
      <c r="J41" s="48">
        <v>4496.1000000000004</v>
      </c>
      <c r="K41" s="48">
        <v>49</v>
      </c>
      <c r="L41" s="48">
        <v>0</v>
      </c>
      <c r="M41" s="48">
        <v>3.1</v>
      </c>
      <c r="N41" s="48">
        <v>50.7</v>
      </c>
    </row>
    <row r="42" spans="1:14" ht="10.050000000000001" customHeight="1">
      <c r="A42" s="45" t="s">
        <v>82</v>
      </c>
      <c r="B42" s="46">
        <v>2001</v>
      </c>
      <c r="C42" s="45" t="s">
        <v>107</v>
      </c>
      <c r="D42" s="47">
        <v>2</v>
      </c>
      <c r="E42" s="48">
        <v>1497.9</v>
      </c>
      <c r="F42" s="48">
        <v>0</v>
      </c>
      <c r="G42" s="48">
        <v>1497.9</v>
      </c>
      <c r="H42" s="48">
        <v>74114.899999999994</v>
      </c>
      <c r="I42" s="48">
        <v>2841.6</v>
      </c>
      <c r="J42" s="48">
        <v>76956.5</v>
      </c>
      <c r="K42" s="48">
        <v>3685.4</v>
      </c>
      <c r="L42" s="48">
        <v>27.1</v>
      </c>
      <c r="M42" s="48">
        <v>464.4</v>
      </c>
      <c r="N42" s="48">
        <v>63.5</v>
      </c>
    </row>
    <row r="43" spans="1:14" ht="10.050000000000001" customHeight="1">
      <c r="A43" s="45" t="s">
        <v>81</v>
      </c>
      <c r="B43" s="46">
        <v>2001</v>
      </c>
      <c r="C43" s="45" t="s">
        <v>107</v>
      </c>
      <c r="D43" s="47">
        <v>2</v>
      </c>
      <c r="E43" s="48">
        <v>20708.8</v>
      </c>
      <c r="F43" s="48">
        <v>1177.0999999999999</v>
      </c>
      <c r="G43" s="48">
        <v>21885.9</v>
      </c>
      <c r="H43" s="48">
        <v>790138.7</v>
      </c>
      <c r="I43" s="48">
        <v>4745.8999999999996</v>
      </c>
      <c r="J43" s="48">
        <v>794884.6</v>
      </c>
      <c r="K43" s="48">
        <v>81476.2</v>
      </c>
      <c r="L43" s="48">
        <v>808</v>
      </c>
      <c r="M43" s="48">
        <v>13065.4</v>
      </c>
      <c r="N43" s="48">
        <v>348.6</v>
      </c>
    </row>
    <row r="44" spans="1:14" ht="10.050000000000001" customHeight="1">
      <c r="A44" s="45" t="s">
        <v>80</v>
      </c>
      <c r="B44" s="46">
        <v>2001</v>
      </c>
      <c r="C44" s="45" t="s">
        <v>107</v>
      </c>
      <c r="D44" s="47">
        <v>3</v>
      </c>
      <c r="E44" s="48">
        <v>62387.9</v>
      </c>
      <c r="F44" s="48">
        <v>0</v>
      </c>
      <c r="G44" s="48">
        <v>62387.9</v>
      </c>
      <c r="H44" s="48">
        <v>671294.5</v>
      </c>
      <c r="I44" s="48">
        <v>7269.4</v>
      </c>
      <c r="J44" s="48">
        <v>678563.9</v>
      </c>
      <c r="K44" s="48">
        <v>58939.8</v>
      </c>
      <c r="L44" s="48">
        <v>2770.2</v>
      </c>
      <c r="M44" s="48">
        <v>36231.800000000003</v>
      </c>
      <c r="N44" s="48">
        <v>1497.8</v>
      </c>
    </row>
    <row r="45" spans="1:14" ht="10.050000000000001" customHeight="1">
      <c r="A45" s="45" t="s">
        <v>83</v>
      </c>
      <c r="B45" s="46">
        <v>2001</v>
      </c>
      <c r="C45" s="45" t="s">
        <v>107</v>
      </c>
      <c r="D45" s="47">
        <v>3</v>
      </c>
      <c r="E45" s="48">
        <v>317.3</v>
      </c>
      <c r="F45" s="48">
        <v>14.7</v>
      </c>
      <c r="G45" s="48">
        <v>332</v>
      </c>
      <c r="H45" s="48">
        <v>1889.3</v>
      </c>
      <c r="I45" s="48">
        <v>683.3</v>
      </c>
      <c r="J45" s="48">
        <v>2572.6</v>
      </c>
      <c r="K45" s="48">
        <v>40.1</v>
      </c>
      <c r="L45" s="48">
        <v>0</v>
      </c>
      <c r="M45" s="48">
        <v>8.9</v>
      </c>
      <c r="N45" s="48">
        <v>0</v>
      </c>
    </row>
    <row r="46" spans="1:14" ht="10.050000000000001" customHeight="1">
      <c r="A46" s="45" t="s">
        <v>82</v>
      </c>
      <c r="B46" s="46">
        <v>2001</v>
      </c>
      <c r="C46" s="45" t="s">
        <v>107</v>
      </c>
      <c r="D46" s="47">
        <v>3</v>
      </c>
      <c r="E46" s="48">
        <v>1697.2</v>
      </c>
      <c r="F46" s="48">
        <v>0</v>
      </c>
      <c r="G46" s="48">
        <v>1697.2</v>
      </c>
      <c r="H46" s="48">
        <v>66758.7</v>
      </c>
      <c r="I46" s="48">
        <v>2087.5</v>
      </c>
      <c r="J46" s="48">
        <v>68846.2</v>
      </c>
      <c r="K46" s="48">
        <v>2899.1</v>
      </c>
      <c r="L46" s="48">
        <v>0</v>
      </c>
      <c r="M46" s="48">
        <v>786.3</v>
      </c>
      <c r="N46" s="48">
        <v>0</v>
      </c>
    </row>
    <row r="47" spans="1:14" ht="10.050000000000001" customHeight="1">
      <c r="A47" s="45" t="s">
        <v>81</v>
      </c>
      <c r="B47" s="46">
        <v>2001</v>
      </c>
      <c r="C47" s="45" t="s">
        <v>107</v>
      </c>
      <c r="D47" s="47">
        <v>3</v>
      </c>
      <c r="E47" s="48">
        <v>40119.599999999999</v>
      </c>
      <c r="F47" s="48">
        <v>0</v>
      </c>
      <c r="G47" s="48">
        <v>40119.599999999999</v>
      </c>
      <c r="H47" s="48">
        <v>693981.7</v>
      </c>
      <c r="I47" s="48">
        <v>4504.3999999999996</v>
      </c>
      <c r="J47" s="48">
        <v>698486.1</v>
      </c>
      <c r="K47" s="48">
        <v>52923.1</v>
      </c>
      <c r="L47" s="48">
        <v>1425</v>
      </c>
      <c r="M47" s="48">
        <v>28900.799999999999</v>
      </c>
      <c r="N47" s="48">
        <v>1077.3</v>
      </c>
    </row>
    <row r="48" spans="1:14" ht="10.050000000000001" customHeight="1">
      <c r="A48" s="45" t="s">
        <v>80</v>
      </c>
      <c r="B48" s="46">
        <v>2001</v>
      </c>
      <c r="C48" s="45" t="s">
        <v>107</v>
      </c>
      <c r="D48" s="47">
        <v>4</v>
      </c>
      <c r="E48" s="48">
        <v>58561.5</v>
      </c>
      <c r="F48" s="48">
        <v>0</v>
      </c>
      <c r="G48" s="48">
        <v>58561.5</v>
      </c>
      <c r="H48" s="48">
        <v>474049.5</v>
      </c>
      <c r="I48" s="48">
        <v>7265.2</v>
      </c>
      <c r="J48" s="48">
        <v>481314.7</v>
      </c>
      <c r="K48" s="48">
        <v>30680.5</v>
      </c>
      <c r="L48" s="48">
        <v>2570.6</v>
      </c>
      <c r="M48" s="48">
        <v>29710</v>
      </c>
      <c r="N48" s="48">
        <v>1119.9000000000001</v>
      </c>
    </row>
    <row r="49" spans="1:14" ht="10.050000000000001" customHeight="1">
      <c r="A49" s="45" t="s">
        <v>83</v>
      </c>
      <c r="B49" s="46">
        <v>2001</v>
      </c>
      <c r="C49" s="45" t="s">
        <v>107</v>
      </c>
      <c r="D49" s="47">
        <v>4</v>
      </c>
      <c r="E49" s="48">
        <v>155.80000000000001</v>
      </c>
      <c r="F49" s="48">
        <v>0</v>
      </c>
      <c r="G49" s="48">
        <v>155.80000000000001</v>
      </c>
      <c r="H49" s="48">
        <v>1556.5</v>
      </c>
      <c r="I49" s="48">
        <v>603.6</v>
      </c>
      <c r="J49" s="48">
        <v>2160.1</v>
      </c>
      <c r="K49" s="48">
        <v>40.1</v>
      </c>
      <c r="L49" s="48">
        <v>0</v>
      </c>
      <c r="M49" s="48">
        <v>0</v>
      </c>
      <c r="N49" s="48">
        <v>0</v>
      </c>
    </row>
    <row r="50" spans="1:14" ht="10.050000000000001" customHeight="1">
      <c r="A50" s="45" t="s">
        <v>82</v>
      </c>
      <c r="B50" s="46">
        <v>2001</v>
      </c>
      <c r="C50" s="45" t="s">
        <v>107</v>
      </c>
      <c r="D50" s="47">
        <v>4</v>
      </c>
      <c r="E50" s="48">
        <v>1874.8</v>
      </c>
      <c r="F50" s="48">
        <v>18.5</v>
      </c>
      <c r="G50" s="48">
        <v>1893.3</v>
      </c>
      <c r="H50" s="48">
        <v>51015.4</v>
      </c>
      <c r="I50" s="48">
        <v>1279.9000000000001</v>
      </c>
      <c r="J50" s="48">
        <v>52295.3</v>
      </c>
      <c r="K50" s="48">
        <v>1569.2</v>
      </c>
      <c r="L50" s="48">
        <v>0</v>
      </c>
      <c r="M50" s="48">
        <v>1305.0999999999999</v>
      </c>
      <c r="N50" s="48">
        <v>24.8</v>
      </c>
    </row>
    <row r="51" spans="1:14" ht="10.050000000000001" customHeight="1">
      <c r="A51" s="45" t="s">
        <v>81</v>
      </c>
      <c r="B51" s="46">
        <v>2001</v>
      </c>
      <c r="C51" s="45" t="s">
        <v>107</v>
      </c>
      <c r="D51" s="47">
        <v>4</v>
      </c>
      <c r="E51" s="48">
        <v>37993.800000000003</v>
      </c>
      <c r="F51" s="48">
        <v>198.3</v>
      </c>
      <c r="G51" s="48">
        <v>38192.1</v>
      </c>
      <c r="H51" s="48">
        <v>592890.1</v>
      </c>
      <c r="I51" s="48">
        <v>4269.8</v>
      </c>
      <c r="J51" s="48">
        <v>597159.9</v>
      </c>
      <c r="K51" s="48">
        <v>29087.7</v>
      </c>
      <c r="L51" s="48">
        <v>896.9</v>
      </c>
      <c r="M51" s="48">
        <v>24128.3</v>
      </c>
      <c r="N51" s="48">
        <v>604</v>
      </c>
    </row>
    <row r="52" spans="1:14" ht="10.050000000000001" customHeight="1">
      <c r="A52" s="45" t="s">
        <v>80</v>
      </c>
      <c r="B52" s="46">
        <v>2001</v>
      </c>
      <c r="C52" s="45" t="s">
        <v>107</v>
      </c>
      <c r="D52" s="47">
        <v>5</v>
      </c>
      <c r="E52" s="48">
        <v>66763.600000000006</v>
      </c>
      <c r="F52" s="48">
        <v>402.9</v>
      </c>
      <c r="G52" s="48">
        <v>67166.5</v>
      </c>
      <c r="H52" s="48">
        <v>284627.5</v>
      </c>
      <c r="I52" s="48">
        <v>6983.3</v>
      </c>
      <c r="J52" s="48">
        <v>291610.8</v>
      </c>
      <c r="K52" s="48">
        <v>9069</v>
      </c>
      <c r="L52" s="48">
        <v>1922.7</v>
      </c>
      <c r="M52" s="48">
        <v>22857.1</v>
      </c>
      <c r="N52" s="48">
        <v>677.1</v>
      </c>
    </row>
    <row r="53" spans="1:14" ht="10.050000000000001" customHeight="1">
      <c r="A53" s="45" t="s">
        <v>83</v>
      </c>
      <c r="B53" s="46">
        <v>2001</v>
      </c>
      <c r="C53" s="45" t="s">
        <v>107</v>
      </c>
      <c r="D53" s="47">
        <v>5</v>
      </c>
      <c r="E53" s="48">
        <v>37.5</v>
      </c>
      <c r="F53" s="48">
        <v>0</v>
      </c>
      <c r="G53" s="48">
        <v>37.5</v>
      </c>
      <c r="H53" s="48">
        <v>1258</v>
      </c>
      <c r="I53" s="48">
        <v>527.1</v>
      </c>
      <c r="J53" s="48">
        <v>1785.1</v>
      </c>
      <c r="K53" s="48">
        <v>20</v>
      </c>
      <c r="L53" s="48">
        <v>0</v>
      </c>
      <c r="M53" s="48">
        <v>20.100000000000001</v>
      </c>
      <c r="N53" s="48">
        <v>0</v>
      </c>
    </row>
    <row r="54" spans="1:14" ht="10.050000000000001" customHeight="1">
      <c r="A54" s="45" t="s">
        <v>82</v>
      </c>
      <c r="B54" s="46">
        <v>2001</v>
      </c>
      <c r="C54" s="45" t="s">
        <v>107</v>
      </c>
      <c r="D54" s="47">
        <v>5</v>
      </c>
      <c r="E54" s="48">
        <v>1299.2</v>
      </c>
      <c r="F54" s="48">
        <v>433</v>
      </c>
      <c r="G54" s="48">
        <v>1732.2</v>
      </c>
      <c r="H54" s="48">
        <v>44359.4</v>
      </c>
      <c r="I54" s="48">
        <v>689</v>
      </c>
      <c r="J54" s="48">
        <v>45048.4</v>
      </c>
      <c r="K54" s="48">
        <v>956.7</v>
      </c>
      <c r="L54" s="48">
        <v>0</v>
      </c>
      <c r="M54" s="48">
        <v>572.9</v>
      </c>
      <c r="N54" s="48">
        <v>39.6</v>
      </c>
    </row>
    <row r="55" spans="1:14" ht="10.050000000000001" customHeight="1">
      <c r="A55" s="45" t="s">
        <v>81</v>
      </c>
      <c r="B55" s="46">
        <v>2001</v>
      </c>
      <c r="C55" s="45" t="s">
        <v>107</v>
      </c>
      <c r="D55" s="47">
        <v>5</v>
      </c>
      <c r="E55" s="48">
        <v>30673.8</v>
      </c>
      <c r="F55" s="48">
        <v>96.3</v>
      </c>
      <c r="G55" s="48">
        <v>30770.1</v>
      </c>
      <c r="H55" s="48">
        <v>435085.8</v>
      </c>
      <c r="I55" s="48">
        <v>4094.4</v>
      </c>
      <c r="J55" s="48">
        <v>439180.2</v>
      </c>
      <c r="K55" s="48">
        <v>12124.6</v>
      </c>
      <c r="L55" s="48">
        <v>1254</v>
      </c>
      <c r="M55" s="48">
        <v>17450.7</v>
      </c>
      <c r="N55" s="48">
        <v>766.4</v>
      </c>
    </row>
    <row r="56" spans="1:14" ht="10.050000000000001" customHeight="1">
      <c r="A56" s="45" t="s">
        <v>80</v>
      </c>
      <c r="B56" s="46">
        <v>2001</v>
      </c>
      <c r="C56" s="45" t="s">
        <v>107</v>
      </c>
      <c r="D56" s="47">
        <v>6</v>
      </c>
      <c r="E56" s="48">
        <v>39522.6</v>
      </c>
      <c r="F56" s="48">
        <v>498.5</v>
      </c>
      <c r="G56" s="48">
        <v>40021.1</v>
      </c>
      <c r="H56" s="48">
        <v>84612.4</v>
      </c>
      <c r="I56" s="48">
        <v>4608.7</v>
      </c>
      <c r="J56" s="48">
        <v>89221.1</v>
      </c>
      <c r="K56" s="48">
        <v>1240.0999999999999</v>
      </c>
      <c r="L56" s="48">
        <v>1028</v>
      </c>
      <c r="M56" s="48">
        <v>8152.3</v>
      </c>
      <c r="N56" s="48">
        <v>704.6</v>
      </c>
    </row>
    <row r="57" spans="1:14" ht="10.050000000000001" customHeight="1">
      <c r="A57" s="45" t="s">
        <v>83</v>
      </c>
      <c r="B57" s="46">
        <v>2001</v>
      </c>
      <c r="C57" s="45" t="s">
        <v>107</v>
      </c>
      <c r="D57" s="47">
        <v>6</v>
      </c>
      <c r="E57" s="48">
        <v>127.9</v>
      </c>
      <c r="F57" s="48">
        <v>238.1</v>
      </c>
      <c r="G57" s="48">
        <v>366</v>
      </c>
      <c r="H57" s="48">
        <v>877</v>
      </c>
      <c r="I57" s="48">
        <v>490</v>
      </c>
      <c r="J57" s="48">
        <v>1367</v>
      </c>
      <c r="K57" s="48">
        <v>0</v>
      </c>
      <c r="L57" s="48">
        <v>0</v>
      </c>
      <c r="M57" s="48">
        <v>20</v>
      </c>
      <c r="N57" s="48">
        <v>0</v>
      </c>
    </row>
    <row r="58" spans="1:14" ht="10.050000000000001" customHeight="1">
      <c r="A58" s="45" t="s">
        <v>82</v>
      </c>
      <c r="B58" s="46">
        <v>2001</v>
      </c>
      <c r="C58" s="45" t="s">
        <v>107</v>
      </c>
      <c r="D58" s="47">
        <v>6</v>
      </c>
      <c r="E58" s="48">
        <v>1211.3</v>
      </c>
      <c r="F58" s="48">
        <v>488.4</v>
      </c>
      <c r="G58" s="48">
        <v>1699.7</v>
      </c>
      <c r="H58" s="48">
        <v>16886.7</v>
      </c>
      <c r="I58" s="48">
        <v>904</v>
      </c>
      <c r="J58" s="48">
        <v>17790.7</v>
      </c>
      <c r="K58" s="48">
        <v>22.9</v>
      </c>
      <c r="L58" s="48">
        <v>0.8</v>
      </c>
      <c r="M58" s="48">
        <v>895</v>
      </c>
      <c r="N58" s="48">
        <v>39.6</v>
      </c>
    </row>
    <row r="59" spans="1:14" ht="10.050000000000001" customHeight="1">
      <c r="A59" s="45" t="s">
        <v>81</v>
      </c>
      <c r="B59" s="46">
        <v>2001</v>
      </c>
      <c r="C59" s="45" t="s">
        <v>107</v>
      </c>
      <c r="D59" s="47">
        <v>6</v>
      </c>
      <c r="E59" s="48">
        <v>23509.8</v>
      </c>
      <c r="F59" s="48">
        <v>622</v>
      </c>
      <c r="G59" s="48">
        <v>24131.8</v>
      </c>
      <c r="H59" s="48">
        <v>208030.8</v>
      </c>
      <c r="I59" s="48">
        <v>2495.6</v>
      </c>
      <c r="J59" s="48">
        <v>210526.4</v>
      </c>
      <c r="K59" s="48">
        <v>1696.9</v>
      </c>
      <c r="L59" s="48">
        <v>451.6</v>
      </c>
      <c r="M59" s="48">
        <v>10084.4</v>
      </c>
      <c r="N59" s="48">
        <v>794.9</v>
      </c>
    </row>
    <row r="60" spans="1:14" ht="10.050000000000001" customHeight="1">
      <c r="A60" s="45" t="s">
        <v>80</v>
      </c>
      <c r="B60" s="46">
        <v>2001</v>
      </c>
      <c r="C60" s="45" t="s">
        <v>110</v>
      </c>
      <c r="D60" s="47">
        <v>7</v>
      </c>
      <c r="E60" s="48">
        <v>1994207</v>
      </c>
      <c r="F60" s="48">
        <v>2402.6999999999998</v>
      </c>
      <c r="G60" s="48">
        <v>1996609.7</v>
      </c>
      <c r="H60" s="48">
        <v>1707005.4</v>
      </c>
      <c r="I60" s="48">
        <v>6490.6</v>
      </c>
      <c r="J60" s="48">
        <v>1713496</v>
      </c>
      <c r="K60" s="48">
        <v>306974.8</v>
      </c>
      <c r="L60" s="48">
        <v>327082.90000000002</v>
      </c>
      <c r="M60" s="48">
        <v>21309.8</v>
      </c>
      <c r="N60" s="48">
        <v>38.4</v>
      </c>
    </row>
    <row r="61" spans="1:14" ht="10.050000000000001" customHeight="1">
      <c r="A61" s="45" t="s">
        <v>83</v>
      </c>
      <c r="B61" s="46">
        <v>2001</v>
      </c>
      <c r="C61" s="45" t="s">
        <v>110</v>
      </c>
      <c r="D61" s="47">
        <v>7</v>
      </c>
      <c r="E61" s="48">
        <v>372.6</v>
      </c>
      <c r="F61" s="48">
        <v>0</v>
      </c>
      <c r="G61" s="48">
        <v>372.6</v>
      </c>
      <c r="H61" s="48">
        <v>932.3</v>
      </c>
      <c r="I61" s="48">
        <v>468</v>
      </c>
      <c r="J61" s="48">
        <v>1400.3</v>
      </c>
      <c r="K61" s="48">
        <v>0</v>
      </c>
      <c r="L61" s="48">
        <v>0</v>
      </c>
      <c r="M61" s="48">
        <v>0</v>
      </c>
      <c r="N61" s="48">
        <v>0</v>
      </c>
    </row>
    <row r="62" spans="1:14" ht="10.050000000000001" customHeight="1">
      <c r="A62" s="45" t="s">
        <v>82</v>
      </c>
      <c r="B62" s="46">
        <v>2001</v>
      </c>
      <c r="C62" s="45" t="s">
        <v>110</v>
      </c>
      <c r="D62" s="47">
        <v>7</v>
      </c>
      <c r="E62" s="48">
        <v>47.9</v>
      </c>
      <c r="F62" s="48">
        <v>0</v>
      </c>
      <c r="G62" s="48">
        <v>47.9</v>
      </c>
      <c r="H62" s="48">
        <v>8724.1</v>
      </c>
      <c r="I62" s="48">
        <v>906.4</v>
      </c>
      <c r="J62" s="48">
        <v>9630.5</v>
      </c>
      <c r="K62" s="48">
        <v>39.299999999999997</v>
      </c>
      <c r="L62" s="48">
        <v>16.399999999999999</v>
      </c>
      <c r="M62" s="48">
        <v>0</v>
      </c>
      <c r="N62" s="48">
        <v>0</v>
      </c>
    </row>
    <row r="63" spans="1:14" ht="10.050000000000001" customHeight="1">
      <c r="A63" s="45" t="s">
        <v>81</v>
      </c>
      <c r="B63" s="46">
        <v>2001</v>
      </c>
      <c r="C63" s="45" t="s">
        <v>110</v>
      </c>
      <c r="D63" s="47">
        <v>7</v>
      </c>
      <c r="E63" s="48">
        <v>2428.3000000000002</v>
      </c>
      <c r="F63" s="48">
        <v>0</v>
      </c>
      <c r="G63" s="48">
        <v>2428.3000000000002</v>
      </c>
      <c r="H63" s="48">
        <v>102694.7</v>
      </c>
      <c r="I63" s="48">
        <v>2482.6999999999998</v>
      </c>
      <c r="J63" s="48">
        <v>105177.4</v>
      </c>
      <c r="K63" s="48">
        <v>1143.8</v>
      </c>
      <c r="L63" s="48">
        <v>52.7</v>
      </c>
      <c r="M63" s="48">
        <v>202.8</v>
      </c>
      <c r="N63" s="48">
        <v>403</v>
      </c>
    </row>
    <row r="64" spans="1:14" ht="10.050000000000001" customHeight="1">
      <c r="A64" s="45" t="s">
        <v>80</v>
      </c>
      <c r="B64" s="46">
        <v>2001</v>
      </c>
      <c r="C64" s="45" t="s">
        <v>110</v>
      </c>
      <c r="D64" s="47">
        <v>8</v>
      </c>
      <c r="E64" s="48">
        <v>305758.09999999998</v>
      </c>
      <c r="F64" s="48">
        <v>1136.8</v>
      </c>
      <c r="G64" s="48">
        <v>306894.90000000002</v>
      </c>
      <c r="H64" s="48">
        <v>1764297.1</v>
      </c>
      <c r="I64" s="48">
        <v>6467.8</v>
      </c>
      <c r="J64" s="48">
        <v>1770764.9</v>
      </c>
      <c r="K64" s="48">
        <v>229073</v>
      </c>
      <c r="L64" s="48">
        <v>39200.199999999997</v>
      </c>
      <c r="M64" s="48">
        <v>115890.2</v>
      </c>
      <c r="N64" s="48">
        <v>1211.8</v>
      </c>
    </row>
    <row r="65" spans="1:14" ht="10.050000000000001" customHeight="1">
      <c r="A65" s="45" t="s">
        <v>83</v>
      </c>
      <c r="B65" s="46">
        <v>2001</v>
      </c>
      <c r="C65" s="45" t="s">
        <v>110</v>
      </c>
      <c r="D65" s="47">
        <v>8</v>
      </c>
      <c r="E65" s="48">
        <v>2784.9</v>
      </c>
      <c r="F65" s="48">
        <v>0</v>
      </c>
      <c r="G65" s="48">
        <v>2784.9</v>
      </c>
      <c r="H65" s="48">
        <v>2660.9</v>
      </c>
      <c r="I65" s="48">
        <v>407.2</v>
      </c>
      <c r="J65" s="48">
        <v>3068.1</v>
      </c>
      <c r="K65" s="48">
        <v>11.5</v>
      </c>
      <c r="L65" s="48">
        <v>11.5</v>
      </c>
      <c r="M65" s="48">
        <v>0</v>
      </c>
      <c r="N65" s="48">
        <v>0</v>
      </c>
    </row>
    <row r="66" spans="1:14" ht="10.050000000000001" customHeight="1">
      <c r="A66" s="45" t="s">
        <v>82</v>
      </c>
      <c r="B66" s="46">
        <v>2001</v>
      </c>
      <c r="C66" s="45" t="s">
        <v>110</v>
      </c>
      <c r="D66" s="47">
        <v>8</v>
      </c>
      <c r="E66" s="48">
        <v>323.3</v>
      </c>
      <c r="F66" s="48">
        <v>0</v>
      </c>
      <c r="G66" s="48">
        <v>323.3</v>
      </c>
      <c r="H66" s="48">
        <v>4667</v>
      </c>
      <c r="I66" s="48">
        <v>918.5</v>
      </c>
      <c r="J66" s="48">
        <v>5585.5</v>
      </c>
      <c r="K66" s="48">
        <v>27.1</v>
      </c>
      <c r="L66" s="48">
        <v>8.3000000000000007</v>
      </c>
      <c r="M66" s="48">
        <v>0</v>
      </c>
      <c r="N66" s="48">
        <v>20.5</v>
      </c>
    </row>
    <row r="67" spans="1:14" ht="10.050000000000001" customHeight="1">
      <c r="A67" s="45" t="s">
        <v>81</v>
      </c>
      <c r="B67" s="46">
        <v>2001</v>
      </c>
      <c r="C67" s="45" t="s">
        <v>110</v>
      </c>
      <c r="D67" s="47">
        <v>8</v>
      </c>
      <c r="E67" s="48">
        <v>25379</v>
      </c>
      <c r="F67" s="48">
        <v>0</v>
      </c>
      <c r="G67" s="48">
        <v>25379</v>
      </c>
      <c r="H67" s="48">
        <v>62404.2</v>
      </c>
      <c r="I67" s="48">
        <v>2485.1</v>
      </c>
      <c r="J67" s="48">
        <v>64889.3</v>
      </c>
      <c r="K67" s="48">
        <v>2145.1999999999998</v>
      </c>
      <c r="L67" s="48">
        <v>1374.4</v>
      </c>
      <c r="M67" s="48">
        <v>45.7</v>
      </c>
      <c r="N67" s="48">
        <v>373</v>
      </c>
    </row>
    <row r="68" spans="1:14" ht="10.050000000000001" customHeight="1">
      <c r="A68" s="45" t="s">
        <v>80</v>
      </c>
      <c r="B68" s="46">
        <v>2001</v>
      </c>
      <c r="C68" s="45" t="s">
        <v>110</v>
      </c>
      <c r="D68" s="47">
        <v>9</v>
      </c>
      <c r="E68" s="48">
        <v>96811.199999999997</v>
      </c>
      <c r="F68" s="48">
        <v>28.8</v>
      </c>
      <c r="G68" s="48">
        <v>96840</v>
      </c>
      <c r="H68" s="48">
        <v>1636772.2</v>
      </c>
      <c r="I68" s="48">
        <v>5961.2</v>
      </c>
      <c r="J68" s="48">
        <v>1642733.4</v>
      </c>
      <c r="K68" s="48">
        <v>171458.2</v>
      </c>
      <c r="L68" s="48">
        <v>2402.9</v>
      </c>
      <c r="M68" s="48">
        <v>59148.1</v>
      </c>
      <c r="N68" s="48">
        <v>869.6</v>
      </c>
    </row>
    <row r="69" spans="1:14" ht="10.050000000000001" customHeight="1">
      <c r="A69" s="45" t="s">
        <v>83</v>
      </c>
      <c r="B69" s="46">
        <v>2001</v>
      </c>
      <c r="C69" s="45" t="s">
        <v>110</v>
      </c>
      <c r="D69" s="47">
        <v>9</v>
      </c>
      <c r="E69" s="48">
        <v>1766.3</v>
      </c>
      <c r="F69" s="48">
        <v>26</v>
      </c>
      <c r="G69" s="48">
        <v>1792.3</v>
      </c>
      <c r="H69" s="48">
        <v>3294.3</v>
      </c>
      <c r="I69" s="48">
        <v>402.4</v>
      </c>
      <c r="J69" s="48">
        <v>3696.7</v>
      </c>
      <c r="K69" s="48">
        <v>19.3</v>
      </c>
      <c r="L69" s="48">
        <v>7.8</v>
      </c>
      <c r="M69" s="48">
        <v>0</v>
      </c>
      <c r="N69" s="48">
        <v>0</v>
      </c>
    </row>
    <row r="70" spans="1:14" ht="10.050000000000001" customHeight="1">
      <c r="A70" s="45" t="s">
        <v>82</v>
      </c>
      <c r="B70" s="46">
        <v>2001</v>
      </c>
      <c r="C70" s="45" t="s">
        <v>110</v>
      </c>
      <c r="D70" s="47">
        <v>9</v>
      </c>
      <c r="E70" s="48">
        <v>52734.400000000001</v>
      </c>
      <c r="F70" s="48">
        <v>2467.9</v>
      </c>
      <c r="G70" s="48">
        <v>55202.3</v>
      </c>
      <c r="H70" s="48">
        <v>52626.8</v>
      </c>
      <c r="I70" s="48">
        <v>3375.5</v>
      </c>
      <c r="J70" s="48">
        <v>56002.3</v>
      </c>
      <c r="K70" s="48">
        <v>2417.6999999999998</v>
      </c>
      <c r="L70" s="48">
        <v>2423.1</v>
      </c>
      <c r="M70" s="48">
        <v>22.1</v>
      </c>
      <c r="N70" s="48">
        <v>10.4</v>
      </c>
    </row>
    <row r="71" spans="1:14" ht="10.050000000000001" customHeight="1">
      <c r="A71" s="45" t="s">
        <v>81</v>
      </c>
      <c r="B71" s="46">
        <v>2001</v>
      </c>
      <c r="C71" s="45" t="s">
        <v>110</v>
      </c>
      <c r="D71" s="47">
        <v>9</v>
      </c>
      <c r="E71" s="48">
        <v>714522.7</v>
      </c>
      <c r="F71" s="48">
        <v>182.1</v>
      </c>
      <c r="G71" s="48">
        <v>714704.8</v>
      </c>
      <c r="H71" s="48">
        <v>606724.1</v>
      </c>
      <c r="I71" s="48">
        <v>2667</v>
      </c>
      <c r="J71" s="48">
        <v>609391.1</v>
      </c>
      <c r="K71" s="48">
        <v>67674.5</v>
      </c>
      <c r="L71" s="48">
        <v>68192</v>
      </c>
      <c r="M71" s="48">
        <v>2571.4</v>
      </c>
      <c r="N71" s="48">
        <v>91.3</v>
      </c>
    </row>
    <row r="72" spans="1:14" ht="10.050000000000001" customHeight="1">
      <c r="A72" s="45" t="s">
        <v>80</v>
      </c>
      <c r="B72" s="46">
        <v>2001</v>
      </c>
      <c r="C72" s="45" t="s">
        <v>110</v>
      </c>
      <c r="D72" s="47">
        <v>10</v>
      </c>
      <c r="E72" s="48">
        <v>38394.800000000003</v>
      </c>
      <c r="F72" s="48">
        <v>8.4</v>
      </c>
      <c r="G72" s="48">
        <v>38403.199999999997</v>
      </c>
      <c r="H72" s="48">
        <v>1505701</v>
      </c>
      <c r="I72" s="48">
        <v>5762</v>
      </c>
      <c r="J72" s="48">
        <v>1511463</v>
      </c>
      <c r="K72" s="48">
        <v>147246.79999999999</v>
      </c>
      <c r="L72" s="48">
        <v>612</v>
      </c>
      <c r="M72" s="48">
        <v>24362.799999999999</v>
      </c>
      <c r="N72" s="48">
        <v>460.6</v>
      </c>
    </row>
    <row r="73" spans="1:14" ht="10.050000000000001" customHeight="1">
      <c r="A73" s="45" t="s">
        <v>83</v>
      </c>
      <c r="B73" s="46">
        <v>2001</v>
      </c>
      <c r="C73" s="45" t="s">
        <v>110</v>
      </c>
      <c r="D73" s="47">
        <v>10</v>
      </c>
      <c r="E73" s="48">
        <v>745.2</v>
      </c>
      <c r="F73" s="48">
        <v>56.8</v>
      </c>
      <c r="G73" s="48">
        <v>802</v>
      </c>
      <c r="H73" s="48">
        <v>3188.4</v>
      </c>
      <c r="I73" s="48">
        <v>370.8</v>
      </c>
      <c r="J73" s="48">
        <v>3559.2</v>
      </c>
      <c r="K73" s="48">
        <v>13.6</v>
      </c>
      <c r="L73" s="48">
        <v>0</v>
      </c>
      <c r="M73" s="48">
        <v>5.7</v>
      </c>
      <c r="N73" s="48">
        <v>0</v>
      </c>
    </row>
    <row r="74" spans="1:14" ht="10.050000000000001" customHeight="1">
      <c r="A74" s="45" t="s">
        <v>82</v>
      </c>
      <c r="B74" s="46">
        <v>2001</v>
      </c>
      <c r="C74" s="45" t="s">
        <v>110</v>
      </c>
      <c r="D74" s="47">
        <v>10</v>
      </c>
      <c r="E74" s="48">
        <v>167860.4</v>
      </c>
      <c r="F74" s="48">
        <v>3277.1</v>
      </c>
      <c r="G74" s="48">
        <v>171137.5</v>
      </c>
      <c r="H74" s="48">
        <v>195807.6</v>
      </c>
      <c r="I74" s="48">
        <v>6622.7</v>
      </c>
      <c r="J74" s="48">
        <v>202430.3</v>
      </c>
      <c r="K74" s="48">
        <v>8157.3</v>
      </c>
      <c r="L74" s="48">
        <v>6165.8</v>
      </c>
      <c r="M74" s="48">
        <v>420.2</v>
      </c>
      <c r="N74" s="48">
        <v>6</v>
      </c>
    </row>
    <row r="75" spans="1:14" ht="10.050000000000001" customHeight="1">
      <c r="A75" s="45" t="s">
        <v>81</v>
      </c>
      <c r="B75" s="46">
        <v>2001</v>
      </c>
      <c r="C75" s="45" t="s">
        <v>110</v>
      </c>
      <c r="D75" s="47">
        <v>10</v>
      </c>
      <c r="E75" s="48">
        <v>438568.5</v>
      </c>
      <c r="F75" s="48">
        <v>922.3</v>
      </c>
      <c r="G75" s="48">
        <v>439490.8</v>
      </c>
      <c r="H75" s="48">
        <v>805592.7</v>
      </c>
      <c r="I75" s="48">
        <v>3578.7</v>
      </c>
      <c r="J75" s="48">
        <v>809171.4</v>
      </c>
      <c r="K75" s="48">
        <v>95964.4</v>
      </c>
      <c r="L75" s="48">
        <v>47099.6</v>
      </c>
      <c r="M75" s="48">
        <v>18098.900000000001</v>
      </c>
      <c r="N75" s="48">
        <v>641</v>
      </c>
    </row>
    <row r="76" spans="1:14" ht="10.050000000000001" customHeight="1">
      <c r="A76" s="45" t="s">
        <v>80</v>
      </c>
      <c r="B76" s="46">
        <v>2001</v>
      </c>
      <c r="C76" s="45" t="s">
        <v>110</v>
      </c>
      <c r="D76" s="47">
        <v>11</v>
      </c>
      <c r="E76" s="48">
        <v>45084.9</v>
      </c>
      <c r="F76" s="48">
        <v>277.7</v>
      </c>
      <c r="G76" s="48">
        <v>45362.6</v>
      </c>
      <c r="H76" s="48">
        <v>1382851.8</v>
      </c>
      <c r="I76" s="48">
        <v>5595.8</v>
      </c>
      <c r="J76" s="48">
        <v>1388447.6</v>
      </c>
      <c r="K76" s="48">
        <v>122413</v>
      </c>
      <c r="L76" s="48">
        <v>3235</v>
      </c>
      <c r="M76" s="48">
        <v>27665.3</v>
      </c>
      <c r="N76" s="48">
        <v>403.5</v>
      </c>
    </row>
    <row r="77" spans="1:14" ht="10.050000000000001" customHeight="1">
      <c r="A77" s="45" t="s">
        <v>83</v>
      </c>
      <c r="B77" s="46">
        <v>2001</v>
      </c>
      <c r="C77" s="45" t="s">
        <v>110</v>
      </c>
      <c r="D77" s="47">
        <v>11</v>
      </c>
      <c r="E77" s="48">
        <v>469.7</v>
      </c>
      <c r="F77" s="48">
        <v>8.1</v>
      </c>
      <c r="G77" s="48">
        <v>477.8</v>
      </c>
      <c r="H77" s="48">
        <v>2705.7</v>
      </c>
      <c r="I77" s="48">
        <v>304.7</v>
      </c>
      <c r="J77" s="48">
        <v>3010.4</v>
      </c>
      <c r="K77" s="48">
        <v>20.2</v>
      </c>
      <c r="L77" s="48">
        <v>6.6</v>
      </c>
      <c r="M77" s="48">
        <v>0</v>
      </c>
      <c r="N77" s="48">
        <v>0</v>
      </c>
    </row>
    <row r="78" spans="1:14" ht="10.050000000000001" customHeight="1">
      <c r="A78" s="45" t="s">
        <v>82</v>
      </c>
      <c r="B78" s="46">
        <v>2001</v>
      </c>
      <c r="C78" s="45" t="s">
        <v>110</v>
      </c>
      <c r="D78" s="47">
        <v>11</v>
      </c>
      <c r="E78" s="48">
        <v>15007</v>
      </c>
      <c r="F78" s="48">
        <v>2660.3</v>
      </c>
      <c r="G78" s="48">
        <v>17667.3</v>
      </c>
      <c r="H78" s="48">
        <v>196280.5</v>
      </c>
      <c r="I78" s="48">
        <v>7230</v>
      </c>
      <c r="J78" s="48">
        <v>203510.5</v>
      </c>
      <c r="K78" s="48">
        <v>6081.7</v>
      </c>
      <c r="L78" s="48">
        <v>726.5</v>
      </c>
      <c r="M78" s="48">
        <v>2617.6999999999998</v>
      </c>
      <c r="N78" s="48">
        <v>184.4</v>
      </c>
    </row>
    <row r="79" spans="1:14" ht="10.050000000000001" customHeight="1">
      <c r="A79" s="45" t="s">
        <v>81</v>
      </c>
      <c r="B79" s="46">
        <v>2001</v>
      </c>
      <c r="C79" s="45" t="s">
        <v>110</v>
      </c>
      <c r="D79" s="47">
        <v>11</v>
      </c>
      <c r="E79" s="48">
        <v>77938.7</v>
      </c>
      <c r="F79" s="48">
        <v>7</v>
      </c>
      <c r="G79" s="48">
        <v>77945.7</v>
      </c>
      <c r="H79" s="48">
        <v>738382.8</v>
      </c>
      <c r="I79" s="48">
        <v>3577.6</v>
      </c>
      <c r="J79" s="48">
        <v>741960.4</v>
      </c>
      <c r="K79" s="48">
        <v>75594.899999999994</v>
      </c>
      <c r="L79" s="48">
        <v>6043.5</v>
      </c>
      <c r="M79" s="48">
        <v>25644.1</v>
      </c>
      <c r="N79" s="48">
        <v>768.9</v>
      </c>
    </row>
    <row r="80" spans="1:14" ht="10.050000000000001" customHeight="1">
      <c r="A80" s="45" t="s">
        <v>80</v>
      </c>
      <c r="B80" s="46">
        <v>2001</v>
      </c>
      <c r="C80" s="45" t="s">
        <v>110</v>
      </c>
      <c r="D80" s="47">
        <v>12</v>
      </c>
      <c r="E80" s="48">
        <v>53117.4</v>
      </c>
      <c r="F80" s="48">
        <v>36.200000000000003</v>
      </c>
      <c r="G80" s="48">
        <v>53153.599999999999</v>
      </c>
      <c r="H80" s="48">
        <v>1258721.1000000001</v>
      </c>
      <c r="I80" s="48">
        <v>5490.1</v>
      </c>
      <c r="J80" s="48">
        <v>1264211.2</v>
      </c>
      <c r="K80" s="48">
        <v>96788</v>
      </c>
      <c r="L80" s="48">
        <v>7497.5</v>
      </c>
      <c r="M80" s="48">
        <v>31055.200000000001</v>
      </c>
      <c r="N80" s="48">
        <v>2067.3000000000002</v>
      </c>
    </row>
    <row r="81" spans="1:14" ht="10.050000000000001" customHeight="1">
      <c r="A81" s="45" t="s">
        <v>83</v>
      </c>
      <c r="B81" s="46">
        <v>2001</v>
      </c>
      <c r="C81" s="45" t="s">
        <v>110</v>
      </c>
      <c r="D81" s="47">
        <v>12</v>
      </c>
      <c r="E81" s="48">
        <v>140.9</v>
      </c>
      <c r="F81" s="48">
        <v>13.4</v>
      </c>
      <c r="G81" s="48">
        <v>154.30000000000001</v>
      </c>
      <c r="H81" s="48">
        <v>2324.1</v>
      </c>
      <c r="I81" s="48">
        <v>317.5</v>
      </c>
      <c r="J81" s="48">
        <v>2641.6</v>
      </c>
      <c r="K81" s="48">
        <v>20.2</v>
      </c>
      <c r="L81" s="48">
        <v>0</v>
      </c>
      <c r="M81" s="48">
        <v>0</v>
      </c>
      <c r="N81" s="48">
        <v>0</v>
      </c>
    </row>
    <row r="82" spans="1:14" ht="10.050000000000001" customHeight="1">
      <c r="A82" s="45" t="s">
        <v>82</v>
      </c>
      <c r="B82" s="46">
        <v>2001</v>
      </c>
      <c r="C82" s="45" t="s">
        <v>110</v>
      </c>
      <c r="D82" s="47">
        <v>12</v>
      </c>
      <c r="E82" s="48">
        <v>3098.3</v>
      </c>
      <c r="F82" s="48">
        <v>249</v>
      </c>
      <c r="G82" s="48">
        <v>3347.3</v>
      </c>
      <c r="H82" s="48">
        <v>176054.5</v>
      </c>
      <c r="I82" s="48">
        <v>6835.8</v>
      </c>
      <c r="J82" s="48">
        <v>182890.3</v>
      </c>
      <c r="K82" s="48">
        <v>5670.6</v>
      </c>
      <c r="L82" s="48">
        <v>161.5</v>
      </c>
      <c r="M82" s="48">
        <v>557.6</v>
      </c>
      <c r="N82" s="48">
        <v>15</v>
      </c>
    </row>
    <row r="83" spans="1:14" ht="10.050000000000001" customHeight="1">
      <c r="A83" s="45" t="s">
        <v>81</v>
      </c>
      <c r="B83" s="46">
        <v>2001</v>
      </c>
      <c r="C83" s="45" t="s">
        <v>110</v>
      </c>
      <c r="D83" s="47">
        <v>12</v>
      </c>
      <c r="E83" s="48">
        <v>37415.199999999997</v>
      </c>
      <c r="F83" s="48">
        <v>329.8</v>
      </c>
      <c r="G83" s="48">
        <v>37745</v>
      </c>
      <c r="H83" s="48">
        <v>651674.6</v>
      </c>
      <c r="I83" s="48">
        <v>3516.7</v>
      </c>
      <c r="J83" s="48">
        <v>655191.30000000005</v>
      </c>
      <c r="K83" s="48">
        <v>54593.5</v>
      </c>
      <c r="L83" s="48">
        <v>2303.6</v>
      </c>
      <c r="M83" s="48">
        <v>22923.3</v>
      </c>
      <c r="N83" s="48">
        <v>381.7</v>
      </c>
    </row>
    <row r="84" spans="1:14" ht="10.050000000000001" customHeight="1">
      <c r="A84" s="45" t="s">
        <v>80</v>
      </c>
      <c r="B84" s="46">
        <v>2001</v>
      </c>
      <c r="C84" s="45" t="s">
        <v>111</v>
      </c>
      <c r="D84" s="47">
        <v>2</v>
      </c>
      <c r="E84" s="48">
        <v>0</v>
      </c>
      <c r="F84" s="48">
        <v>0</v>
      </c>
      <c r="G84" s="48">
        <v>0</v>
      </c>
      <c r="H84" s="48">
        <v>0</v>
      </c>
      <c r="I84" s="48">
        <v>0</v>
      </c>
      <c r="J84" s="48">
        <v>0</v>
      </c>
      <c r="K84" s="48">
        <v>20.9</v>
      </c>
      <c r="L84" s="48">
        <v>0</v>
      </c>
      <c r="M84" s="48">
        <v>0</v>
      </c>
      <c r="N84" s="48">
        <v>0</v>
      </c>
    </row>
    <row r="85" spans="1:14" ht="10.050000000000001" customHeight="1">
      <c r="A85" s="45" t="s">
        <v>80</v>
      </c>
      <c r="B85" s="46">
        <v>2001</v>
      </c>
      <c r="C85" s="45" t="s">
        <v>108</v>
      </c>
      <c r="D85" s="47">
        <v>1</v>
      </c>
      <c r="E85" s="48">
        <v>0</v>
      </c>
      <c r="F85" s="48">
        <v>0</v>
      </c>
      <c r="G85" s="48">
        <v>0</v>
      </c>
      <c r="H85" s="48">
        <v>507.8</v>
      </c>
      <c r="I85" s="48">
        <v>0</v>
      </c>
      <c r="J85" s="48">
        <v>507.8</v>
      </c>
      <c r="K85" s="48">
        <v>91.9</v>
      </c>
      <c r="L85" s="48">
        <v>0</v>
      </c>
      <c r="M85" s="48">
        <v>0</v>
      </c>
      <c r="N85" s="48">
        <v>0</v>
      </c>
    </row>
    <row r="86" spans="1:14" ht="10.050000000000001" customHeight="1">
      <c r="A86" s="45" t="s">
        <v>81</v>
      </c>
      <c r="B86" s="46">
        <v>2001</v>
      </c>
      <c r="C86" s="45" t="s">
        <v>108</v>
      </c>
      <c r="D86" s="47">
        <v>1</v>
      </c>
      <c r="E86" s="48">
        <v>0</v>
      </c>
      <c r="F86" s="48">
        <v>0</v>
      </c>
      <c r="G86" s="48">
        <v>0</v>
      </c>
      <c r="H86" s="48">
        <v>2455.9</v>
      </c>
      <c r="I86" s="48">
        <v>0</v>
      </c>
      <c r="J86" s="48">
        <v>2455.9</v>
      </c>
      <c r="K86" s="48">
        <v>80.599999999999994</v>
      </c>
      <c r="L86" s="48">
        <v>0</v>
      </c>
      <c r="M86" s="48">
        <v>0</v>
      </c>
      <c r="N86" s="48">
        <v>0</v>
      </c>
    </row>
    <row r="87" spans="1:14" ht="10.050000000000001" customHeight="1">
      <c r="A87" s="45" t="s">
        <v>80</v>
      </c>
      <c r="B87" s="46">
        <v>2002</v>
      </c>
      <c r="C87" s="45" t="s">
        <v>110</v>
      </c>
      <c r="D87" s="47">
        <v>1</v>
      </c>
      <c r="E87" s="48">
        <v>57263.199999999997</v>
      </c>
      <c r="F87" s="48">
        <v>2.9</v>
      </c>
      <c r="G87" s="48">
        <v>57266.1</v>
      </c>
      <c r="H87" s="48">
        <v>1082749.7</v>
      </c>
      <c r="I87" s="48">
        <v>4917.6000000000004</v>
      </c>
      <c r="J87" s="48">
        <v>1087667.3</v>
      </c>
      <c r="K87" s="48">
        <v>72088.399999999994</v>
      </c>
      <c r="L87" s="48">
        <v>7976.4</v>
      </c>
      <c r="M87" s="48">
        <v>32449.200000000001</v>
      </c>
      <c r="N87" s="48">
        <v>75.3</v>
      </c>
    </row>
    <row r="88" spans="1:14" ht="10.050000000000001" customHeight="1">
      <c r="A88" s="45" t="s">
        <v>83</v>
      </c>
      <c r="B88" s="46">
        <v>2002</v>
      </c>
      <c r="C88" s="45" t="s">
        <v>110</v>
      </c>
      <c r="D88" s="47">
        <v>1</v>
      </c>
      <c r="E88" s="48">
        <v>224.6</v>
      </c>
      <c r="F88" s="48">
        <v>133.6</v>
      </c>
      <c r="G88" s="48">
        <v>358.2</v>
      </c>
      <c r="H88" s="48">
        <v>2122.1</v>
      </c>
      <c r="I88" s="48">
        <v>435</v>
      </c>
      <c r="J88" s="48">
        <v>2557.1</v>
      </c>
      <c r="K88" s="48">
        <v>17.7</v>
      </c>
      <c r="L88" s="48">
        <v>4.0999999999999996</v>
      </c>
      <c r="M88" s="48">
        <v>6.6</v>
      </c>
      <c r="N88" s="48">
        <v>0</v>
      </c>
    </row>
    <row r="89" spans="1:14" ht="10.050000000000001" customHeight="1">
      <c r="A89" s="45" t="s">
        <v>82</v>
      </c>
      <c r="B89" s="46">
        <v>2002</v>
      </c>
      <c r="C89" s="45" t="s">
        <v>110</v>
      </c>
      <c r="D89" s="47">
        <v>1</v>
      </c>
      <c r="E89" s="48">
        <v>3326.4</v>
      </c>
      <c r="F89" s="48">
        <v>91</v>
      </c>
      <c r="G89" s="48">
        <v>3417.4</v>
      </c>
      <c r="H89" s="48">
        <v>157949</v>
      </c>
      <c r="I89" s="48">
        <v>6849.1</v>
      </c>
      <c r="J89" s="48">
        <v>164798.1</v>
      </c>
      <c r="K89" s="48">
        <v>4999.8</v>
      </c>
      <c r="L89" s="48">
        <v>48.5</v>
      </c>
      <c r="M89" s="48">
        <v>709.5</v>
      </c>
      <c r="N89" s="48">
        <v>14.4</v>
      </c>
    </row>
    <row r="90" spans="1:14" ht="10.050000000000001" customHeight="1">
      <c r="A90" s="45" t="s">
        <v>81</v>
      </c>
      <c r="B90" s="46">
        <v>2002</v>
      </c>
      <c r="C90" s="45" t="s">
        <v>110</v>
      </c>
      <c r="D90" s="47">
        <v>1</v>
      </c>
      <c r="E90" s="48">
        <v>44718.8</v>
      </c>
      <c r="F90" s="48">
        <v>31.8</v>
      </c>
      <c r="G90" s="48">
        <v>44750.6</v>
      </c>
      <c r="H90" s="48">
        <v>525849.59999999998</v>
      </c>
      <c r="I90" s="48">
        <v>3360.3</v>
      </c>
      <c r="J90" s="48">
        <v>529209.9</v>
      </c>
      <c r="K90" s="48">
        <v>25354.5</v>
      </c>
      <c r="L90" s="48">
        <v>1481.8</v>
      </c>
      <c r="M90" s="48">
        <v>28803.4</v>
      </c>
      <c r="N90" s="48">
        <v>1061.8</v>
      </c>
    </row>
    <row r="91" spans="1:14" ht="10.050000000000001" customHeight="1">
      <c r="A91" s="45" t="s">
        <v>80</v>
      </c>
      <c r="B91" s="46">
        <v>2002</v>
      </c>
      <c r="C91" s="45" t="s">
        <v>110</v>
      </c>
      <c r="D91" s="47">
        <v>2</v>
      </c>
      <c r="E91" s="48">
        <v>52227</v>
      </c>
      <c r="F91" s="48">
        <v>2069.1999999999998</v>
      </c>
      <c r="G91" s="48">
        <v>54296.2</v>
      </c>
      <c r="H91" s="48">
        <v>904714.4</v>
      </c>
      <c r="I91" s="48">
        <v>7087.9</v>
      </c>
      <c r="J91" s="48">
        <v>911802.3</v>
      </c>
      <c r="K91" s="48">
        <v>52108.6</v>
      </c>
      <c r="L91" s="48">
        <v>3846.4</v>
      </c>
      <c r="M91" s="48">
        <v>23518</v>
      </c>
      <c r="N91" s="48">
        <v>308.2</v>
      </c>
    </row>
    <row r="92" spans="1:14" ht="10.050000000000001" customHeight="1">
      <c r="A92" s="45" t="s">
        <v>83</v>
      </c>
      <c r="B92" s="46">
        <v>2002</v>
      </c>
      <c r="C92" s="45" t="s">
        <v>110</v>
      </c>
      <c r="D92" s="47">
        <v>2</v>
      </c>
      <c r="E92" s="48">
        <v>53.6</v>
      </c>
      <c r="F92" s="48">
        <v>52.7</v>
      </c>
      <c r="G92" s="48">
        <v>106.3</v>
      </c>
      <c r="H92" s="48">
        <v>1757.1</v>
      </c>
      <c r="I92" s="48">
        <v>476.5</v>
      </c>
      <c r="J92" s="48">
        <v>2233.6</v>
      </c>
      <c r="K92" s="48">
        <v>7.5</v>
      </c>
      <c r="L92" s="48">
        <v>3</v>
      </c>
      <c r="M92" s="48">
        <v>13.2</v>
      </c>
      <c r="N92" s="48">
        <v>0</v>
      </c>
    </row>
    <row r="93" spans="1:14" ht="10.050000000000001" customHeight="1">
      <c r="A93" s="45" t="s">
        <v>82</v>
      </c>
      <c r="B93" s="46">
        <v>2002</v>
      </c>
      <c r="C93" s="45" t="s">
        <v>110</v>
      </c>
      <c r="D93" s="47">
        <v>2</v>
      </c>
      <c r="E93" s="48">
        <v>3107.5</v>
      </c>
      <c r="F93" s="48">
        <v>875.3</v>
      </c>
      <c r="G93" s="48">
        <v>3982.8</v>
      </c>
      <c r="H93" s="48">
        <v>142355.29999999999</v>
      </c>
      <c r="I93" s="48">
        <v>7356.7</v>
      </c>
      <c r="J93" s="48">
        <v>149712</v>
      </c>
      <c r="K93" s="48">
        <v>4397.6000000000004</v>
      </c>
      <c r="L93" s="48">
        <v>373.4</v>
      </c>
      <c r="M93" s="48">
        <v>542.70000000000005</v>
      </c>
      <c r="N93" s="48">
        <v>428.3</v>
      </c>
    </row>
    <row r="94" spans="1:14" ht="10.050000000000001" customHeight="1">
      <c r="A94" s="45" t="s">
        <v>81</v>
      </c>
      <c r="B94" s="46">
        <v>2002</v>
      </c>
      <c r="C94" s="45" t="s">
        <v>110</v>
      </c>
      <c r="D94" s="47">
        <v>2</v>
      </c>
      <c r="E94" s="48">
        <v>17778.3</v>
      </c>
      <c r="F94" s="48">
        <v>1263.7</v>
      </c>
      <c r="G94" s="48">
        <v>19042</v>
      </c>
      <c r="H94" s="48">
        <v>421548.7</v>
      </c>
      <c r="I94" s="48">
        <v>4513.6000000000004</v>
      </c>
      <c r="J94" s="48">
        <v>426062.3</v>
      </c>
      <c r="K94" s="48">
        <v>16190.9</v>
      </c>
      <c r="L94" s="48">
        <v>697.5</v>
      </c>
      <c r="M94" s="48">
        <v>9532.7999999999993</v>
      </c>
      <c r="N94" s="48">
        <v>328.3</v>
      </c>
    </row>
    <row r="95" spans="1:14" ht="10.050000000000001" customHeight="1">
      <c r="A95" s="45" t="s">
        <v>80</v>
      </c>
      <c r="B95" s="46">
        <v>2002</v>
      </c>
      <c r="C95" s="45" t="s">
        <v>110</v>
      </c>
      <c r="D95" s="47">
        <v>3</v>
      </c>
      <c r="E95" s="48">
        <v>38048.800000000003</v>
      </c>
      <c r="F95" s="48">
        <v>231.2</v>
      </c>
      <c r="G95" s="48">
        <v>38280</v>
      </c>
      <c r="H95" s="48">
        <v>717987.6</v>
      </c>
      <c r="I95" s="48">
        <v>6855.8</v>
      </c>
      <c r="J95" s="48">
        <v>724843.4</v>
      </c>
      <c r="K95" s="48">
        <v>34605.199999999997</v>
      </c>
      <c r="L95" s="48">
        <v>2952.2</v>
      </c>
      <c r="M95" s="48">
        <v>20234.8</v>
      </c>
      <c r="N95" s="48">
        <v>220.8</v>
      </c>
    </row>
    <row r="96" spans="1:14" ht="10.050000000000001" customHeight="1">
      <c r="A96" s="45" t="s">
        <v>83</v>
      </c>
      <c r="B96" s="46">
        <v>2002</v>
      </c>
      <c r="C96" s="45" t="s">
        <v>110</v>
      </c>
      <c r="D96" s="47">
        <v>3</v>
      </c>
      <c r="E96" s="48">
        <v>54.2</v>
      </c>
      <c r="F96" s="48">
        <v>115.6</v>
      </c>
      <c r="G96" s="48">
        <v>169.8</v>
      </c>
      <c r="H96" s="48">
        <v>1302.5999999999999</v>
      </c>
      <c r="I96" s="48">
        <v>459.6</v>
      </c>
      <c r="J96" s="48">
        <v>1762.2</v>
      </c>
      <c r="K96" s="48">
        <v>9.5</v>
      </c>
      <c r="L96" s="48">
        <v>6.1</v>
      </c>
      <c r="M96" s="48">
        <v>4.0999999999999996</v>
      </c>
      <c r="N96" s="48">
        <v>0</v>
      </c>
    </row>
    <row r="97" spans="1:14" ht="10.050000000000001" customHeight="1">
      <c r="A97" s="45" t="s">
        <v>82</v>
      </c>
      <c r="B97" s="46">
        <v>2002</v>
      </c>
      <c r="C97" s="45" t="s">
        <v>110</v>
      </c>
      <c r="D97" s="47">
        <v>3</v>
      </c>
      <c r="E97" s="48">
        <v>3662.2</v>
      </c>
      <c r="F97" s="48">
        <v>248.3</v>
      </c>
      <c r="G97" s="48">
        <v>3910.5</v>
      </c>
      <c r="H97" s="48">
        <v>116328.6</v>
      </c>
      <c r="I97" s="48">
        <v>6125.5</v>
      </c>
      <c r="J97" s="48">
        <v>122454.1</v>
      </c>
      <c r="K97" s="48">
        <v>3360</v>
      </c>
      <c r="L97" s="48">
        <v>9.1999999999999993</v>
      </c>
      <c r="M97" s="48">
        <v>1021</v>
      </c>
      <c r="N97" s="48">
        <v>25.8</v>
      </c>
    </row>
    <row r="98" spans="1:14" ht="10.050000000000001" customHeight="1">
      <c r="A98" s="45" t="s">
        <v>81</v>
      </c>
      <c r="B98" s="46">
        <v>2002</v>
      </c>
      <c r="C98" s="45" t="s">
        <v>110</v>
      </c>
      <c r="D98" s="47">
        <v>3</v>
      </c>
      <c r="E98" s="48">
        <v>11004.8</v>
      </c>
      <c r="F98" s="48">
        <v>160</v>
      </c>
      <c r="G98" s="48">
        <v>11164.8</v>
      </c>
      <c r="H98" s="48">
        <v>319640.40000000002</v>
      </c>
      <c r="I98" s="48">
        <v>4166.8</v>
      </c>
      <c r="J98" s="48">
        <v>323807.2</v>
      </c>
      <c r="K98" s="48">
        <v>11562</v>
      </c>
      <c r="L98" s="48">
        <v>281.7</v>
      </c>
      <c r="M98" s="48">
        <v>4423.5</v>
      </c>
      <c r="N98" s="48">
        <v>487.1</v>
      </c>
    </row>
    <row r="99" spans="1:14" ht="10.050000000000001" customHeight="1">
      <c r="A99" s="45" t="s">
        <v>80</v>
      </c>
      <c r="B99" s="46">
        <v>2002</v>
      </c>
      <c r="C99" s="45" t="s">
        <v>110</v>
      </c>
      <c r="D99" s="47">
        <v>4</v>
      </c>
      <c r="E99" s="48">
        <v>38044</v>
      </c>
      <c r="F99" s="48">
        <v>0</v>
      </c>
      <c r="G99" s="48">
        <v>38044</v>
      </c>
      <c r="H99" s="48">
        <v>474827.8</v>
      </c>
      <c r="I99" s="48">
        <v>6826.8</v>
      </c>
      <c r="J99" s="48">
        <v>481654.6</v>
      </c>
      <c r="K99" s="48">
        <v>23377.1</v>
      </c>
      <c r="L99" s="48">
        <v>2926.7</v>
      </c>
      <c r="M99" s="48">
        <v>13612.1</v>
      </c>
      <c r="N99" s="48">
        <v>542.70000000000005</v>
      </c>
    </row>
    <row r="100" spans="1:14" ht="10.050000000000001" customHeight="1">
      <c r="A100" s="45" t="s">
        <v>83</v>
      </c>
      <c r="B100" s="46">
        <v>2002</v>
      </c>
      <c r="C100" s="45" t="s">
        <v>110</v>
      </c>
      <c r="D100" s="47">
        <v>4</v>
      </c>
      <c r="E100" s="48">
        <v>108.7</v>
      </c>
      <c r="F100" s="48">
        <v>0</v>
      </c>
      <c r="G100" s="48">
        <v>108.7</v>
      </c>
      <c r="H100" s="48">
        <v>874.4</v>
      </c>
      <c r="I100" s="48">
        <v>383.8</v>
      </c>
      <c r="J100" s="48">
        <v>1258.2</v>
      </c>
      <c r="K100" s="48">
        <v>9.5</v>
      </c>
      <c r="L100" s="48">
        <v>0</v>
      </c>
      <c r="M100" s="48">
        <v>0</v>
      </c>
      <c r="N100" s="48">
        <v>0</v>
      </c>
    </row>
    <row r="101" spans="1:14" ht="10.050000000000001" customHeight="1">
      <c r="A101" s="45" t="s">
        <v>82</v>
      </c>
      <c r="B101" s="46">
        <v>2002</v>
      </c>
      <c r="C101" s="45" t="s">
        <v>110</v>
      </c>
      <c r="D101" s="47">
        <v>4</v>
      </c>
      <c r="E101" s="48">
        <v>2776.6</v>
      </c>
      <c r="F101" s="48">
        <v>168.5</v>
      </c>
      <c r="G101" s="48">
        <v>2945.1</v>
      </c>
      <c r="H101" s="48">
        <v>104887.8</v>
      </c>
      <c r="I101" s="48">
        <v>4880</v>
      </c>
      <c r="J101" s="48">
        <v>109767.8</v>
      </c>
      <c r="K101" s="48">
        <v>1792.1</v>
      </c>
      <c r="L101" s="48">
        <v>14.6</v>
      </c>
      <c r="M101" s="48">
        <v>1538.3</v>
      </c>
      <c r="N101" s="48">
        <v>48.8</v>
      </c>
    </row>
    <row r="102" spans="1:14" ht="10.050000000000001" customHeight="1">
      <c r="A102" s="45" t="s">
        <v>81</v>
      </c>
      <c r="B102" s="46">
        <v>2002</v>
      </c>
      <c r="C102" s="45" t="s">
        <v>110</v>
      </c>
      <c r="D102" s="47">
        <v>4</v>
      </c>
      <c r="E102" s="48">
        <v>7226.9</v>
      </c>
      <c r="F102" s="48">
        <v>196.4</v>
      </c>
      <c r="G102" s="48">
        <v>7423.3</v>
      </c>
      <c r="H102" s="48">
        <v>218349.8</v>
      </c>
      <c r="I102" s="48">
        <v>3985.2</v>
      </c>
      <c r="J102" s="48">
        <v>222335</v>
      </c>
      <c r="K102" s="48">
        <v>7090.9</v>
      </c>
      <c r="L102" s="48">
        <v>45.3</v>
      </c>
      <c r="M102" s="48">
        <v>3992.7</v>
      </c>
      <c r="N102" s="48">
        <v>504.8</v>
      </c>
    </row>
    <row r="103" spans="1:14" ht="10.050000000000001" customHeight="1">
      <c r="A103" s="45" t="s">
        <v>80</v>
      </c>
      <c r="B103" s="46">
        <v>2002</v>
      </c>
      <c r="C103" s="45" t="s">
        <v>110</v>
      </c>
      <c r="D103" s="47">
        <v>5</v>
      </c>
      <c r="E103" s="48">
        <v>46366.8</v>
      </c>
      <c r="F103" s="48">
        <v>0</v>
      </c>
      <c r="G103" s="48">
        <v>46366.8</v>
      </c>
      <c r="H103" s="48">
        <v>249127.8</v>
      </c>
      <c r="I103" s="48">
        <v>6794.2</v>
      </c>
      <c r="J103" s="48">
        <v>255922</v>
      </c>
      <c r="K103" s="48">
        <v>8240.2000000000007</v>
      </c>
      <c r="L103" s="48">
        <v>1454.1</v>
      </c>
      <c r="M103" s="48">
        <v>16459.900000000001</v>
      </c>
      <c r="N103" s="48">
        <v>131.1</v>
      </c>
    </row>
    <row r="104" spans="1:14" ht="10.050000000000001" customHeight="1">
      <c r="A104" s="45" t="s">
        <v>83</v>
      </c>
      <c r="B104" s="46">
        <v>2002</v>
      </c>
      <c r="C104" s="45" t="s">
        <v>110</v>
      </c>
      <c r="D104" s="47">
        <v>5</v>
      </c>
      <c r="E104" s="48">
        <v>43.6</v>
      </c>
      <c r="F104" s="48">
        <v>0</v>
      </c>
      <c r="G104" s="48">
        <v>43.6</v>
      </c>
      <c r="H104" s="48">
        <v>672.7</v>
      </c>
      <c r="I104" s="48">
        <v>348.7</v>
      </c>
      <c r="J104" s="48">
        <v>1021.4</v>
      </c>
      <c r="K104" s="48">
        <v>0</v>
      </c>
      <c r="L104" s="48">
        <v>0</v>
      </c>
      <c r="M104" s="48">
        <v>9.5</v>
      </c>
      <c r="N104" s="48">
        <v>0</v>
      </c>
    </row>
    <row r="105" spans="1:14" ht="10.050000000000001" customHeight="1">
      <c r="A105" s="45" t="s">
        <v>82</v>
      </c>
      <c r="B105" s="46">
        <v>2002</v>
      </c>
      <c r="C105" s="45" t="s">
        <v>110</v>
      </c>
      <c r="D105" s="47">
        <v>5</v>
      </c>
      <c r="E105" s="48">
        <v>1100.5</v>
      </c>
      <c r="F105" s="48">
        <v>47</v>
      </c>
      <c r="G105" s="48">
        <v>1147.5</v>
      </c>
      <c r="H105" s="48">
        <v>79772</v>
      </c>
      <c r="I105" s="48">
        <v>4315.5</v>
      </c>
      <c r="J105" s="48">
        <v>84087.5</v>
      </c>
      <c r="K105" s="48">
        <v>598.1</v>
      </c>
      <c r="L105" s="48">
        <v>2.2999999999999998</v>
      </c>
      <c r="M105" s="48">
        <v>1173</v>
      </c>
      <c r="N105" s="48">
        <v>18.7</v>
      </c>
    </row>
    <row r="106" spans="1:14" ht="10.050000000000001" customHeight="1">
      <c r="A106" s="45" t="s">
        <v>81</v>
      </c>
      <c r="B106" s="46">
        <v>2002</v>
      </c>
      <c r="C106" s="45" t="s">
        <v>110</v>
      </c>
      <c r="D106" s="47">
        <v>5</v>
      </c>
      <c r="E106" s="48">
        <v>6604.6</v>
      </c>
      <c r="F106" s="48">
        <v>1.2</v>
      </c>
      <c r="G106" s="48">
        <v>6605.8</v>
      </c>
      <c r="H106" s="48">
        <v>137464.79999999999</v>
      </c>
      <c r="I106" s="48">
        <v>3854.2</v>
      </c>
      <c r="J106" s="48">
        <v>141319</v>
      </c>
      <c r="K106" s="48">
        <v>3416.2</v>
      </c>
      <c r="L106" s="48">
        <v>138.5</v>
      </c>
      <c r="M106" s="48">
        <v>3663</v>
      </c>
      <c r="N106" s="48">
        <v>221.6</v>
      </c>
    </row>
    <row r="107" spans="1:14" ht="10.050000000000001" customHeight="1">
      <c r="A107" s="45" t="s">
        <v>80</v>
      </c>
      <c r="B107" s="46">
        <v>2002</v>
      </c>
      <c r="C107" s="45" t="s">
        <v>110</v>
      </c>
      <c r="D107" s="47">
        <v>6</v>
      </c>
      <c r="E107" s="48">
        <v>29246.9</v>
      </c>
      <c r="F107" s="48">
        <v>1.1000000000000001</v>
      </c>
      <c r="G107" s="48">
        <v>29248</v>
      </c>
      <c r="H107" s="48">
        <v>87314.9</v>
      </c>
      <c r="I107" s="48">
        <v>3745.7</v>
      </c>
      <c r="J107" s="48">
        <v>91060.6</v>
      </c>
      <c r="K107" s="48">
        <v>2239</v>
      </c>
      <c r="L107" s="48">
        <v>1321.5</v>
      </c>
      <c r="M107" s="48">
        <v>6969.4</v>
      </c>
      <c r="N107" s="48">
        <v>353.3</v>
      </c>
    </row>
    <row r="108" spans="1:14" ht="10.050000000000001" customHeight="1">
      <c r="A108" s="45" t="s">
        <v>83</v>
      </c>
      <c r="B108" s="46">
        <v>2002</v>
      </c>
      <c r="C108" s="45" t="s">
        <v>110</v>
      </c>
      <c r="D108" s="47">
        <v>6</v>
      </c>
      <c r="E108" s="48">
        <v>251.1</v>
      </c>
      <c r="F108" s="48">
        <v>0</v>
      </c>
      <c r="G108" s="48">
        <v>251.1</v>
      </c>
      <c r="H108" s="48">
        <v>433.3</v>
      </c>
      <c r="I108" s="48">
        <v>317.7</v>
      </c>
      <c r="J108" s="48">
        <v>751</v>
      </c>
      <c r="K108" s="48">
        <v>0</v>
      </c>
      <c r="L108" s="48">
        <v>0</v>
      </c>
      <c r="M108" s="48">
        <v>0</v>
      </c>
      <c r="N108" s="48">
        <v>0</v>
      </c>
    </row>
    <row r="109" spans="1:14" ht="10.050000000000001" customHeight="1">
      <c r="A109" s="45" t="s">
        <v>82</v>
      </c>
      <c r="B109" s="46">
        <v>2002</v>
      </c>
      <c r="C109" s="45" t="s">
        <v>110</v>
      </c>
      <c r="D109" s="47">
        <v>6</v>
      </c>
      <c r="E109" s="48">
        <v>1348.7</v>
      </c>
      <c r="F109" s="48">
        <v>395.9</v>
      </c>
      <c r="G109" s="48">
        <v>1744.6</v>
      </c>
      <c r="H109" s="48">
        <v>47480.9</v>
      </c>
      <c r="I109" s="48">
        <v>4008.9</v>
      </c>
      <c r="J109" s="48">
        <v>51489.8</v>
      </c>
      <c r="K109" s="48">
        <v>11.4</v>
      </c>
      <c r="L109" s="48">
        <v>8.3000000000000007</v>
      </c>
      <c r="M109" s="48">
        <v>575.5</v>
      </c>
      <c r="N109" s="48">
        <v>20.100000000000001</v>
      </c>
    </row>
    <row r="110" spans="1:14" ht="10.050000000000001" customHeight="1">
      <c r="A110" s="45" t="s">
        <v>81</v>
      </c>
      <c r="B110" s="46">
        <v>2002</v>
      </c>
      <c r="C110" s="45" t="s">
        <v>110</v>
      </c>
      <c r="D110" s="47">
        <v>6</v>
      </c>
      <c r="E110" s="48">
        <v>4039.5</v>
      </c>
      <c r="F110" s="48">
        <v>296.10000000000002</v>
      </c>
      <c r="G110" s="48">
        <v>4335.6000000000004</v>
      </c>
      <c r="H110" s="48">
        <v>33839.5</v>
      </c>
      <c r="I110" s="48">
        <v>2577.3000000000002</v>
      </c>
      <c r="J110" s="48">
        <v>36416.800000000003</v>
      </c>
      <c r="K110" s="48">
        <v>880.6</v>
      </c>
      <c r="L110" s="48">
        <v>-9.9</v>
      </c>
      <c r="M110" s="48">
        <v>2208</v>
      </c>
      <c r="N110" s="48">
        <v>246.3</v>
      </c>
    </row>
    <row r="111" spans="1:14" ht="10.050000000000001" customHeight="1">
      <c r="A111" s="45" t="s">
        <v>80</v>
      </c>
      <c r="B111" s="46">
        <v>2002</v>
      </c>
      <c r="C111" s="45" t="s">
        <v>111</v>
      </c>
      <c r="D111" s="47">
        <v>7</v>
      </c>
      <c r="E111" s="48">
        <v>2356885.1</v>
      </c>
      <c r="F111" s="48">
        <v>4431.3</v>
      </c>
      <c r="G111" s="48">
        <v>2361316.4</v>
      </c>
      <c r="H111" s="48">
        <v>2068822.7</v>
      </c>
      <c r="I111" s="48">
        <v>7743.6</v>
      </c>
      <c r="J111" s="48">
        <v>2076566.3</v>
      </c>
      <c r="K111" s="48">
        <v>433157.4</v>
      </c>
      <c r="L111" s="48">
        <v>480304.6</v>
      </c>
      <c r="M111" s="48">
        <v>49261.8</v>
      </c>
      <c r="N111" s="48">
        <v>124.4</v>
      </c>
    </row>
    <row r="112" spans="1:14" ht="10.050000000000001" customHeight="1">
      <c r="A112" s="45" t="s">
        <v>83</v>
      </c>
      <c r="B112" s="46">
        <v>2002</v>
      </c>
      <c r="C112" s="45" t="s">
        <v>111</v>
      </c>
      <c r="D112" s="47">
        <v>7</v>
      </c>
      <c r="E112" s="48">
        <v>302</v>
      </c>
      <c r="F112" s="48">
        <v>0</v>
      </c>
      <c r="G112" s="48">
        <v>302</v>
      </c>
      <c r="H112" s="48">
        <v>644.29999999999995</v>
      </c>
      <c r="I112" s="48">
        <v>302.7</v>
      </c>
      <c r="J112" s="48">
        <v>947</v>
      </c>
      <c r="K112" s="48">
        <v>0</v>
      </c>
      <c r="L112" s="48">
        <v>0</v>
      </c>
      <c r="M112" s="48">
        <v>0</v>
      </c>
      <c r="N112" s="48">
        <v>0</v>
      </c>
    </row>
    <row r="113" spans="1:14" ht="10.050000000000001" customHeight="1">
      <c r="A113" s="45" t="s">
        <v>82</v>
      </c>
      <c r="B113" s="46">
        <v>2002</v>
      </c>
      <c r="C113" s="45" t="s">
        <v>111</v>
      </c>
      <c r="D113" s="47">
        <v>7</v>
      </c>
      <c r="E113" s="48">
        <v>659.3</v>
      </c>
      <c r="F113" s="48">
        <v>0</v>
      </c>
      <c r="G113" s="48">
        <v>659.3</v>
      </c>
      <c r="H113" s="48">
        <v>32446</v>
      </c>
      <c r="I113" s="48">
        <v>3919.7</v>
      </c>
      <c r="J113" s="48">
        <v>36365.699999999997</v>
      </c>
      <c r="K113" s="48">
        <v>33.5</v>
      </c>
      <c r="L113" s="48">
        <v>22.1</v>
      </c>
      <c r="M113" s="48">
        <v>0</v>
      </c>
      <c r="N113" s="48">
        <v>0</v>
      </c>
    </row>
    <row r="114" spans="1:14" ht="10.050000000000001" customHeight="1">
      <c r="A114" s="45" t="s">
        <v>81</v>
      </c>
      <c r="B114" s="46">
        <v>2002</v>
      </c>
      <c r="C114" s="45" t="s">
        <v>111</v>
      </c>
      <c r="D114" s="47">
        <v>7</v>
      </c>
      <c r="E114" s="48">
        <v>304.60000000000002</v>
      </c>
      <c r="F114" s="48">
        <v>0</v>
      </c>
      <c r="G114" s="48">
        <v>304.60000000000002</v>
      </c>
      <c r="H114" s="48">
        <v>16520.7</v>
      </c>
      <c r="I114" s="48">
        <v>2577.3000000000002</v>
      </c>
      <c r="J114" s="48">
        <v>19098</v>
      </c>
      <c r="K114" s="48">
        <v>979.4</v>
      </c>
      <c r="L114" s="48">
        <v>98.8</v>
      </c>
      <c r="M114" s="48">
        <v>0</v>
      </c>
      <c r="N114" s="48">
        <v>0</v>
      </c>
    </row>
    <row r="115" spans="1:14" ht="10.050000000000001" customHeight="1">
      <c r="A115" s="45" t="s">
        <v>80</v>
      </c>
      <c r="B115" s="46">
        <v>2002</v>
      </c>
      <c r="C115" s="45" t="s">
        <v>111</v>
      </c>
      <c r="D115" s="47">
        <v>8</v>
      </c>
      <c r="E115" s="48">
        <v>279404</v>
      </c>
      <c r="F115" s="48">
        <v>1135.5</v>
      </c>
      <c r="G115" s="48">
        <v>280539.5</v>
      </c>
      <c r="H115" s="48">
        <v>1955510.5</v>
      </c>
      <c r="I115" s="48">
        <v>6331.9</v>
      </c>
      <c r="J115" s="48">
        <v>1961842.4</v>
      </c>
      <c r="K115" s="48">
        <v>322063</v>
      </c>
      <c r="L115" s="48">
        <v>31318.1</v>
      </c>
      <c r="M115" s="48">
        <v>140468.70000000001</v>
      </c>
      <c r="N115" s="48">
        <v>1571.4</v>
      </c>
    </row>
    <row r="116" spans="1:14" ht="10.050000000000001" customHeight="1">
      <c r="A116" s="45" t="s">
        <v>83</v>
      </c>
      <c r="B116" s="46">
        <v>2002</v>
      </c>
      <c r="C116" s="45" t="s">
        <v>111</v>
      </c>
      <c r="D116" s="47">
        <v>8</v>
      </c>
      <c r="E116" s="48">
        <v>2249.3000000000002</v>
      </c>
      <c r="F116" s="48">
        <v>0</v>
      </c>
      <c r="G116" s="48">
        <v>2249.3000000000002</v>
      </c>
      <c r="H116" s="48">
        <v>2239.3000000000002</v>
      </c>
      <c r="I116" s="48">
        <v>299.60000000000002</v>
      </c>
      <c r="J116" s="48">
        <v>2538.9</v>
      </c>
      <c r="K116" s="48">
        <v>88.5</v>
      </c>
      <c r="L116" s="48">
        <v>88.5</v>
      </c>
      <c r="M116" s="48">
        <v>0</v>
      </c>
      <c r="N116" s="48">
        <v>0</v>
      </c>
    </row>
    <row r="117" spans="1:14" ht="10.050000000000001" customHeight="1">
      <c r="A117" s="45" t="s">
        <v>82</v>
      </c>
      <c r="B117" s="46">
        <v>2002</v>
      </c>
      <c r="C117" s="45" t="s">
        <v>111</v>
      </c>
      <c r="D117" s="47">
        <v>8</v>
      </c>
      <c r="E117" s="48">
        <v>255.2</v>
      </c>
      <c r="F117" s="48">
        <v>0</v>
      </c>
      <c r="G117" s="48">
        <v>255.2</v>
      </c>
      <c r="H117" s="48">
        <v>22113.9</v>
      </c>
      <c r="I117" s="48">
        <v>3246.4</v>
      </c>
      <c r="J117" s="48">
        <v>25360.3</v>
      </c>
      <c r="K117" s="48">
        <v>32.5</v>
      </c>
      <c r="L117" s="48">
        <v>0</v>
      </c>
      <c r="M117" s="48">
        <v>1</v>
      </c>
      <c r="N117" s="48">
        <v>0</v>
      </c>
    </row>
    <row r="118" spans="1:14" ht="10.050000000000001" customHeight="1">
      <c r="A118" s="45" t="s">
        <v>81</v>
      </c>
      <c r="B118" s="46">
        <v>2002</v>
      </c>
      <c r="C118" s="45" t="s">
        <v>111</v>
      </c>
      <c r="D118" s="47">
        <v>8</v>
      </c>
      <c r="E118" s="48">
        <v>7895.6</v>
      </c>
      <c r="F118" s="48">
        <v>0</v>
      </c>
      <c r="G118" s="48">
        <v>7895.6</v>
      </c>
      <c r="H118" s="48">
        <v>16923.3</v>
      </c>
      <c r="I118" s="48">
        <v>2220</v>
      </c>
      <c r="J118" s="48">
        <v>19143.3</v>
      </c>
      <c r="K118" s="48">
        <v>1879.2</v>
      </c>
      <c r="L118" s="48">
        <v>1340.6</v>
      </c>
      <c r="M118" s="48">
        <v>109</v>
      </c>
      <c r="N118" s="48">
        <v>331.8</v>
      </c>
    </row>
    <row r="119" spans="1:14" ht="10.050000000000001" customHeight="1">
      <c r="A119" s="45" t="s">
        <v>80</v>
      </c>
      <c r="B119" s="46">
        <v>2002</v>
      </c>
      <c r="C119" s="45" t="s">
        <v>111</v>
      </c>
      <c r="D119" s="47">
        <v>9</v>
      </c>
      <c r="E119" s="48">
        <v>130315.9</v>
      </c>
      <c r="F119" s="48">
        <v>8.1</v>
      </c>
      <c r="G119" s="48">
        <v>130324</v>
      </c>
      <c r="H119" s="48">
        <v>1773147.4</v>
      </c>
      <c r="I119" s="48">
        <v>6094.2</v>
      </c>
      <c r="J119" s="48">
        <v>1779241.6</v>
      </c>
      <c r="K119" s="48">
        <v>230081.8</v>
      </c>
      <c r="L119" s="48">
        <v>4542.3</v>
      </c>
      <c r="M119" s="48">
        <v>94719.4</v>
      </c>
      <c r="N119" s="48">
        <v>1804</v>
      </c>
    </row>
    <row r="120" spans="1:14" ht="10.050000000000001" customHeight="1">
      <c r="A120" s="45" t="s">
        <v>83</v>
      </c>
      <c r="B120" s="46">
        <v>2002</v>
      </c>
      <c r="C120" s="45" t="s">
        <v>111</v>
      </c>
      <c r="D120" s="47">
        <v>9</v>
      </c>
      <c r="E120" s="48">
        <v>1980.3</v>
      </c>
      <c r="F120" s="48">
        <v>82</v>
      </c>
      <c r="G120" s="48">
        <v>2062.3000000000002</v>
      </c>
      <c r="H120" s="48">
        <v>2617.9</v>
      </c>
      <c r="I120" s="48">
        <v>298.10000000000002</v>
      </c>
      <c r="J120" s="48">
        <v>2916</v>
      </c>
      <c r="K120" s="48">
        <v>64.5</v>
      </c>
      <c r="L120" s="48">
        <v>47</v>
      </c>
      <c r="M120" s="48">
        <v>71</v>
      </c>
      <c r="N120" s="48">
        <v>0</v>
      </c>
    </row>
    <row r="121" spans="1:14" ht="10.050000000000001" customHeight="1">
      <c r="A121" s="45" t="s">
        <v>82</v>
      </c>
      <c r="B121" s="46">
        <v>2002</v>
      </c>
      <c r="C121" s="45" t="s">
        <v>111</v>
      </c>
      <c r="D121" s="47">
        <v>9</v>
      </c>
      <c r="E121" s="48">
        <v>64971.3</v>
      </c>
      <c r="F121" s="48">
        <v>2443.3000000000002</v>
      </c>
      <c r="G121" s="48">
        <v>67414.600000000006</v>
      </c>
      <c r="H121" s="48">
        <v>76897.5</v>
      </c>
      <c r="I121" s="48">
        <v>5949.6</v>
      </c>
      <c r="J121" s="48">
        <v>82847.100000000006</v>
      </c>
      <c r="K121" s="48">
        <v>2726.2</v>
      </c>
      <c r="L121" s="48">
        <v>2778.1</v>
      </c>
      <c r="M121" s="48">
        <v>69.3</v>
      </c>
      <c r="N121" s="48">
        <v>15.1</v>
      </c>
    </row>
    <row r="122" spans="1:14" ht="10.050000000000001" customHeight="1">
      <c r="A122" s="45" t="s">
        <v>81</v>
      </c>
      <c r="B122" s="46">
        <v>2002</v>
      </c>
      <c r="C122" s="45" t="s">
        <v>111</v>
      </c>
      <c r="D122" s="47">
        <v>9</v>
      </c>
      <c r="E122" s="48">
        <v>886659.3</v>
      </c>
      <c r="F122" s="48">
        <v>162.5</v>
      </c>
      <c r="G122" s="48">
        <v>886821.8</v>
      </c>
      <c r="H122" s="48">
        <v>773037.1</v>
      </c>
      <c r="I122" s="48">
        <v>2347.1</v>
      </c>
      <c r="J122" s="48">
        <v>775384.2</v>
      </c>
      <c r="K122" s="48">
        <v>178873.7</v>
      </c>
      <c r="L122" s="48">
        <v>183177.8</v>
      </c>
      <c r="M122" s="48">
        <v>5059.2</v>
      </c>
      <c r="N122" s="48">
        <v>1124.0999999999999</v>
      </c>
    </row>
    <row r="123" spans="1:14" ht="10.050000000000001" customHeight="1">
      <c r="A123" s="45" t="s">
        <v>80</v>
      </c>
      <c r="B123" s="46">
        <v>2002</v>
      </c>
      <c r="C123" s="45" t="s">
        <v>111</v>
      </c>
      <c r="D123" s="47">
        <v>10</v>
      </c>
      <c r="E123" s="48">
        <v>88217.2</v>
      </c>
      <c r="F123" s="48">
        <v>86.5</v>
      </c>
      <c r="G123" s="48">
        <v>88303.7</v>
      </c>
      <c r="H123" s="48">
        <v>1598261.9</v>
      </c>
      <c r="I123" s="48">
        <v>5601.9</v>
      </c>
      <c r="J123" s="48">
        <v>1603863.8</v>
      </c>
      <c r="K123" s="48">
        <v>172176.3</v>
      </c>
      <c r="L123" s="48">
        <v>3785.7</v>
      </c>
      <c r="M123" s="48">
        <v>58987.6</v>
      </c>
      <c r="N123" s="48">
        <v>2703.6</v>
      </c>
    </row>
    <row r="124" spans="1:14" ht="10.050000000000001" customHeight="1">
      <c r="A124" s="45" t="s">
        <v>83</v>
      </c>
      <c r="B124" s="46">
        <v>2002</v>
      </c>
      <c r="C124" s="45" t="s">
        <v>111</v>
      </c>
      <c r="D124" s="47">
        <v>10</v>
      </c>
      <c r="E124" s="48">
        <v>640.79999999999995</v>
      </c>
      <c r="F124" s="48">
        <v>0</v>
      </c>
      <c r="G124" s="48">
        <v>640.79999999999995</v>
      </c>
      <c r="H124" s="48">
        <v>2172.9</v>
      </c>
      <c r="I124" s="48">
        <v>286.89999999999998</v>
      </c>
      <c r="J124" s="48">
        <v>2459.8000000000002</v>
      </c>
      <c r="K124" s="48">
        <v>64.5</v>
      </c>
      <c r="L124" s="48">
        <v>0</v>
      </c>
      <c r="M124" s="48">
        <v>0</v>
      </c>
      <c r="N124" s="48">
        <v>0</v>
      </c>
    </row>
    <row r="125" spans="1:14" ht="10.050000000000001" customHeight="1">
      <c r="A125" s="45" t="s">
        <v>82</v>
      </c>
      <c r="B125" s="46">
        <v>2002</v>
      </c>
      <c r="C125" s="45" t="s">
        <v>111</v>
      </c>
      <c r="D125" s="47">
        <v>10</v>
      </c>
      <c r="E125" s="48">
        <v>86315.8</v>
      </c>
      <c r="F125" s="48">
        <v>1612.9</v>
      </c>
      <c r="G125" s="48">
        <v>87928.7</v>
      </c>
      <c r="H125" s="48">
        <v>142737.5</v>
      </c>
      <c r="I125" s="48">
        <v>7534.6</v>
      </c>
      <c r="J125" s="48">
        <v>150272.1</v>
      </c>
      <c r="K125" s="48">
        <v>5962.1</v>
      </c>
      <c r="L125" s="48">
        <v>4002.8</v>
      </c>
      <c r="M125" s="48">
        <v>710.4</v>
      </c>
      <c r="N125" s="48">
        <v>56.5</v>
      </c>
    </row>
    <row r="126" spans="1:14" ht="10.050000000000001" customHeight="1">
      <c r="A126" s="45" t="s">
        <v>81</v>
      </c>
      <c r="B126" s="46">
        <v>2002</v>
      </c>
      <c r="C126" s="45" t="s">
        <v>111</v>
      </c>
      <c r="D126" s="47">
        <v>10</v>
      </c>
      <c r="E126" s="48">
        <v>210324.3</v>
      </c>
      <c r="F126" s="48">
        <v>239.9</v>
      </c>
      <c r="G126" s="48">
        <v>210564.2</v>
      </c>
      <c r="H126" s="48">
        <v>795069.2</v>
      </c>
      <c r="I126" s="48">
        <v>2574.3000000000002</v>
      </c>
      <c r="J126" s="48">
        <v>797643.5</v>
      </c>
      <c r="K126" s="48">
        <v>191344.3</v>
      </c>
      <c r="L126" s="48">
        <v>41562.199999999997</v>
      </c>
      <c r="M126" s="48">
        <v>27667.200000000001</v>
      </c>
      <c r="N126" s="48">
        <v>1424.4</v>
      </c>
    </row>
    <row r="127" spans="1:14" ht="10.050000000000001" customHeight="1">
      <c r="A127" s="45" t="s">
        <v>80</v>
      </c>
      <c r="B127" s="46">
        <v>2002</v>
      </c>
      <c r="C127" s="45" t="s">
        <v>111</v>
      </c>
      <c r="D127" s="47">
        <v>11</v>
      </c>
      <c r="E127" s="48">
        <v>80944.800000000003</v>
      </c>
      <c r="F127" s="48">
        <v>0</v>
      </c>
      <c r="G127" s="48">
        <v>80944.800000000003</v>
      </c>
      <c r="H127" s="48">
        <v>1428534.6</v>
      </c>
      <c r="I127" s="48">
        <v>5088.3</v>
      </c>
      <c r="J127" s="48">
        <v>1433622.9</v>
      </c>
      <c r="K127" s="48">
        <v>146737.4</v>
      </c>
      <c r="L127" s="48">
        <v>11291.6</v>
      </c>
      <c r="M127" s="48">
        <v>35705.800000000003</v>
      </c>
      <c r="N127" s="48">
        <v>1024.7</v>
      </c>
    </row>
    <row r="128" spans="1:14" ht="10.050000000000001" customHeight="1">
      <c r="A128" s="45" t="s">
        <v>83</v>
      </c>
      <c r="B128" s="46">
        <v>2002</v>
      </c>
      <c r="C128" s="45" t="s">
        <v>111</v>
      </c>
      <c r="D128" s="47">
        <v>11</v>
      </c>
      <c r="E128" s="48">
        <v>224.2</v>
      </c>
      <c r="F128" s="48">
        <v>88</v>
      </c>
      <c r="G128" s="48">
        <v>312.2</v>
      </c>
      <c r="H128" s="48">
        <v>2091.6</v>
      </c>
      <c r="I128" s="48">
        <v>274.39999999999998</v>
      </c>
      <c r="J128" s="48">
        <v>2366</v>
      </c>
      <c r="K128" s="48">
        <v>64.5</v>
      </c>
      <c r="L128" s="48">
        <v>0</v>
      </c>
      <c r="M128" s="48">
        <v>0</v>
      </c>
      <c r="N128" s="48">
        <v>0</v>
      </c>
    </row>
    <row r="129" spans="1:14" ht="10.050000000000001" customHeight="1">
      <c r="A129" s="45" t="s">
        <v>82</v>
      </c>
      <c r="B129" s="46">
        <v>2002</v>
      </c>
      <c r="C129" s="45" t="s">
        <v>111</v>
      </c>
      <c r="D129" s="47">
        <v>11</v>
      </c>
      <c r="E129" s="48">
        <v>6957.2</v>
      </c>
      <c r="F129" s="48">
        <v>0</v>
      </c>
      <c r="G129" s="48">
        <v>6957.2</v>
      </c>
      <c r="H129" s="48">
        <v>137232.70000000001</v>
      </c>
      <c r="I129" s="48">
        <v>7443.8</v>
      </c>
      <c r="J129" s="48">
        <v>144676.5</v>
      </c>
      <c r="K129" s="48">
        <v>5600</v>
      </c>
      <c r="L129" s="48">
        <v>98.9</v>
      </c>
      <c r="M129" s="48">
        <v>531</v>
      </c>
      <c r="N129" s="48">
        <v>13.7</v>
      </c>
    </row>
    <row r="130" spans="1:14" ht="10.050000000000001" customHeight="1">
      <c r="A130" s="45" t="s">
        <v>81</v>
      </c>
      <c r="B130" s="46">
        <v>2002</v>
      </c>
      <c r="C130" s="45" t="s">
        <v>111</v>
      </c>
      <c r="D130" s="47">
        <v>11</v>
      </c>
      <c r="E130" s="48">
        <v>35460.699999999997</v>
      </c>
      <c r="F130" s="48">
        <v>488.6</v>
      </c>
      <c r="G130" s="48">
        <v>35949.300000000003</v>
      </c>
      <c r="H130" s="48">
        <v>730034.10000000102</v>
      </c>
      <c r="I130" s="48">
        <v>3053.6</v>
      </c>
      <c r="J130" s="48">
        <v>733087.7</v>
      </c>
      <c r="K130" s="48">
        <v>169236.6</v>
      </c>
      <c r="L130" s="48">
        <v>2403.4</v>
      </c>
      <c r="M130" s="48">
        <v>22940.400000000001</v>
      </c>
      <c r="N130" s="48">
        <v>1661.6</v>
      </c>
    </row>
    <row r="131" spans="1:14" ht="10.050000000000001" customHeight="1">
      <c r="A131" s="45" t="s">
        <v>80</v>
      </c>
      <c r="B131" s="46">
        <v>2002</v>
      </c>
      <c r="C131" s="45" t="s">
        <v>111</v>
      </c>
      <c r="D131" s="47">
        <v>12</v>
      </c>
      <c r="E131" s="48">
        <v>70793.600000000006</v>
      </c>
      <c r="F131" s="48">
        <v>0</v>
      </c>
      <c r="G131" s="48">
        <v>70793.600000000006</v>
      </c>
      <c r="H131" s="48">
        <v>1261188.5</v>
      </c>
      <c r="I131" s="48">
        <v>4592.1000000000004</v>
      </c>
      <c r="J131" s="48">
        <v>1265780.6000000001</v>
      </c>
      <c r="K131" s="48">
        <v>115309.9</v>
      </c>
      <c r="L131" s="48">
        <v>9529.4</v>
      </c>
      <c r="M131" s="48">
        <v>40326.800000000003</v>
      </c>
      <c r="N131" s="48">
        <v>630.1</v>
      </c>
    </row>
    <row r="132" spans="1:14" ht="10.050000000000001" customHeight="1">
      <c r="A132" s="45" t="s">
        <v>83</v>
      </c>
      <c r="B132" s="46">
        <v>2002</v>
      </c>
      <c r="C132" s="45" t="s">
        <v>111</v>
      </c>
      <c r="D132" s="47">
        <v>12</v>
      </c>
      <c r="E132" s="48">
        <v>72.5</v>
      </c>
      <c r="F132" s="48">
        <v>0</v>
      </c>
      <c r="G132" s="48">
        <v>72.5</v>
      </c>
      <c r="H132" s="48">
        <v>1884.2</v>
      </c>
      <c r="I132" s="48">
        <v>242</v>
      </c>
      <c r="J132" s="48">
        <v>2126.1999999999998</v>
      </c>
      <c r="K132" s="48">
        <v>17.5</v>
      </c>
      <c r="L132" s="48">
        <v>0</v>
      </c>
      <c r="M132" s="48">
        <v>47</v>
      </c>
      <c r="N132" s="48">
        <v>0</v>
      </c>
    </row>
    <row r="133" spans="1:14" ht="10.050000000000001" customHeight="1">
      <c r="A133" s="45" t="s">
        <v>82</v>
      </c>
      <c r="B133" s="46">
        <v>2002</v>
      </c>
      <c r="C133" s="45" t="s">
        <v>111</v>
      </c>
      <c r="D133" s="47">
        <v>12</v>
      </c>
      <c r="E133" s="48">
        <v>2774.1</v>
      </c>
      <c r="F133" s="48">
        <v>0</v>
      </c>
      <c r="G133" s="48">
        <v>2774.1</v>
      </c>
      <c r="H133" s="48">
        <v>124276.6</v>
      </c>
      <c r="I133" s="48">
        <v>5295</v>
      </c>
      <c r="J133" s="48">
        <v>129571.6</v>
      </c>
      <c r="K133" s="48">
        <v>5009.2</v>
      </c>
      <c r="L133" s="48">
        <v>138.4</v>
      </c>
      <c r="M133" s="48">
        <v>639.1</v>
      </c>
      <c r="N133" s="48">
        <v>6.4</v>
      </c>
    </row>
    <row r="134" spans="1:14" ht="10.050000000000001" customHeight="1">
      <c r="A134" s="45" t="s">
        <v>81</v>
      </c>
      <c r="B134" s="46">
        <v>2002</v>
      </c>
      <c r="C134" s="45" t="s">
        <v>111</v>
      </c>
      <c r="D134" s="47">
        <v>12</v>
      </c>
      <c r="E134" s="48">
        <v>64533.9</v>
      </c>
      <c r="F134" s="48">
        <v>0</v>
      </c>
      <c r="G134" s="48">
        <v>64533.9</v>
      </c>
      <c r="H134" s="48">
        <v>694335.1</v>
      </c>
      <c r="I134" s="48">
        <v>3036.9</v>
      </c>
      <c r="J134" s="48">
        <v>697372</v>
      </c>
      <c r="K134" s="48">
        <v>115888.1</v>
      </c>
      <c r="L134" s="48">
        <v>1831.9</v>
      </c>
      <c r="M134" s="48">
        <v>54503.199999999997</v>
      </c>
      <c r="N134" s="48">
        <v>294.10000000000002</v>
      </c>
    </row>
    <row r="135" spans="1:14" ht="10.050000000000001" customHeight="1">
      <c r="A135" s="45" t="s">
        <v>80</v>
      </c>
      <c r="B135" s="46">
        <v>2002</v>
      </c>
      <c r="C135" s="45" t="s">
        <v>108</v>
      </c>
      <c r="D135" s="47">
        <v>7</v>
      </c>
      <c r="E135" s="48">
        <v>35.700000000000003</v>
      </c>
      <c r="F135" s="48">
        <v>0</v>
      </c>
      <c r="G135" s="48">
        <v>35.700000000000003</v>
      </c>
      <c r="H135" s="48">
        <v>35.700000000000003</v>
      </c>
      <c r="I135" s="48">
        <v>0</v>
      </c>
      <c r="J135" s="48">
        <v>35.700000000000003</v>
      </c>
      <c r="K135" s="48">
        <v>0</v>
      </c>
      <c r="L135" s="48">
        <v>0</v>
      </c>
      <c r="M135" s="48">
        <v>0</v>
      </c>
      <c r="N135" s="48">
        <v>0</v>
      </c>
    </row>
    <row r="136" spans="1:14" ht="10.050000000000001" customHeight="1">
      <c r="A136" s="45" t="s">
        <v>80</v>
      </c>
      <c r="B136" s="46">
        <v>2003</v>
      </c>
      <c r="C136" s="45" t="s">
        <v>111</v>
      </c>
      <c r="D136" s="47">
        <v>1</v>
      </c>
      <c r="E136" s="48">
        <v>137160</v>
      </c>
      <c r="F136" s="48">
        <v>136</v>
      </c>
      <c r="G136" s="48">
        <v>137296</v>
      </c>
      <c r="H136" s="48">
        <v>1040581.6</v>
      </c>
      <c r="I136" s="48">
        <v>4373.5</v>
      </c>
      <c r="J136" s="48">
        <v>1044955.1</v>
      </c>
      <c r="K136" s="48">
        <v>52106.2</v>
      </c>
      <c r="L136" s="48">
        <v>9121.6</v>
      </c>
      <c r="M136" s="48">
        <v>69658.100000000006</v>
      </c>
      <c r="N136" s="48">
        <v>2667.2</v>
      </c>
    </row>
    <row r="137" spans="1:14" ht="10.050000000000001" customHeight="1">
      <c r="A137" s="45" t="s">
        <v>83</v>
      </c>
      <c r="B137" s="46">
        <v>2003</v>
      </c>
      <c r="C137" s="45" t="s">
        <v>111</v>
      </c>
      <c r="D137" s="47">
        <v>1</v>
      </c>
      <c r="E137" s="48">
        <v>121.5</v>
      </c>
      <c r="F137" s="48">
        <v>0</v>
      </c>
      <c r="G137" s="48">
        <v>121.5</v>
      </c>
      <c r="H137" s="48">
        <v>1559.6</v>
      </c>
      <c r="I137" s="48">
        <v>229.5</v>
      </c>
      <c r="J137" s="48">
        <v>1789.1</v>
      </c>
      <c r="K137" s="48">
        <v>17.5</v>
      </c>
      <c r="L137" s="48">
        <v>0</v>
      </c>
      <c r="M137" s="48">
        <v>0</v>
      </c>
      <c r="N137" s="48">
        <v>0</v>
      </c>
    </row>
    <row r="138" spans="1:14" ht="10.050000000000001" customHeight="1">
      <c r="A138" s="45" t="s">
        <v>82</v>
      </c>
      <c r="B138" s="46">
        <v>2003</v>
      </c>
      <c r="C138" s="45" t="s">
        <v>111</v>
      </c>
      <c r="D138" s="47">
        <v>1</v>
      </c>
      <c r="E138" s="48">
        <v>3653.6</v>
      </c>
      <c r="F138" s="48">
        <v>0</v>
      </c>
      <c r="G138" s="48">
        <v>3653.6</v>
      </c>
      <c r="H138" s="48">
        <v>97866.2</v>
      </c>
      <c r="I138" s="48">
        <v>5295</v>
      </c>
      <c r="J138" s="48">
        <v>103161.2</v>
      </c>
      <c r="K138" s="48">
        <v>3659.3</v>
      </c>
      <c r="L138" s="48">
        <v>115.9</v>
      </c>
      <c r="M138" s="48">
        <v>1463.8</v>
      </c>
      <c r="N138" s="48">
        <v>2</v>
      </c>
    </row>
    <row r="139" spans="1:14" ht="10.050000000000001" customHeight="1">
      <c r="A139" s="45" t="s">
        <v>81</v>
      </c>
      <c r="B139" s="46">
        <v>2003</v>
      </c>
      <c r="C139" s="45" t="s">
        <v>111</v>
      </c>
      <c r="D139" s="47">
        <v>1</v>
      </c>
      <c r="E139" s="48">
        <v>46663.7</v>
      </c>
      <c r="F139" s="48">
        <v>0</v>
      </c>
      <c r="G139" s="48">
        <v>46663.7</v>
      </c>
      <c r="H139" s="48">
        <v>647305</v>
      </c>
      <c r="I139" s="48">
        <v>2958.6</v>
      </c>
      <c r="J139" s="48">
        <v>650263.6</v>
      </c>
      <c r="K139" s="48">
        <v>82886.8</v>
      </c>
      <c r="L139" s="48">
        <v>1043.7</v>
      </c>
      <c r="M139" s="48">
        <v>33282.6</v>
      </c>
      <c r="N139" s="48">
        <v>762.4</v>
      </c>
    </row>
    <row r="140" spans="1:14" ht="10.050000000000001" customHeight="1">
      <c r="A140" s="45" t="s">
        <v>80</v>
      </c>
      <c r="B140" s="46">
        <v>2003</v>
      </c>
      <c r="C140" s="45" t="s">
        <v>111</v>
      </c>
      <c r="D140" s="47">
        <v>2</v>
      </c>
      <c r="E140" s="48">
        <v>70706</v>
      </c>
      <c r="F140" s="48">
        <v>1958.4</v>
      </c>
      <c r="G140" s="48">
        <v>72664.399999999994</v>
      </c>
      <c r="H140" s="48">
        <v>818870.60000000102</v>
      </c>
      <c r="I140" s="48">
        <v>4692.3</v>
      </c>
      <c r="J140" s="48">
        <v>823562.9</v>
      </c>
      <c r="K140" s="48">
        <v>31232.7</v>
      </c>
      <c r="L140" s="48">
        <v>3000.6</v>
      </c>
      <c r="M140" s="48">
        <v>23671.1</v>
      </c>
      <c r="N140" s="48">
        <v>210.5</v>
      </c>
    </row>
    <row r="141" spans="1:14" ht="10.050000000000001" customHeight="1">
      <c r="A141" s="45" t="s">
        <v>83</v>
      </c>
      <c r="B141" s="46">
        <v>2003</v>
      </c>
      <c r="C141" s="45" t="s">
        <v>111</v>
      </c>
      <c r="D141" s="47">
        <v>2</v>
      </c>
      <c r="E141" s="48">
        <v>28.6</v>
      </c>
      <c r="F141" s="48">
        <v>107.8</v>
      </c>
      <c r="G141" s="48">
        <v>136.4</v>
      </c>
      <c r="H141" s="48">
        <v>876.4</v>
      </c>
      <c r="I141" s="48">
        <v>308.5</v>
      </c>
      <c r="J141" s="48">
        <v>1184.9000000000001</v>
      </c>
      <c r="K141" s="48">
        <v>17.5</v>
      </c>
      <c r="L141" s="48">
        <v>0</v>
      </c>
      <c r="M141" s="48">
        <v>0</v>
      </c>
      <c r="N141" s="48">
        <v>0</v>
      </c>
    </row>
    <row r="142" spans="1:14" ht="10.050000000000001" customHeight="1">
      <c r="A142" s="45" t="s">
        <v>82</v>
      </c>
      <c r="B142" s="46">
        <v>2003</v>
      </c>
      <c r="C142" s="45" t="s">
        <v>111</v>
      </c>
      <c r="D142" s="47">
        <v>2</v>
      </c>
      <c r="E142" s="48">
        <v>1811.5</v>
      </c>
      <c r="F142" s="48">
        <v>0</v>
      </c>
      <c r="G142" s="48">
        <v>1811.5</v>
      </c>
      <c r="H142" s="48">
        <v>83904.7</v>
      </c>
      <c r="I142" s="48">
        <v>5179.6000000000004</v>
      </c>
      <c r="J142" s="48">
        <v>89084.3</v>
      </c>
      <c r="K142" s="48">
        <v>3154.1</v>
      </c>
      <c r="L142" s="48">
        <v>0</v>
      </c>
      <c r="M142" s="48">
        <v>505.2</v>
      </c>
      <c r="N142" s="48">
        <v>0</v>
      </c>
    </row>
    <row r="143" spans="1:14" ht="10.050000000000001" customHeight="1">
      <c r="A143" s="45" t="s">
        <v>81</v>
      </c>
      <c r="B143" s="46">
        <v>2003</v>
      </c>
      <c r="C143" s="45" t="s">
        <v>111</v>
      </c>
      <c r="D143" s="47">
        <v>2</v>
      </c>
      <c r="E143" s="48">
        <v>32520.7</v>
      </c>
      <c r="F143" s="48">
        <v>1268.7</v>
      </c>
      <c r="G143" s="48">
        <v>33789.4</v>
      </c>
      <c r="H143" s="48">
        <v>568663.30000000005</v>
      </c>
      <c r="I143" s="48">
        <v>3768.6</v>
      </c>
      <c r="J143" s="48">
        <v>572431.9</v>
      </c>
      <c r="K143" s="48">
        <v>61354.3</v>
      </c>
      <c r="L143" s="48">
        <v>453.7</v>
      </c>
      <c r="M143" s="48">
        <v>21771.8</v>
      </c>
      <c r="N143" s="48">
        <v>214.4</v>
      </c>
    </row>
    <row r="144" spans="1:14" ht="10.050000000000001" customHeight="1">
      <c r="A144" s="45" t="s">
        <v>80</v>
      </c>
      <c r="B144" s="46">
        <v>2003</v>
      </c>
      <c r="C144" s="45" t="s">
        <v>111</v>
      </c>
      <c r="D144" s="47">
        <v>3</v>
      </c>
      <c r="E144" s="48">
        <v>48898.1</v>
      </c>
      <c r="F144" s="48">
        <v>0</v>
      </c>
      <c r="G144" s="48">
        <v>48898.1</v>
      </c>
      <c r="H144" s="48">
        <v>623679.30000000005</v>
      </c>
      <c r="I144" s="48">
        <v>4156.8</v>
      </c>
      <c r="J144" s="48">
        <v>627836.1</v>
      </c>
      <c r="K144" s="48">
        <v>14855.1</v>
      </c>
      <c r="L144" s="48">
        <v>1411.4</v>
      </c>
      <c r="M144" s="48">
        <v>17489.099999999999</v>
      </c>
      <c r="N144" s="48">
        <v>309.10000000000002</v>
      </c>
    </row>
    <row r="145" spans="1:14" ht="10.050000000000001" customHeight="1">
      <c r="A145" s="45" t="s">
        <v>83</v>
      </c>
      <c r="B145" s="46">
        <v>2003</v>
      </c>
      <c r="C145" s="45" t="s">
        <v>111</v>
      </c>
      <c r="D145" s="47">
        <v>3</v>
      </c>
      <c r="E145" s="48">
        <v>146.6</v>
      </c>
      <c r="F145" s="48">
        <v>241.3</v>
      </c>
      <c r="G145" s="48">
        <v>387.9</v>
      </c>
      <c r="H145" s="48">
        <v>721.8</v>
      </c>
      <c r="I145" s="48">
        <v>294.5</v>
      </c>
      <c r="J145" s="48">
        <v>1016.3</v>
      </c>
      <c r="K145" s="48">
        <v>17.5</v>
      </c>
      <c r="L145" s="48">
        <v>0</v>
      </c>
      <c r="M145" s="48">
        <v>0</v>
      </c>
      <c r="N145" s="48">
        <v>0</v>
      </c>
    </row>
    <row r="146" spans="1:14" ht="10.050000000000001" customHeight="1">
      <c r="A146" s="45" t="s">
        <v>82</v>
      </c>
      <c r="B146" s="46">
        <v>2003</v>
      </c>
      <c r="C146" s="45" t="s">
        <v>111</v>
      </c>
      <c r="D146" s="47">
        <v>3</v>
      </c>
      <c r="E146" s="48">
        <v>1801.5</v>
      </c>
      <c r="F146" s="48">
        <v>122</v>
      </c>
      <c r="G146" s="48">
        <v>1923.5</v>
      </c>
      <c r="H146" s="48">
        <v>67713.2</v>
      </c>
      <c r="I146" s="48">
        <v>5162.6000000000004</v>
      </c>
      <c r="J146" s="48">
        <v>72875.8</v>
      </c>
      <c r="K146" s="48">
        <v>2527.3000000000002</v>
      </c>
      <c r="L146" s="48">
        <v>4</v>
      </c>
      <c r="M146" s="48">
        <v>630.79999999999995</v>
      </c>
      <c r="N146" s="48">
        <v>0</v>
      </c>
    </row>
    <row r="147" spans="1:14" ht="10.050000000000001" customHeight="1">
      <c r="A147" s="45" t="s">
        <v>81</v>
      </c>
      <c r="B147" s="46">
        <v>2003</v>
      </c>
      <c r="C147" s="45" t="s">
        <v>111</v>
      </c>
      <c r="D147" s="47">
        <v>3</v>
      </c>
      <c r="E147" s="48">
        <v>19310.7</v>
      </c>
      <c r="F147" s="48">
        <v>1080.3</v>
      </c>
      <c r="G147" s="48">
        <v>20391</v>
      </c>
      <c r="H147" s="48">
        <v>477685.2</v>
      </c>
      <c r="I147" s="48">
        <v>3680.3</v>
      </c>
      <c r="J147" s="48">
        <v>481365.5</v>
      </c>
      <c r="K147" s="48">
        <v>50526.2</v>
      </c>
      <c r="L147" s="48">
        <v>1169.5</v>
      </c>
      <c r="M147" s="48">
        <v>11827.7</v>
      </c>
      <c r="N147" s="48">
        <v>169.9</v>
      </c>
    </row>
    <row r="148" spans="1:14" ht="10.050000000000001" customHeight="1">
      <c r="A148" s="45" t="s">
        <v>80</v>
      </c>
      <c r="B148" s="46">
        <v>2003</v>
      </c>
      <c r="C148" s="45" t="s">
        <v>111</v>
      </c>
      <c r="D148" s="47">
        <v>4</v>
      </c>
      <c r="E148" s="48">
        <v>20332.2</v>
      </c>
      <c r="F148" s="48">
        <v>0</v>
      </c>
      <c r="G148" s="48">
        <v>20332.2</v>
      </c>
      <c r="H148" s="48">
        <v>374105.8</v>
      </c>
      <c r="I148" s="48">
        <v>4156</v>
      </c>
      <c r="J148" s="48">
        <v>378261.8</v>
      </c>
      <c r="K148" s="48">
        <v>9663.8000000000102</v>
      </c>
      <c r="L148" s="48">
        <v>1086.2</v>
      </c>
      <c r="M148" s="48">
        <v>6197.2</v>
      </c>
      <c r="N148" s="48">
        <v>80.3</v>
      </c>
    </row>
    <row r="149" spans="1:14" ht="10.050000000000001" customHeight="1">
      <c r="A149" s="45" t="s">
        <v>83</v>
      </c>
      <c r="B149" s="46">
        <v>2003</v>
      </c>
      <c r="C149" s="45" t="s">
        <v>111</v>
      </c>
      <c r="D149" s="47">
        <v>4</v>
      </c>
      <c r="E149" s="48">
        <v>212</v>
      </c>
      <c r="F149" s="48">
        <v>62.2</v>
      </c>
      <c r="G149" s="48">
        <v>274.2</v>
      </c>
      <c r="H149" s="48">
        <v>496.7</v>
      </c>
      <c r="I149" s="48">
        <v>376.6</v>
      </c>
      <c r="J149" s="48">
        <v>873.3</v>
      </c>
      <c r="K149" s="48">
        <v>17.5</v>
      </c>
      <c r="L149" s="48">
        <v>0</v>
      </c>
      <c r="M149" s="48">
        <v>0</v>
      </c>
      <c r="N149" s="48">
        <v>0</v>
      </c>
    </row>
    <row r="150" spans="1:14" ht="10.050000000000001" customHeight="1">
      <c r="A150" s="45" t="s">
        <v>82</v>
      </c>
      <c r="B150" s="46">
        <v>2003</v>
      </c>
      <c r="C150" s="45" t="s">
        <v>111</v>
      </c>
      <c r="D150" s="47">
        <v>4</v>
      </c>
      <c r="E150" s="48">
        <v>2421.9</v>
      </c>
      <c r="F150" s="48">
        <v>0</v>
      </c>
      <c r="G150" s="48">
        <v>2421.9</v>
      </c>
      <c r="H150" s="48">
        <v>54670.6</v>
      </c>
      <c r="I150" s="48">
        <v>4885.8</v>
      </c>
      <c r="J150" s="48">
        <v>59556.4</v>
      </c>
      <c r="K150" s="48">
        <v>1487.3</v>
      </c>
      <c r="L150" s="48">
        <v>31.5</v>
      </c>
      <c r="M150" s="48">
        <v>1042.8</v>
      </c>
      <c r="N150" s="48">
        <v>28.7</v>
      </c>
    </row>
    <row r="151" spans="1:14" ht="10.050000000000001" customHeight="1">
      <c r="A151" s="45" t="s">
        <v>81</v>
      </c>
      <c r="B151" s="46">
        <v>2003</v>
      </c>
      <c r="C151" s="45" t="s">
        <v>111</v>
      </c>
      <c r="D151" s="47">
        <v>4</v>
      </c>
      <c r="E151" s="48">
        <v>21486.799999999999</v>
      </c>
      <c r="F151" s="48">
        <v>0</v>
      </c>
      <c r="G151" s="48">
        <v>21486.799999999999</v>
      </c>
      <c r="H151" s="48">
        <v>377131.1</v>
      </c>
      <c r="I151" s="48">
        <v>3385.6</v>
      </c>
      <c r="J151" s="48">
        <v>380516.7</v>
      </c>
      <c r="K151" s="48">
        <v>37304.199999999997</v>
      </c>
      <c r="L151" s="48">
        <v>585.4</v>
      </c>
      <c r="M151" s="48">
        <v>13661</v>
      </c>
      <c r="N151" s="48">
        <v>146.4</v>
      </c>
    </row>
    <row r="152" spans="1:14" ht="10.050000000000001" customHeight="1">
      <c r="A152" s="45" t="s">
        <v>80</v>
      </c>
      <c r="B152" s="46">
        <v>2003</v>
      </c>
      <c r="C152" s="45" t="s">
        <v>111</v>
      </c>
      <c r="D152" s="47">
        <v>5</v>
      </c>
      <c r="E152" s="48">
        <v>15460.8</v>
      </c>
      <c r="F152" s="48">
        <v>0</v>
      </c>
      <c r="G152" s="48">
        <v>15460.8</v>
      </c>
      <c r="H152" s="48">
        <v>180778.6</v>
      </c>
      <c r="I152" s="48">
        <v>4034.5</v>
      </c>
      <c r="J152" s="48">
        <v>184813.1</v>
      </c>
      <c r="K152" s="48">
        <v>4668.1000000000004</v>
      </c>
      <c r="L152" s="48">
        <v>641.1</v>
      </c>
      <c r="M152" s="48">
        <v>5569.1</v>
      </c>
      <c r="N152" s="48">
        <v>67.7</v>
      </c>
    </row>
    <row r="153" spans="1:14" ht="10.050000000000001" customHeight="1">
      <c r="A153" s="45" t="s">
        <v>83</v>
      </c>
      <c r="B153" s="46">
        <v>2003</v>
      </c>
      <c r="C153" s="45" t="s">
        <v>111</v>
      </c>
      <c r="D153" s="47">
        <v>5</v>
      </c>
      <c r="E153" s="48">
        <v>147.1</v>
      </c>
      <c r="F153" s="48">
        <v>288.60000000000002</v>
      </c>
      <c r="G153" s="48">
        <v>435.7</v>
      </c>
      <c r="H153" s="48">
        <v>457.8</v>
      </c>
      <c r="I153" s="48">
        <v>645.79999999999995</v>
      </c>
      <c r="J153" s="48">
        <v>1103.5999999999999</v>
      </c>
      <c r="K153" s="48">
        <v>17.5</v>
      </c>
      <c r="L153" s="48">
        <v>0</v>
      </c>
      <c r="M153" s="48">
        <v>0</v>
      </c>
      <c r="N153" s="48">
        <v>0</v>
      </c>
    </row>
    <row r="154" spans="1:14" ht="10.050000000000001" customHeight="1">
      <c r="A154" s="45" t="s">
        <v>82</v>
      </c>
      <c r="B154" s="46">
        <v>2003</v>
      </c>
      <c r="C154" s="45" t="s">
        <v>111</v>
      </c>
      <c r="D154" s="47">
        <v>5</v>
      </c>
      <c r="E154" s="48">
        <v>3128.2</v>
      </c>
      <c r="F154" s="48">
        <v>411.8</v>
      </c>
      <c r="G154" s="48">
        <v>3540</v>
      </c>
      <c r="H154" s="48">
        <v>46141.7</v>
      </c>
      <c r="I154" s="48">
        <v>3271.5</v>
      </c>
      <c r="J154" s="48">
        <v>49413.2</v>
      </c>
      <c r="K154" s="48">
        <v>378.4</v>
      </c>
      <c r="L154" s="48">
        <v>6.1</v>
      </c>
      <c r="M154" s="48">
        <v>1093.3</v>
      </c>
      <c r="N154" s="48">
        <v>21.7</v>
      </c>
    </row>
    <row r="155" spans="1:14" ht="10.050000000000001" customHeight="1">
      <c r="A155" s="45" t="s">
        <v>81</v>
      </c>
      <c r="B155" s="46">
        <v>2003</v>
      </c>
      <c r="C155" s="45" t="s">
        <v>111</v>
      </c>
      <c r="D155" s="47">
        <v>5</v>
      </c>
      <c r="E155" s="48">
        <v>26150.9</v>
      </c>
      <c r="F155" s="48">
        <v>0</v>
      </c>
      <c r="G155" s="48">
        <v>26150.9</v>
      </c>
      <c r="H155" s="48">
        <v>302602.3</v>
      </c>
      <c r="I155" s="48">
        <v>3335.2</v>
      </c>
      <c r="J155" s="48">
        <v>305937.5</v>
      </c>
      <c r="K155" s="48">
        <v>20404.2</v>
      </c>
      <c r="L155" s="48">
        <v>227.5</v>
      </c>
      <c r="M155" s="48">
        <v>16855.2</v>
      </c>
      <c r="N155" s="48">
        <v>272.3</v>
      </c>
    </row>
    <row r="156" spans="1:14" ht="10.050000000000001" customHeight="1">
      <c r="A156" s="45" t="s">
        <v>80</v>
      </c>
      <c r="B156" s="46">
        <v>2003</v>
      </c>
      <c r="C156" s="45" t="s">
        <v>111</v>
      </c>
      <c r="D156" s="47">
        <v>6</v>
      </c>
      <c r="E156" s="48">
        <v>13476.1</v>
      </c>
      <c r="F156" s="48">
        <v>834.1</v>
      </c>
      <c r="G156" s="48">
        <v>14310.2</v>
      </c>
      <c r="H156" s="48">
        <v>42574.400000000001</v>
      </c>
      <c r="I156" s="48">
        <v>2390.3000000000002</v>
      </c>
      <c r="J156" s="48">
        <v>44964.7</v>
      </c>
      <c r="K156" s="48">
        <v>3662.9</v>
      </c>
      <c r="L156" s="48">
        <v>2614.6999999999998</v>
      </c>
      <c r="M156" s="48">
        <v>3550.4</v>
      </c>
      <c r="N156" s="48">
        <v>69.5</v>
      </c>
    </row>
    <row r="157" spans="1:14" ht="10.050000000000001" customHeight="1">
      <c r="A157" s="45" t="s">
        <v>83</v>
      </c>
      <c r="B157" s="46">
        <v>2003</v>
      </c>
      <c r="C157" s="45" t="s">
        <v>111</v>
      </c>
      <c r="D157" s="47">
        <v>6</v>
      </c>
      <c r="E157" s="48">
        <v>188.3</v>
      </c>
      <c r="F157" s="48">
        <v>50.3</v>
      </c>
      <c r="G157" s="48">
        <v>238.6</v>
      </c>
      <c r="H157" s="48">
        <v>431.3</v>
      </c>
      <c r="I157" s="48">
        <v>528</v>
      </c>
      <c r="J157" s="48">
        <v>959.3</v>
      </c>
      <c r="K157" s="48">
        <v>0</v>
      </c>
      <c r="L157" s="48">
        <v>0</v>
      </c>
      <c r="M157" s="48">
        <v>17.5</v>
      </c>
      <c r="N157" s="48">
        <v>0</v>
      </c>
    </row>
    <row r="158" spans="1:14" ht="10.050000000000001" customHeight="1">
      <c r="A158" s="45" t="s">
        <v>82</v>
      </c>
      <c r="B158" s="46">
        <v>2003</v>
      </c>
      <c r="C158" s="45" t="s">
        <v>111</v>
      </c>
      <c r="D158" s="47">
        <v>6</v>
      </c>
      <c r="E158" s="48">
        <v>2224.1</v>
      </c>
      <c r="F158" s="48">
        <v>135</v>
      </c>
      <c r="G158" s="48">
        <v>2359.1</v>
      </c>
      <c r="H158" s="48">
        <v>30731.4</v>
      </c>
      <c r="I158" s="48">
        <v>952.2</v>
      </c>
      <c r="J158" s="48">
        <v>31683.599999999999</v>
      </c>
      <c r="K158" s="48">
        <v>9.6999999999999993</v>
      </c>
      <c r="L158" s="48">
        <v>0</v>
      </c>
      <c r="M158" s="48">
        <v>357.5</v>
      </c>
      <c r="N158" s="48">
        <v>11.2</v>
      </c>
    </row>
    <row r="159" spans="1:14" ht="10.050000000000001" customHeight="1">
      <c r="A159" s="45" t="s">
        <v>81</v>
      </c>
      <c r="B159" s="46">
        <v>2003</v>
      </c>
      <c r="C159" s="45" t="s">
        <v>111</v>
      </c>
      <c r="D159" s="47">
        <v>6</v>
      </c>
      <c r="E159" s="48">
        <v>27261.1</v>
      </c>
      <c r="F159" s="48">
        <v>164</v>
      </c>
      <c r="G159" s="48">
        <v>27425.1</v>
      </c>
      <c r="H159" s="48">
        <v>175072.8</v>
      </c>
      <c r="I159" s="48">
        <v>1599.8</v>
      </c>
      <c r="J159" s="48">
        <v>176672.6</v>
      </c>
      <c r="K159" s="48">
        <v>3391</v>
      </c>
      <c r="L159" s="48">
        <v>294.10000000000002</v>
      </c>
      <c r="M159" s="48">
        <v>16211.5</v>
      </c>
      <c r="N159" s="48">
        <v>1095.8</v>
      </c>
    </row>
    <row r="160" spans="1:14" ht="10.050000000000001" customHeight="1">
      <c r="A160" s="45" t="s">
        <v>80</v>
      </c>
      <c r="B160" s="46">
        <v>2003</v>
      </c>
      <c r="C160" s="45" t="s">
        <v>108</v>
      </c>
      <c r="D160" s="47">
        <v>7</v>
      </c>
      <c r="E160" s="48">
        <v>2253445.5</v>
      </c>
      <c r="F160" s="48">
        <v>6511.9</v>
      </c>
      <c r="G160" s="48">
        <v>2259957.4</v>
      </c>
      <c r="H160" s="48">
        <v>1909476.5</v>
      </c>
      <c r="I160" s="48">
        <v>6075</v>
      </c>
      <c r="J160" s="48">
        <v>1915551.5</v>
      </c>
      <c r="K160" s="48">
        <v>491843.9</v>
      </c>
      <c r="L160" s="48">
        <v>609793.69999999995</v>
      </c>
      <c r="M160" s="48">
        <v>121265.5</v>
      </c>
      <c r="N160" s="48">
        <v>330.5</v>
      </c>
    </row>
    <row r="161" spans="1:14" ht="10.050000000000001" customHeight="1">
      <c r="A161" s="45" t="s">
        <v>83</v>
      </c>
      <c r="B161" s="46">
        <v>2003</v>
      </c>
      <c r="C161" s="45" t="s">
        <v>108</v>
      </c>
      <c r="D161" s="47">
        <v>7</v>
      </c>
      <c r="E161" s="48">
        <v>961.3</v>
      </c>
      <c r="F161" s="48">
        <v>0</v>
      </c>
      <c r="G161" s="48">
        <v>961.3</v>
      </c>
      <c r="H161" s="48">
        <v>856.7</v>
      </c>
      <c r="I161" s="48">
        <v>318.10000000000002</v>
      </c>
      <c r="J161" s="48">
        <v>1174.8</v>
      </c>
      <c r="K161" s="48">
        <v>63.8</v>
      </c>
      <c r="L161" s="48">
        <v>63.8</v>
      </c>
      <c r="M161" s="48">
        <v>0</v>
      </c>
      <c r="N161" s="48">
        <v>0</v>
      </c>
    </row>
    <row r="162" spans="1:14" ht="10.050000000000001" customHeight="1">
      <c r="A162" s="45" t="s">
        <v>82</v>
      </c>
      <c r="B162" s="46">
        <v>2003</v>
      </c>
      <c r="C162" s="45" t="s">
        <v>108</v>
      </c>
      <c r="D162" s="47">
        <v>7</v>
      </c>
      <c r="E162" s="48">
        <v>472.7</v>
      </c>
      <c r="F162" s="48">
        <v>0</v>
      </c>
      <c r="G162" s="48">
        <v>472.7</v>
      </c>
      <c r="H162" s="48">
        <v>22540.2</v>
      </c>
      <c r="I162" s="48">
        <v>901.5</v>
      </c>
      <c r="J162" s="48">
        <v>23441.7</v>
      </c>
      <c r="K162" s="48">
        <v>33.1</v>
      </c>
      <c r="L162" s="48">
        <v>23.4</v>
      </c>
      <c r="M162" s="48">
        <v>0</v>
      </c>
      <c r="N162" s="48">
        <v>0</v>
      </c>
    </row>
    <row r="163" spans="1:14" ht="10.050000000000001" customHeight="1">
      <c r="A163" s="45" t="s">
        <v>81</v>
      </c>
      <c r="B163" s="46">
        <v>2003</v>
      </c>
      <c r="C163" s="45" t="s">
        <v>108</v>
      </c>
      <c r="D163" s="47">
        <v>7</v>
      </c>
      <c r="E163" s="48">
        <v>3775.1</v>
      </c>
      <c r="F163" s="48">
        <v>31.6</v>
      </c>
      <c r="G163" s="48">
        <v>3806.7</v>
      </c>
      <c r="H163" s="48">
        <v>115837.9</v>
      </c>
      <c r="I163" s="48">
        <v>1975</v>
      </c>
      <c r="J163" s="48">
        <v>117812.9</v>
      </c>
      <c r="K163" s="48">
        <v>3476.9</v>
      </c>
      <c r="L163" s="48">
        <v>1000.3</v>
      </c>
      <c r="M163" s="48">
        <v>835.2</v>
      </c>
      <c r="N163" s="48">
        <v>79.2</v>
      </c>
    </row>
    <row r="164" spans="1:14" ht="10.050000000000001" customHeight="1">
      <c r="A164" s="45" t="s">
        <v>80</v>
      </c>
      <c r="B164" s="46">
        <v>2003</v>
      </c>
      <c r="C164" s="45" t="s">
        <v>108</v>
      </c>
      <c r="D164" s="47">
        <v>8</v>
      </c>
      <c r="E164" s="48">
        <v>246804.9</v>
      </c>
      <c r="F164" s="48">
        <v>1467.3</v>
      </c>
      <c r="G164" s="48">
        <v>248272.2</v>
      </c>
      <c r="H164" s="48">
        <v>1885240.3</v>
      </c>
      <c r="I164" s="48">
        <v>6663.9</v>
      </c>
      <c r="J164" s="48">
        <v>1891904.2</v>
      </c>
      <c r="K164" s="48">
        <v>394029.3</v>
      </c>
      <c r="L164" s="48">
        <v>25369.5</v>
      </c>
      <c r="M164" s="48">
        <v>119816.8</v>
      </c>
      <c r="N164" s="48">
        <v>3367.3</v>
      </c>
    </row>
    <row r="165" spans="1:14" ht="10.050000000000001" customHeight="1">
      <c r="A165" s="45" t="s">
        <v>83</v>
      </c>
      <c r="B165" s="46">
        <v>2003</v>
      </c>
      <c r="C165" s="45" t="s">
        <v>108</v>
      </c>
      <c r="D165" s="47">
        <v>8</v>
      </c>
      <c r="E165" s="48">
        <v>2786.1</v>
      </c>
      <c r="F165" s="48">
        <v>0</v>
      </c>
      <c r="G165" s="48">
        <v>2786.1</v>
      </c>
      <c r="H165" s="48">
        <v>2479.1</v>
      </c>
      <c r="I165" s="48">
        <v>285.2</v>
      </c>
      <c r="J165" s="48">
        <v>2764.3</v>
      </c>
      <c r="K165" s="48">
        <v>88.5</v>
      </c>
      <c r="L165" s="48">
        <v>74.2</v>
      </c>
      <c r="M165" s="48">
        <v>49.5</v>
      </c>
      <c r="N165" s="48">
        <v>0</v>
      </c>
    </row>
    <row r="166" spans="1:14" ht="10.050000000000001" customHeight="1">
      <c r="A166" s="45" t="s">
        <v>82</v>
      </c>
      <c r="B166" s="46">
        <v>2003</v>
      </c>
      <c r="C166" s="45" t="s">
        <v>108</v>
      </c>
      <c r="D166" s="47">
        <v>8</v>
      </c>
      <c r="E166" s="48">
        <v>10107.1</v>
      </c>
      <c r="F166" s="48">
        <v>0</v>
      </c>
      <c r="G166" s="48">
        <v>10107.1</v>
      </c>
      <c r="H166" s="48">
        <v>24701.5</v>
      </c>
      <c r="I166" s="48">
        <v>901.5</v>
      </c>
      <c r="J166" s="48">
        <v>25603</v>
      </c>
      <c r="K166" s="48">
        <v>715.7</v>
      </c>
      <c r="L166" s="48">
        <v>706</v>
      </c>
      <c r="M166" s="48">
        <v>23.4</v>
      </c>
      <c r="N166" s="48">
        <v>0</v>
      </c>
    </row>
    <row r="167" spans="1:14" ht="10.050000000000001" customHeight="1">
      <c r="A167" s="45" t="s">
        <v>81</v>
      </c>
      <c r="B167" s="46">
        <v>2003</v>
      </c>
      <c r="C167" s="45" t="s">
        <v>108</v>
      </c>
      <c r="D167" s="47">
        <v>8</v>
      </c>
      <c r="E167" s="48">
        <v>350609.5</v>
      </c>
      <c r="F167" s="48">
        <v>219.5</v>
      </c>
      <c r="G167" s="48">
        <v>350829</v>
      </c>
      <c r="H167" s="48">
        <v>410504.8</v>
      </c>
      <c r="I167" s="48">
        <v>1980.8</v>
      </c>
      <c r="J167" s="48">
        <v>412485.6</v>
      </c>
      <c r="K167" s="48">
        <v>112157.8</v>
      </c>
      <c r="L167" s="48">
        <v>109014.3</v>
      </c>
      <c r="M167" s="48">
        <v>197.1</v>
      </c>
      <c r="N167" s="48">
        <v>136.30000000000001</v>
      </c>
    </row>
    <row r="168" spans="1:14" ht="10.050000000000001" customHeight="1">
      <c r="A168" s="45" t="s">
        <v>80</v>
      </c>
      <c r="B168" s="46">
        <v>2003</v>
      </c>
      <c r="C168" s="45" t="s">
        <v>108</v>
      </c>
      <c r="D168" s="47">
        <v>9</v>
      </c>
      <c r="E168" s="48">
        <v>115076.2</v>
      </c>
      <c r="F168" s="48">
        <v>84.2</v>
      </c>
      <c r="G168" s="48">
        <v>115160.4</v>
      </c>
      <c r="H168" s="48">
        <v>1706546.3</v>
      </c>
      <c r="I168" s="48">
        <v>5607</v>
      </c>
      <c r="J168" s="48">
        <v>1712153.3</v>
      </c>
      <c r="K168" s="48">
        <v>320135.09999999998</v>
      </c>
      <c r="L168" s="48">
        <v>7135.8</v>
      </c>
      <c r="M168" s="48">
        <v>78404.3</v>
      </c>
      <c r="N168" s="48">
        <v>2625.7</v>
      </c>
    </row>
    <row r="169" spans="1:14" ht="10.050000000000001" customHeight="1">
      <c r="A169" s="45" t="s">
        <v>83</v>
      </c>
      <c r="B169" s="46">
        <v>2003</v>
      </c>
      <c r="C169" s="45" t="s">
        <v>108</v>
      </c>
      <c r="D169" s="47">
        <v>9</v>
      </c>
      <c r="E169" s="48">
        <v>707.2</v>
      </c>
      <c r="F169" s="48">
        <v>86.6</v>
      </c>
      <c r="G169" s="48">
        <v>793.8</v>
      </c>
      <c r="H169" s="48">
        <v>2158.4</v>
      </c>
      <c r="I169" s="48">
        <v>318.60000000000002</v>
      </c>
      <c r="J169" s="48">
        <v>2477</v>
      </c>
      <c r="K169" s="48">
        <v>69.599999999999994</v>
      </c>
      <c r="L169" s="48">
        <v>0</v>
      </c>
      <c r="M169" s="48">
        <v>18.899999999999999</v>
      </c>
      <c r="N169" s="48">
        <v>0</v>
      </c>
    </row>
    <row r="170" spans="1:14" ht="10.050000000000001" customHeight="1">
      <c r="A170" s="45" t="s">
        <v>82</v>
      </c>
      <c r="B170" s="46">
        <v>2003</v>
      </c>
      <c r="C170" s="45" t="s">
        <v>108</v>
      </c>
      <c r="D170" s="47">
        <v>9</v>
      </c>
      <c r="E170" s="48">
        <v>53827.1</v>
      </c>
      <c r="F170" s="48">
        <v>2208.6999999999998</v>
      </c>
      <c r="G170" s="48">
        <v>56035.8</v>
      </c>
      <c r="H170" s="48">
        <v>69093</v>
      </c>
      <c r="I170" s="48">
        <v>3185.2</v>
      </c>
      <c r="J170" s="48">
        <v>72278.2</v>
      </c>
      <c r="K170" s="48">
        <v>4226.8</v>
      </c>
      <c r="L170" s="48">
        <v>3706</v>
      </c>
      <c r="M170" s="48">
        <v>138.1</v>
      </c>
      <c r="N170" s="48">
        <v>56.8</v>
      </c>
    </row>
    <row r="171" spans="1:14" ht="10.050000000000001" customHeight="1">
      <c r="A171" s="45" t="s">
        <v>81</v>
      </c>
      <c r="B171" s="46">
        <v>2003</v>
      </c>
      <c r="C171" s="45" t="s">
        <v>108</v>
      </c>
      <c r="D171" s="47">
        <v>9</v>
      </c>
      <c r="E171" s="48">
        <v>665075.5</v>
      </c>
      <c r="F171" s="48">
        <v>447.4</v>
      </c>
      <c r="G171" s="48">
        <v>665522.9</v>
      </c>
      <c r="H171" s="48">
        <v>941022.6</v>
      </c>
      <c r="I171" s="48">
        <v>2411.3000000000002</v>
      </c>
      <c r="J171" s="48">
        <v>943433.9</v>
      </c>
      <c r="K171" s="48">
        <v>251195.1</v>
      </c>
      <c r="L171" s="48">
        <v>149709.79999999999</v>
      </c>
      <c r="M171" s="48">
        <v>10405.1</v>
      </c>
      <c r="N171" s="48">
        <v>267.39999999999998</v>
      </c>
    </row>
    <row r="172" spans="1:14" ht="10.050000000000001" customHeight="1">
      <c r="A172" s="45" t="s">
        <v>80</v>
      </c>
      <c r="B172" s="46">
        <v>2003</v>
      </c>
      <c r="C172" s="45" t="s">
        <v>108</v>
      </c>
      <c r="D172" s="47">
        <v>10</v>
      </c>
      <c r="E172" s="48">
        <v>97887.6</v>
      </c>
      <c r="F172" s="48">
        <v>32</v>
      </c>
      <c r="G172" s="48">
        <v>97919.6</v>
      </c>
      <c r="H172" s="48">
        <v>1505389</v>
      </c>
      <c r="I172" s="48">
        <v>5199.7</v>
      </c>
      <c r="J172" s="48">
        <v>1510588.7</v>
      </c>
      <c r="K172" s="48">
        <v>249121</v>
      </c>
      <c r="L172" s="48">
        <v>6464.9</v>
      </c>
      <c r="M172" s="48">
        <v>74887.3</v>
      </c>
      <c r="N172" s="48">
        <v>2591.6999999999998</v>
      </c>
    </row>
    <row r="173" spans="1:14" ht="10.050000000000001" customHeight="1">
      <c r="A173" s="45" t="s">
        <v>83</v>
      </c>
      <c r="B173" s="46">
        <v>2003</v>
      </c>
      <c r="C173" s="45" t="s">
        <v>108</v>
      </c>
      <c r="D173" s="47">
        <v>10</v>
      </c>
      <c r="E173" s="48">
        <v>395.5</v>
      </c>
      <c r="F173" s="48">
        <v>0</v>
      </c>
      <c r="G173" s="48">
        <v>395.5</v>
      </c>
      <c r="H173" s="48">
        <v>1827.2</v>
      </c>
      <c r="I173" s="48">
        <v>310.10000000000002</v>
      </c>
      <c r="J173" s="48">
        <v>2137.3000000000002</v>
      </c>
      <c r="K173" s="48">
        <v>58.3</v>
      </c>
      <c r="L173" s="48">
        <v>0</v>
      </c>
      <c r="M173" s="48">
        <v>11.3</v>
      </c>
      <c r="N173" s="48">
        <v>0</v>
      </c>
    </row>
    <row r="174" spans="1:14" ht="10.050000000000001" customHeight="1">
      <c r="A174" s="45" t="s">
        <v>82</v>
      </c>
      <c r="B174" s="46">
        <v>2003</v>
      </c>
      <c r="C174" s="45" t="s">
        <v>108</v>
      </c>
      <c r="D174" s="47">
        <v>10</v>
      </c>
      <c r="E174" s="48">
        <v>29630.2</v>
      </c>
      <c r="F174" s="48">
        <v>77.2</v>
      </c>
      <c r="G174" s="48">
        <v>29707.4</v>
      </c>
      <c r="H174" s="48">
        <v>88274.9</v>
      </c>
      <c r="I174" s="48">
        <v>3267.1</v>
      </c>
      <c r="J174" s="48">
        <v>91542</v>
      </c>
      <c r="K174" s="48">
        <v>5541.4</v>
      </c>
      <c r="L174" s="48">
        <v>2020.5</v>
      </c>
      <c r="M174" s="48">
        <v>676.2</v>
      </c>
      <c r="N174" s="48">
        <v>29.7</v>
      </c>
    </row>
    <row r="175" spans="1:14" ht="10.050000000000001" customHeight="1">
      <c r="A175" s="45" t="s">
        <v>81</v>
      </c>
      <c r="B175" s="46">
        <v>2003</v>
      </c>
      <c r="C175" s="45" t="s">
        <v>108</v>
      </c>
      <c r="D175" s="47">
        <v>10</v>
      </c>
      <c r="E175" s="48">
        <v>70403.100000000006</v>
      </c>
      <c r="F175" s="48">
        <v>44.6</v>
      </c>
      <c r="G175" s="48">
        <v>70447.7</v>
      </c>
      <c r="H175" s="48">
        <v>884671.3</v>
      </c>
      <c r="I175" s="48">
        <v>2677.4</v>
      </c>
      <c r="J175" s="48">
        <v>887348.7</v>
      </c>
      <c r="K175" s="48">
        <v>243547.1</v>
      </c>
      <c r="L175" s="48">
        <v>16859.5</v>
      </c>
      <c r="M175" s="48">
        <v>24233.3</v>
      </c>
      <c r="N175" s="48">
        <v>274.2</v>
      </c>
    </row>
    <row r="176" spans="1:14" ht="10.050000000000001" customHeight="1">
      <c r="A176" s="45" t="s">
        <v>80</v>
      </c>
      <c r="B176" s="46">
        <v>2003</v>
      </c>
      <c r="C176" s="45" t="s">
        <v>108</v>
      </c>
      <c r="D176" s="47">
        <v>11</v>
      </c>
      <c r="E176" s="48">
        <v>129038.1</v>
      </c>
      <c r="F176" s="48">
        <v>114.6</v>
      </c>
      <c r="G176" s="48">
        <v>129152.7</v>
      </c>
      <c r="H176" s="48">
        <v>1419758.3</v>
      </c>
      <c r="I176" s="48">
        <v>4412</v>
      </c>
      <c r="J176" s="48">
        <v>1424170.3</v>
      </c>
      <c r="K176" s="48">
        <v>193561.3</v>
      </c>
      <c r="L176" s="48">
        <v>22399.5</v>
      </c>
      <c r="M176" s="48">
        <v>75882.5</v>
      </c>
      <c r="N176" s="48">
        <v>2076.6999999999998</v>
      </c>
    </row>
    <row r="177" spans="1:14" ht="10.050000000000001" customHeight="1">
      <c r="A177" s="45" t="s">
        <v>83</v>
      </c>
      <c r="B177" s="46">
        <v>2003</v>
      </c>
      <c r="C177" s="45" t="s">
        <v>108</v>
      </c>
      <c r="D177" s="47">
        <v>11</v>
      </c>
      <c r="E177" s="48">
        <v>342.3</v>
      </c>
      <c r="F177" s="48">
        <v>0</v>
      </c>
      <c r="G177" s="48">
        <v>342.3</v>
      </c>
      <c r="H177" s="48">
        <v>1912.8</v>
      </c>
      <c r="I177" s="48">
        <v>301.10000000000002</v>
      </c>
      <c r="J177" s="48">
        <v>2213.9</v>
      </c>
      <c r="K177" s="48">
        <v>58.3</v>
      </c>
      <c r="L177" s="48">
        <v>0</v>
      </c>
      <c r="M177" s="48">
        <v>0</v>
      </c>
      <c r="N177" s="48">
        <v>0</v>
      </c>
    </row>
    <row r="178" spans="1:14" ht="10.050000000000001" customHeight="1">
      <c r="A178" s="45" t="s">
        <v>82</v>
      </c>
      <c r="B178" s="46">
        <v>2003</v>
      </c>
      <c r="C178" s="45" t="s">
        <v>108</v>
      </c>
      <c r="D178" s="47">
        <v>11</v>
      </c>
      <c r="E178" s="48">
        <v>5161.3999999999996</v>
      </c>
      <c r="F178" s="48">
        <v>52.2</v>
      </c>
      <c r="G178" s="48">
        <v>5213.6000000000004</v>
      </c>
      <c r="H178" s="48">
        <v>78948.600000000006</v>
      </c>
      <c r="I178" s="48">
        <v>3291.7</v>
      </c>
      <c r="J178" s="48">
        <v>82240.3</v>
      </c>
      <c r="K178" s="48">
        <v>4679.3999999999996</v>
      </c>
      <c r="L178" s="48">
        <v>145.80000000000001</v>
      </c>
      <c r="M178" s="48">
        <v>881</v>
      </c>
      <c r="N178" s="48">
        <v>126.8</v>
      </c>
    </row>
    <row r="179" spans="1:14" ht="10.050000000000001" customHeight="1">
      <c r="A179" s="45" t="s">
        <v>81</v>
      </c>
      <c r="B179" s="46">
        <v>2003</v>
      </c>
      <c r="C179" s="45" t="s">
        <v>108</v>
      </c>
      <c r="D179" s="47">
        <v>11</v>
      </c>
      <c r="E179" s="48">
        <v>46782.400000000001</v>
      </c>
      <c r="F179" s="48">
        <v>469.6</v>
      </c>
      <c r="G179" s="48">
        <v>47252</v>
      </c>
      <c r="H179" s="48">
        <v>865532.9</v>
      </c>
      <c r="I179" s="48">
        <v>2767.2</v>
      </c>
      <c r="J179" s="48">
        <v>868300.1</v>
      </c>
      <c r="K179" s="48">
        <v>207559.8</v>
      </c>
      <c r="L179" s="48">
        <v>2733.2</v>
      </c>
      <c r="M179" s="48">
        <v>38396.9</v>
      </c>
      <c r="N179" s="48">
        <v>323.60000000000002</v>
      </c>
    </row>
    <row r="180" spans="1:14" ht="10.050000000000001" customHeight="1">
      <c r="A180" s="45" t="s">
        <v>80</v>
      </c>
      <c r="B180" s="46">
        <v>2003</v>
      </c>
      <c r="C180" s="45" t="s">
        <v>108</v>
      </c>
      <c r="D180" s="47">
        <v>12</v>
      </c>
      <c r="E180" s="48">
        <v>75758.5</v>
      </c>
      <c r="F180" s="48">
        <v>0</v>
      </c>
      <c r="G180" s="48">
        <v>75758.5</v>
      </c>
      <c r="H180" s="48">
        <v>1257988.8999999999</v>
      </c>
      <c r="I180" s="48">
        <v>4263.3</v>
      </c>
      <c r="J180" s="48">
        <v>1262252.2</v>
      </c>
      <c r="K180" s="48">
        <v>162147.9</v>
      </c>
      <c r="L180" s="48">
        <v>12248.2</v>
      </c>
      <c r="M180" s="48">
        <v>42647.4</v>
      </c>
      <c r="N180" s="48">
        <v>1014.6</v>
      </c>
    </row>
    <row r="181" spans="1:14" ht="10.050000000000001" customHeight="1">
      <c r="A181" s="45" t="s">
        <v>83</v>
      </c>
      <c r="B181" s="46">
        <v>2003</v>
      </c>
      <c r="C181" s="45" t="s">
        <v>108</v>
      </c>
      <c r="D181" s="47">
        <v>12</v>
      </c>
      <c r="E181" s="48">
        <v>105.9</v>
      </c>
      <c r="F181" s="48">
        <v>97.8</v>
      </c>
      <c r="G181" s="48">
        <v>203.7</v>
      </c>
      <c r="H181" s="48">
        <v>1752.7</v>
      </c>
      <c r="I181" s="48">
        <v>388.9</v>
      </c>
      <c r="J181" s="48">
        <v>2141.6</v>
      </c>
      <c r="K181" s="48">
        <v>32.9</v>
      </c>
      <c r="L181" s="48">
        <v>0</v>
      </c>
      <c r="M181" s="48">
        <v>25.4</v>
      </c>
      <c r="N181" s="48">
        <v>0</v>
      </c>
    </row>
    <row r="182" spans="1:14" ht="10.050000000000001" customHeight="1">
      <c r="A182" s="45" t="s">
        <v>82</v>
      </c>
      <c r="B182" s="46">
        <v>2003</v>
      </c>
      <c r="C182" s="45" t="s">
        <v>108</v>
      </c>
      <c r="D182" s="47">
        <v>12</v>
      </c>
      <c r="E182" s="48">
        <v>2909.7</v>
      </c>
      <c r="F182" s="48">
        <v>0</v>
      </c>
      <c r="G182" s="48">
        <v>2909.7</v>
      </c>
      <c r="H182" s="48">
        <v>69009.5</v>
      </c>
      <c r="I182" s="48">
        <v>2879.1</v>
      </c>
      <c r="J182" s="48">
        <v>71888.600000000006</v>
      </c>
      <c r="K182" s="48">
        <v>3917.2</v>
      </c>
      <c r="L182" s="48">
        <v>167.8</v>
      </c>
      <c r="M182" s="48">
        <v>881.5</v>
      </c>
      <c r="N182" s="48">
        <v>48.5</v>
      </c>
    </row>
    <row r="183" spans="1:14" ht="10.050000000000001" customHeight="1">
      <c r="A183" s="45" t="s">
        <v>81</v>
      </c>
      <c r="B183" s="46">
        <v>2003</v>
      </c>
      <c r="C183" s="45" t="s">
        <v>108</v>
      </c>
      <c r="D183" s="47">
        <v>12</v>
      </c>
      <c r="E183" s="48">
        <v>53499.8</v>
      </c>
      <c r="F183" s="48">
        <v>0</v>
      </c>
      <c r="G183" s="48">
        <v>53499.8</v>
      </c>
      <c r="H183" s="48">
        <v>860893</v>
      </c>
      <c r="I183" s="48">
        <v>2728.2</v>
      </c>
      <c r="J183" s="48">
        <v>863621.200000001</v>
      </c>
      <c r="K183" s="48">
        <v>168264.9</v>
      </c>
      <c r="L183" s="48">
        <v>2131.6</v>
      </c>
      <c r="M183" s="48">
        <v>40979.1</v>
      </c>
      <c r="N183" s="48">
        <v>447.4</v>
      </c>
    </row>
    <row r="184" spans="1:14" ht="10.050000000000001" customHeight="1">
      <c r="A184" s="45" t="s">
        <v>80</v>
      </c>
      <c r="B184" s="46">
        <v>2004</v>
      </c>
      <c r="C184" s="45" t="s">
        <v>108</v>
      </c>
      <c r="D184" s="47">
        <v>1</v>
      </c>
      <c r="E184" s="48">
        <v>122020.2</v>
      </c>
      <c r="F184" s="48">
        <v>0</v>
      </c>
      <c r="G184" s="48">
        <v>122020.2</v>
      </c>
      <c r="H184" s="48">
        <v>1100345.5</v>
      </c>
      <c r="I184" s="48">
        <v>4183.7</v>
      </c>
      <c r="J184" s="48">
        <v>1104529.2</v>
      </c>
      <c r="K184" s="48">
        <v>101646.9</v>
      </c>
      <c r="L184" s="48">
        <v>6340.8</v>
      </c>
      <c r="M184" s="48">
        <v>66042</v>
      </c>
      <c r="N184" s="48">
        <v>607.1</v>
      </c>
    </row>
    <row r="185" spans="1:14" ht="10.050000000000001" customHeight="1">
      <c r="A185" s="45" t="s">
        <v>83</v>
      </c>
      <c r="B185" s="46">
        <v>2004</v>
      </c>
      <c r="C185" s="45" t="s">
        <v>108</v>
      </c>
      <c r="D185" s="47">
        <v>1</v>
      </c>
      <c r="E185" s="48">
        <v>193.3</v>
      </c>
      <c r="F185" s="48">
        <v>177</v>
      </c>
      <c r="G185" s="48">
        <v>370.3</v>
      </c>
      <c r="H185" s="48">
        <v>1655</v>
      </c>
      <c r="I185" s="48">
        <v>565.9</v>
      </c>
      <c r="J185" s="48">
        <v>2220.9</v>
      </c>
      <c r="K185" s="48">
        <v>45.4</v>
      </c>
      <c r="L185" s="48">
        <v>12.5</v>
      </c>
      <c r="M185" s="48">
        <v>0</v>
      </c>
      <c r="N185" s="48">
        <v>0</v>
      </c>
    </row>
    <row r="186" spans="1:14" ht="10.050000000000001" customHeight="1">
      <c r="A186" s="45" t="s">
        <v>82</v>
      </c>
      <c r="B186" s="46">
        <v>2004</v>
      </c>
      <c r="C186" s="45" t="s">
        <v>108</v>
      </c>
      <c r="D186" s="47">
        <v>1</v>
      </c>
      <c r="E186" s="48">
        <v>2276.8000000000002</v>
      </c>
      <c r="F186" s="48">
        <v>0</v>
      </c>
      <c r="G186" s="48">
        <v>2276.8000000000002</v>
      </c>
      <c r="H186" s="48">
        <v>57432.3</v>
      </c>
      <c r="I186" s="48">
        <v>2601.1999999999998</v>
      </c>
      <c r="J186" s="48">
        <v>60033.5</v>
      </c>
      <c r="K186" s="48">
        <v>2938.6</v>
      </c>
      <c r="L186" s="48">
        <v>0</v>
      </c>
      <c r="M186" s="48">
        <v>965.6</v>
      </c>
      <c r="N186" s="48">
        <v>13</v>
      </c>
    </row>
    <row r="187" spans="1:14" ht="10.050000000000001" customHeight="1">
      <c r="A187" s="45" t="s">
        <v>81</v>
      </c>
      <c r="B187" s="46">
        <v>2004</v>
      </c>
      <c r="C187" s="45" t="s">
        <v>108</v>
      </c>
      <c r="D187" s="47">
        <v>1</v>
      </c>
      <c r="E187" s="48">
        <v>62023.9</v>
      </c>
      <c r="F187" s="48">
        <v>0</v>
      </c>
      <c r="G187" s="48">
        <v>62023.9</v>
      </c>
      <c r="H187" s="48">
        <v>793520.4</v>
      </c>
      <c r="I187" s="48">
        <v>2665.4</v>
      </c>
      <c r="J187" s="48">
        <v>796185.8</v>
      </c>
      <c r="K187" s="48">
        <v>122519</v>
      </c>
      <c r="L187" s="48">
        <v>1615.9</v>
      </c>
      <c r="M187" s="48">
        <v>46765.5</v>
      </c>
      <c r="N187" s="48">
        <v>329.8</v>
      </c>
    </row>
    <row r="188" spans="1:14" ht="10.050000000000001" customHeight="1">
      <c r="A188" s="45" t="s">
        <v>80</v>
      </c>
      <c r="B188" s="46">
        <v>2004</v>
      </c>
      <c r="C188" s="45" t="s">
        <v>108</v>
      </c>
      <c r="D188" s="47">
        <v>2</v>
      </c>
      <c r="E188" s="48">
        <v>81607.5</v>
      </c>
      <c r="F188" s="48">
        <v>828.3</v>
      </c>
      <c r="G188" s="48">
        <v>82435.8</v>
      </c>
      <c r="H188" s="48">
        <v>881515.2</v>
      </c>
      <c r="I188" s="48">
        <v>4173.3</v>
      </c>
      <c r="J188" s="48">
        <v>885688.5</v>
      </c>
      <c r="K188" s="48">
        <v>67883.3</v>
      </c>
      <c r="L188" s="48">
        <v>4940.8999999999996</v>
      </c>
      <c r="M188" s="48">
        <v>38042.5</v>
      </c>
      <c r="N188" s="48">
        <v>662</v>
      </c>
    </row>
    <row r="189" spans="1:14" ht="10.050000000000001" customHeight="1">
      <c r="A189" s="45" t="s">
        <v>83</v>
      </c>
      <c r="B189" s="46">
        <v>2004</v>
      </c>
      <c r="C189" s="45" t="s">
        <v>108</v>
      </c>
      <c r="D189" s="47">
        <v>2</v>
      </c>
      <c r="E189" s="48">
        <v>151.1</v>
      </c>
      <c r="F189" s="48">
        <v>54.1</v>
      </c>
      <c r="G189" s="48">
        <v>205.2</v>
      </c>
      <c r="H189" s="48">
        <v>1622.4</v>
      </c>
      <c r="I189" s="48">
        <v>488.9</v>
      </c>
      <c r="J189" s="48">
        <v>2111.3000000000002</v>
      </c>
      <c r="K189" s="48">
        <v>39.799999999999997</v>
      </c>
      <c r="L189" s="48">
        <v>0</v>
      </c>
      <c r="M189" s="48">
        <v>5.6</v>
      </c>
      <c r="N189" s="48">
        <v>0</v>
      </c>
    </row>
    <row r="190" spans="1:14" ht="10.050000000000001" customHeight="1">
      <c r="A190" s="45" t="s">
        <v>82</v>
      </c>
      <c r="B190" s="46">
        <v>2004</v>
      </c>
      <c r="C190" s="45" t="s">
        <v>108</v>
      </c>
      <c r="D190" s="47">
        <v>2</v>
      </c>
      <c r="E190" s="48">
        <v>2620.9</v>
      </c>
      <c r="F190" s="48">
        <v>0</v>
      </c>
      <c r="G190" s="48">
        <v>2620.9</v>
      </c>
      <c r="H190" s="48">
        <v>49969.599999999999</v>
      </c>
      <c r="I190" s="48">
        <v>2491</v>
      </c>
      <c r="J190" s="48">
        <v>52460.6</v>
      </c>
      <c r="K190" s="48">
        <v>2382.3000000000002</v>
      </c>
      <c r="L190" s="48">
        <v>28</v>
      </c>
      <c r="M190" s="48">
        <v>567.70000000000005</v>
      </c>
      <c r="N190" s="48">
        <v>16.600000000000001</v>
      </c>
    </row>
    <row r="191" spans="1:14" ht="10.050000000000001" customHeight="1">
      <c r="A191" s="45" t="s">
        <v>81</v>
      </c>
      <c r="B191" s="46">
        <v>2004</v>
      </c>
      <c r="C191" s="45" t="s">
        <v>108</v>
      </c>
      <c r="D191" s="47">
        <v>2</v>
      </c>
      <c r="E191" s="48">
        <v>56035.7</v>
      </c>
      <c r="F191" s="48">
        <v>1718.9</v>
      </c>
      <c r="G191" s="48">
        <v>57754.6</v>
      </c>
      <c r="H191" s="48">
        <v>726713.6</v>
      </c>
      <c r="I191" s="48">
        <v>4074.7</v>
      </c>
      <c r="J191" s="48">
        <v>730788.3</v>
      </c>
      <c r="K191" s="48">
        <v>82479.100000000006</v>
      </c>
      <c r="L191" s="48">
        <v>1203.9000000000001</v>
      </c>
      <c r="M191" s="48">
        <v>40931.5</v>
      </c>
      <c r="N191" s="48">
        <v>312.3</v>
      </c>
    </row>
    <row r="192" spans="1:14" ht="10.050000000000001" customHeight="1">
      <c r="A192" s="45" t="s">
        <v>80</v>
      </c>
      <c r="B192" s="46">
        <v>2004</v>
      </c>
      <c r="C192" s="45" t="s">
        <v>108</v>
      </c>
      <c r="D192" s="47">
        <v>3</v>
      </c>
      <c r="E192" s="48">
        <v>81970.600000000006</v>
      </c>
      <c r="F192" s="48">
        <v>0</v>
      </c>
      <c r="G192" s="48">
        <v>81970.600000000006</v>
      </c>
      <c r="H192" s="48">
        <v>663146.69999999995</v>
      </c>
      <c r="I192" s="48">
        <v>3775.3</v>
      </c>
      <c r="J192" s="48">
        <v>666922</v>
      </c>
      <c r="K192" s="48">
        <v>33911.300000000003</v>
      </c>
      <c r="L192" s="48">
        <v>4781.6000000000004</v>
      </c>
      <c r="M192" s="48">
        <v>38148.9</v>
      </c>
      <c r="N192" s="48">
        <v>604.70000000000005</v>
      </c>
    </row>
    <row r="193" spans="1:14" ht="10.050000000000001" customHeight="1">
      <c r="A193" s="45" t="s">
        <v>83</v>
      </c>
      <c r="B193" s="46">
        <v>2004</v>
      </c>
      <c r="C193" s="45" t="s">
        <v>108</v>
      </c>
      <c r="D193" s="47">
        <v>3</v>
      </c>
      <c r="E193" s="48">
        <v>101.2</v>
      </c>
      <c r="F193" s="48">
        <v>0</v>
      </c>
      <c r="G193" s="48">
        <v>101.2</v>
      </c>
      <c r="H193" s="48">
        <v>1556.6</v>
      </c>
      <c r="I193" s="48">
        <v>403.9</v>
      </c>
      <c r="J193" s="48">
        <v>1960.5</v>
      </c>
      <c r="K193" s="48">
        <v>15.7</v>
      </c>
      <c r="L193" s="48">
        <v>0</v>
      </c>
      <c r="M193" s="48">
        <v>24.1</v>
      </c>
      <c r="N193" s="48">
        <v>0</v>
      </c>
    </row>
    <row r="194" spans="1:14" ht="10.050000000000001" customHeight="1">
      <c r="A194" s="45" t="s">
        <v>82</v>
      </c>
      <c r="B194" s="46">
        <v>2004</v>
      </c>
      <c r="C194" s="45" t="s">
        <v>108</v>
      </c>
      <c r="D194" s="47">
        <v>3</v>
      </c>
      <c r="E194" s="48">
        <v>2646.2</v>
      </c>
      <c r="F194" s="48">
        <v>83.5</v>
      </c>
      <c r="G194" s="48">
        <v>2729.7</v>
      </c>
      <c r="H194" s="48">
        <v>42140.7</v>
      </c>
      <c r="I194" s="48">
        <v>1478.6</v>
      </c>
      <c r="J194" s="48">
        <v>43619.3</v>
      </c>
      <c r="K194" s="48">
        <v>1995.5</v>
      </c>
      <c r="L194" s="48">
        <v>10.7</v>
      </c>
      <c r="M194" s="48">
        <v>394.6</v>
      </c>
      <c r="N194" s="48">
        <v>2.9</v>
      </c>
    </row>
    <row r="195" spans="1:14" ht="10.050000000000001" customHeight="1">
      <c r="A195" s="45" t="s">
        <v>81</v>
      </c>
      <c r="B195" s="46">
        <v>2004</v>
      </c>
      <c r="C195" s="45" t="s">
        <v>108</v>
      </c>
      <c r="D195" s="47">
        <v>3</v>
      </c>
      <c r="E195" s="48">
        <v>71409.899999999994</v>
      </c>
      <c r="F195" s="48">
        <v>247.3</v>
      </c>
      <c r="G195" s="48">
        <v>71657.2</v>
      </c>
      <c r="H195" s="48">
        <v>627088.5</v>
      </c>
      <c r="I195" s="48">
        <v>3750.7</v>
      </c>
      <c r="J195" s="48">
        <v>630839.19999999995</v>
      </c>
      <c r="K195" s="48">
        <v>39391.800000000003</v>
      </c>
      <c r="L195" s="48">
        <v>2042.5</v>
      </c>
      <c r="M195" s="48">
        <v>44596.4</v>
      </c>
      <c r="N195" s="48">
        <v>533.4</v>
      </c>
    </row>
    <row r="196" spans="1:14" ht="10.050000000000001" customHeight="1">
      <c r="A196" s="45" t="s">
        <v>80</v>
      </c>
      <c r="B196" s="46">
        <v>2004</v>
      </c>
      <c r="C196" s="45" t="s">
        <v>108</v>
      </c>
      <c r="D196" s="47">
        <v>4</v>
      </c>
      <c r="E196" s="48">
        <v>52181.599999999999</v>
      </c>
      <c r="F196" s="48">
        <v>0</v>
      </c>
      <c r="G196" s="48">
        <v>52181.599999999999</v>
      </c>
      <c r="H196" s="48">
        <v>426324.4</v>
      </c>
      <c r="I196" s="48">
        <v>3742.8</v>
      </c>
      <c r="J196" s="48">
        <v>430067.20000000001</v>
      </c>
      <c r="K196" s="48">
        <v>15929</v>
      </c>
      <c r="L196" s="48">
        <v>2508.3000000000002</v>
      </c>
      <c r="M196" s="48">
        <v>20269.599999999999</v>
      </c>
      <c r="N196" s="48">
        <v>221</v>
      </c>
    </row>
    <row r="197" spans="1:14" ht="10.050000000000001" customHeight="1">
      <c r="A197" s="45" t="s">
        <v>83</v>
      </c>
      <c r="B197" s="46">
        <v>2004</v>
      </c>
      <c r="C197" s="45" t="s">
        <v>108</v>
      </c>
      <c r="D197" s="47">
        <v>4</v>
      </c>
      <c r="E197" s="48">
        <v>173.3</v>
      </c>
      <c r="F197" s="48">
        <v>54</v>
      </c>
      <c r="G197" s="48">
        <v>227.3</v>
      </c>
      <c r="H197" s="48">
        <v>1313.8</v>
      </c>
      <c r="I197" s="48">
        <v>426.8</v>
      </c>
      <c r="J197" s="48">
        <v>1740.6</v>
      </c>
      <c r="K197" s="48">
        <v>0</v>
      </c>
      <c r="L197" s="48">
        <v>0</v>
      </c>
      <c r="M197" s="48">
        <v>15.7</v>
      </c>
      <c r="N197" s="48">
        <v>0</v>
      </c>
    </row>
    <row r="198" spans="1:14" ht="10.050000000000001" customHeight="1">
      <c r="A198" s="45" t="s">
        <v>82</v>
      </c>
      <c r="B198" s="46">
        <v>2004</v>
      </c>
      <c r="C198" s="45" t="s">
        <v>108</v>
      </c>
      <c r="D198" s="47">
        <v>4</v>
      </c>
      <c r="E198" s="48">
        <v>3241.5</v>
      </c>
      <c r="F198" s="48">
        <v>200.3</v>
      </c>
      <c r="G198" s="48">
        <v>3441.8</v>
      </c>
      <c r="H198" s="48">
        <v>34890</v>
      </c>
      <c r="I198" s="48">
        <v>1332.4</v>
      </c>
      <c r="J198" s="48">
        <v>36222.400000000001</v>
      </c>
      <c r="K198" s="48">
        <v>1133</v>
      </c>
      <c r="L198" s="48">
        <v>239.7</v>
      </c>
      <c r="M198" s="48">
        <v>994.9</v>
      </c>
      <c r="N198" s="48">
        <v>107.3</v>
      </c>
    </row>
    <row r="199" spans="1:14" ht="10.050000000000001" customHeight="1">
      <c r="A199" s="45" t="s">
        <v>81</v>
      </c>
      <c r="B199" s="46">
        <v>2004</v>
      </c>
      <c r="C199" s="45" t="s">
        <v>108</v>
      </c>
      <c r="D199" s="47">
        <v>4</v>
      </c>
      <c r="E199" s="48">
        <v>37409.599999999999</v>
      </c>
      <c r="F199" s="48">
        <v>0</v>
      </c>
      <c r="G199" s="48">
        <v>37409.599999999999</v>
      </c>
      <c r="H199" s="48">
        <v>519422.3</v>
      </c>
      <c r="I199" s="48">
        <v>3222.8</v>
      </c>
      <c r="J199" s="48">
        <v>522645.1</v>
      </c>
      <c r="K199" s="48">
        <v>21245.9</v>
      </c>
      <c r="L199" s="48">
        <v>1399.5</v>
      </c>
      <c r="M199" s="48">
        <v>19277.400000000001</v>
      </c>
      <c r="N199" s="48">
        <v>268</v>
      </c>
    </row>
    <row r="200" spans="1:14" ht="10.050000000000001" customHeight="1">
      <c r="A200" s="45" t="s">
        <v>80</v>
      </c>
      <c r="B200" s="46">
        <v>2004</v>
      </c>
      <c r="C200" s="45" t="s">
        <v>108</v>
      </c>
      <c r="D200" s="47">
        <v>5</v>
      </c>
      <c r="E200" s="48">
        <v>32636.3</v>
      </c>
      <c r="F200" s="48">
        <v>78.2</v>
      </c>
      <c r="G200" s="48">
        <v>32714.5</v>
      </c>
      <c r="H200" s="48">
        <v>216951.3</v>
      </c>
      <c r="I200" s="48">
        <v>3697.5</v>
      </c>
      <c r="J200" s="48">
        <v>220648.8</v>
      </c>
      <c r="K200" s="48">
        <v>4268.3</v>
      </c>
      <c r="L200" s="48">
        <v>945.5</v>
      </c>
      <c r="M200" s="48">
        <v>12567.7</v>
      </c>
      <c r="N200" s="48">
        <v>38.5</v>
      </c>
    </row>
    <row r="201" spans="1:14" ht="10.050000000000001" customHeight="1">
      <c r="A201" s="45" t="s">
        <v>83</v>
      </c>
      <c r="B201" s="46">
        <v>2004</v>
      </c>
      <c r="C201" s="45" t="s">
        <v>108</v>
      </c>
      <c r="D201" s="47">
        <v>5</v>
      </c>
      <c r="E201" s="48">
        <v>227</v>
      </c>
      <c r="F201" s="48">
        <v>312.10000000000002</v>
      </c>
      <c r="G201" s="48">
        <v>539.1</v>
      </c>
      <c r="H201" s="48">
        <v>1243.8</v>
      </c>
      <c r="I201" s="48">
        <v>372.5</v>
      </c>
      <c r="J201" s="48">
        <v>1616.3</v>
      </c>
      <c r="K201" s="48">
        <v>0</v>
      </c>
      <c r="L201" s="48">
        <v>0</v>
      </c>
      <c r="M201" s="48">
        <v>0</v>
      </c>
      <c r="N201" s="48">
        <v>0</v>
      </c>
    </row>
    <row r="202" spans="1:14" ht="10.050000000000001" customHeight="1">
      <c r="A202" s="45" t="s">
        <v>82</v>
      </c>
      <c r="B202" s="46">
        <v>2004</v>
      </c>
      <c r="C202" s="45" t="s">
        <v>108</v>
      </c>
      <c r="D202" s="47">
        <v>5</v>
      </c>
      <c r="E202" s="48">
        <v>1972.8</v>
      </c>
      <c r="F202" s="48">
        <v>1001.4</v>
      </c>
      <c r="G202" s="48">
        <v>2974.2</v>
      </c>
      <c r="H202" s="48">
        <v>27144.799999999999</v>
      </c>
      <c r="I202" s="48">
        <v>1350.1</v>
      </c>
      <c r="J202" s="48">
        <v>28494.9</v>
      </c>
      <c r="K202" s="48">
        <v>303.5</v>
      </c>
      <c r="L202" s="48">
        <v>0</v>
      </c>
      <c r="M202" s="48">
        <v>828.4</v>
      </c>
      <c r="N202" s="48">
        <v>1.1000000000000001</v>
      </c>
    </row>
    <row r="203" spans="1:14" ht="10.050000000000001" customHeight="1">
      <c r="A203" s="45" t="s">
        <v>81</v>
      </c>
      <c r="B203" s="46">
        <v>2004</v>
      </c>
      <c r="C203" s="45" t="s">
        <v>108</v>
      </c>
      <c r="D203" s="47">
        <v>5</v>
      </c>
      <c r="E203" s="48">
        <v>23170.1</v>
      </c>
      <c r="F203" s="48">
        <v>209.4</v>
      </c>
      <c r="G203" s="48">
        <v>23379.5</v>
      </c>
      <c r="H203" s="48">
        <v>344271</v>
      </c>
      <c r="I203" s="48">
        <v>3220.2</v>
      </c>
      <c r="J203" s="48">
        <v>347491.2</v>
      </c>
      <c r="K203" s="48">
        <v>10052.200000000001</v>
      </c>
      <c r="L203" s="48">
        <v>400.9</v>
      </c>
      <c r="M203" s="48">
        <v>11300.4</v>
      </c>
      <c r="N203" s="48">
        <v>294.2</v>
      </c>
    </row>
    <row r="204" spans="1:14" ht="10.050000000000001" customHeight="1">
      <c r="A204" s="45" t="s">
        <v>80</v>
      </c>
      <c r="B204" s="46">
        <v>2004</v>
      </c>
      <c r="C204" s="45" t="s">
        <v>108</v>
      </c>
      <c r="D204" s="47">
        <v>6</v>
      </c>
      <c r="E204" s="48">
        <v>16637.8</v>
      </c>
      <c r="F204" s="48">
        <v>901.7</v>
      </c>
      <c r="G204" s="48">
        <v>17539.5</v>
      </c>
      <c r="H204" s="48">
        <v>19479.599999999999</v>
      </c>
      <c r="I204" s="48">
        <v>3211.6</v>
      </c>
      <c r="J204" s="48">
        <v>22691.200000000001</v>
      </c>
      <c r="K204" s="48">
        <v>1060.0999999999999</v>
      </c>
      <c r="L204" s="48">
        <v>940.3</v>
      </c>
      <c r="M204" s="48">
        <v>3949.5</v>
      </c>
      <c r="N204" s="48">
        <v>198.6</v>
      </c>
    </row>
    <row r="205" spans="1:14" ht="10.050000000000001" customHeight="1">
      <c r="A205" s="45" t="s">
        <v>83</v>
      </c>
      <c r="B205" s="46">
        <v>2004</v>
      </c>
      <c r="C205" s="45" t="s">
        <v>108</v>
      </c>
      <c r="D205" s="47">
        <v>6</v>
      </c>
      <c r="E205" s="48">
        <v>415.8</v>
      </c>
      <c r="F205" s="48">
        <v>0</v>
      </c>
      <c r="G205" s="48">
        <v>415.8</v>
      </c>
      <c r="H205" s="48">
        <v>823</v>
      </c>
      <c r="I205" s="48">
        <v>397.4</v>
      </c>
      <c r="J205" s="48">
        <v>1220.4000000000001</v>
      </c>
      <c r="K205" s="48">
        <v>0</v>
      </c>
      <c r="L205" s="48">
        <v>0</v>
      </c>
      <c r="M205" s="48">
        <v>0</v>
      </c>
      <c r="N205" s="48">
        <v>0</v>
      </c>
    </row>
    <row r="206" spans="1:14" ht="10.050000000000001" customHeight="1">
      <c r="A206" s="45" t="s">
        <v>82</v>
      </c>
      <c r="B206" s="46">
        <v>2004</v>
      </c>
      <c r="C206" s="45" t="s">
        <v>108</v>
      </c>
      <c r="D206" s="47">
        <v>6</v>
      </c>
      <c r="E206" s="48">
        <v>941.6</v>
      </c>
      <c r="F206" s="48">
        <v>1321.9</v>
      </c>
      <c r="G206" s="48">
        <v>2263.5</v>
      </c>
      <c r="H206" s="48">
        <v>12613</v>
      </c>
      <c r="I206" s="48">
        <v>902.9</v>
      </c>
      <c r="J206" s="48">
        <v>13515.9</v>
      </c>
      <c r="K206" s="48">
        <v>155.4</v>
      </c>
      <c r="L206" s="48">
        <v>4</v>
      </c>
      <c r="M206" s="48">
        <v>150.1</v>
      </c>
      <c r="N206" s="48">
        <v>2</v>
      </c>
    </row>
    <row r="207" spans="1:14" ht="10.050000000000001" customHeight="1">
      <c r="A207" s="45" t="s">
        <v>81</v>
      </c>
      <c r="B207" s="46">
        <v>2004</v>
      </c>
      <c r="C207" s="45" t="s">
        <v>108</v>
      </c>
      <c r="D207" s="47">
        <v>6</v>
      </c>
      <c r="E207" s="48">
        <v>21455.9</v>
      </c>
      <c r="F207" s="48">
        <v>214.4</v>
      </c>
      <c r="G207" s="48">
        <v>21670.3</v>
      </c>
      <c r="H207" s="48">
        <v>127762.4</v>
      </c>
      <c r="I207" s="48">
        <v>1441.8</v>
      </c>
      <c r="J207" s="48">
        <v>129204.2</v>
      </c>
      <c r="K207" s="48">
        <v>2164.5</v>
      </c>
      <c r="L207" s="48">
        <v>600.9</v>
      </c>
      <c r="M207" s="48">
        <v>7813.5</v>
      </c>
      <c r="N207" s="48">
        <v>675.1</v>
      </c>
    </row>
    <row r="208" spans="1:14" ht="10.050000000000001" customHeight="1">
      <c r="A208" s="45" t="s">
        <v>80</v>
      </c>
      <c r="B208" s="46">
        <v>2004</v>
      </c>
      <c r="C208" s="45" t="s">
        <v>112</v>
      </c>
      <c r="D208" s="47">
        <v>7</v>
      </c>
      <c r="E208" s="48">
        <v>2309935.7000000002</v>
      </c>
      <c r="F208" s="48">
        <v>5791.7</v>
      </c>
      <c r="G208" s="48">
        <v>2315727.4</v>
      </c>
      <c r="H208" s="48">
        <v>1859509.3</v>
      </c>
      <c r="I208" s="48">
        <v>9058.9</v>
      </c>
      <c r="J208" s="48">
        <v>1868568.2</v>
      </c>
      <c r="K208" s="48">
        <v>679682.1</v>
      </c>
      <c r="L208" s="48">
        <v>725615.9</v>
      </c>
      <c r="M208" s="48">
        <v>46555.1</v>
      </c>
      <c r="N208" s="48">
        <v>438.8</v>
      </c>
    </row>
    <row r="209" spans="1:14" ht="10.050000000000001" customHeight="1">
      <c r="A209" s="45" t="s">
        <v>83</v>
      </c>
      <c r="B209" s="46">
        <v>2004</v>
      </c>
      <c r="C209" s="45" t="s">
        <v>112</v>
      </c>
      <c r="D209" s="47">
        <v>7</v>
      </c>
      <c r="E209" s="48">
        <v>1145.7</v>
      </c>
      <c r="F209" s="48">
        <v>0</v>
      </c>
      <c r="G209" s="48">
        <v>1145.7</v>
      </c>
      <c r="H209" s="48">
        <v>991.5</v>
      </c>
      <c r="I209" s="48">
        <v>493.7</v>
      </c>
      <c r="J209" s="48">
        <v>1485.2</v>
      </c>
      <c r="K209" s="48">
        <v>0</v>
      </c>
      <c r="L209" s="48">
        <v>0</v>
      </c>
      <c r="M209" s="48">
        <v>0</v>
      </c>
      <c r="N209" s="48">
        <v>0</v>
      </c>
    </row>
    <row r="210" spans="1:14" ht="10.050000000000001" customHeight="1">
      <c r="A210" s="45" t="s">
        <v>82</v>
      </c>
      <c r="B210" s="46">
        <v>2004</v>
      </c>
      <c r="C210" s="45" t="s">
        <v>112</v>
      </c>
      <c r="D210" s="47">
        <v>7</v>
      </c>
      <c r="E210" s="48">
        <v>144.9</v>
      </c>
      <c r="F210" s="48">
        <v>0</v>
      </c>
      <c r="G210" s="48">
        <v>144.9</v>
      </c>
      <c r="H210" s="48">
        <v>7492.1</v>
      </c>
      <c r="I210" s="48">
        <v>1577</v>
      </c>
      <c r="J210" s="48">
        <v>9069.1</v>
      </c>
      <c r="K210" s="48">
        <v>4.4000000000000004</v>
      </c>
      <c r="L210" s="48">
        <v>0</v>
      </c>
      <c r="M210" s="48">
        <v>151</v>
      </c>
      <c r="N210" s="48">
        <v>0</v>
      </c>
    </row>
    <row r="211" spans="1:14" ht="10.050000000000001" customHeight="1">
      <c r="A211" s="45" t="s">
        <v>81</v>
      </c>
      <c r="B211" s="46">
        <v>2004</v>
      </c>
      <c r="C211" s="45" t="s">
        <v>112</v>
      </c>
      <c r="D211" s="47">
        <v>7</v>
      </c>
      <c r="E211" s="48">
        <v>1214.5999999999999</v>
      </c>
      <c r="F211" s="48">
        <v>0</v>
      </c>
      <c r="G211" s="48">
        <v>1214.5999999999999</v>
      </c>
      <c r="H211" s="48">
        <v>74088.399999999994</v>
      </c>
      <c r="I211" s="48">
        <v>2265.8000000000002</v>
      </c>
      <c r="J211" s="48">
        <v>76354.2</v>
      </c>
      <c r="K211" s="48">
        <v>1413.1</v>
      </c>
      <c r="L211" s="48">
        <v>59.6</v>
      </c>
      <c r="M211" s="48">
        <v>475.6</v>
      </c>
      <c r="N211" s="48">
        <v>335.4</v>
      </c>
    </row>
    <row r="212" spans="1:14" ht="10.050000000000001" customHeight="1">
      <c r="A212" s="45" t="s">
        <v>80</v>
      </c>
      <c r="B212" s="46">
        <v>2004</v>
      </c>
      <c r="C212" s="45" t="s">
        <v>112</v>
      </c>
      <c r="D212" s="47">
        <v>8</v>
      </c>
      <c r="E212" s="48">
        <v>453343.2</v>
      </c>
      <c r="F212" s="48">
        <v>2574.8000000000002</v>
      </c>
      <c r="G212" s="48">
        <v>455918</v>
      </c>
      <c r="H212" s="48">
        <v>2002287.3</v>
      </c>
      <c r="I212" s="48">
        <v>8386.2000000000007</v>
      </c>
      <c r="J212" s="48">
        <v>2010673.5</v>
      </c>
      <c r="K212" s="48">
        <v>576377.9</v>
      </c>
      <c r="L212" s="48">
        <v>80766.7</v>
      </c>
      <c r="M212" s="48">
        <v>183415.3</v>
      </c>
      <c r="N212" s="48">
        <v>655.6</v>
      </c>
    </row>
    <row r="213" spans="1:14" ht="10.050000000000001" customHeight="1">
      <c r="A213" s="45" t="s">
        <v>83</v>
      </c>
      <c r="B213" s="46">
        <v>2004</v>
      </c>
      <c r="C213" s="45" t="s">
        <v>112</v>
      </c>
      <c r="D213" s="47">
        <v>8</v>
      </c>
      <c r="E213" s="48">
        <v>2928.9</v>
      </c>
      <c r="F213" s="48">
        <v>0</v>
      </c>
      <c r="G213" s="48">
        <v>2928.9</v>
      </c>
      <c r="H213" s="48">
        <v>1986.6</v>
      </c>
      <c r="I213" s="48">
        <v>469.9</v>
      </c>
      <c r="J213" s="48">
        <v>2456.5</v>
      </c>
      <c r="K213" s="48">
        <v>64.7</v>
      </c>
      <c r="L213" s="48">
        <v>89.6</v>
      </c>
      <c r="M213" s="48">
        <v>24.9</v>
      </c>
      <c r="N213" s="48">
        <v>0</v>
      </c>
    </row>
    <row r="214" spans="1:14" ht="10.050000000000001" customHeight="1">
      <c r="A214" s="45" t="s">
        <v>82</v>
      </c>
      <c r="B214" s="46">
        <v>2004</v>
      </c>
      <c r="C214" s="45" t="s">
        <v>112</v>
      </c>
      <c r="D214" s="47">
        <v>8</v>
      </c>
      <c r="E214" s="48">
        <v>102.9</v>
      </c>
      <c r="F214" s="48">
        <v>283.5</v>
      </c>
      <c r="G214" s="48">
        <v>386.4</v>
      </c>
      <c r="H214" s="48">
        <v>4976.7</v>
      </c>
      <c r="I214" s="48">
        <v>905.1</v>
      </c>
      <c r="J214" s="48">
        <v>5881.8</v>
      </c>
      <c r="K214" s="48">
        <v>4.4000000000000004</v>
      </c>
      <c r="L214" s="48">
        <v>0</v>
      </c>
      <c r="M214" s="48">
        <v>0</v>
      </c>
      <c r="N214" s="48">
        <v>0</v>
      </c>
    </row>
    <row r="215" spans="1:14" ht="10.050000000000001" customHeight="1">
      <c r="A215" s="45" t="s">
        <v>81</v>
      </c>
      <c r="B215" s="46">
        <v>2004</v>
      </c>
      <c r="C215" s="45" t="s">
        <v>112</v>
      </c>
      <c r="D215" s="47">
        <v>8</v>
      </c>
      <c r="E215" s="48">
        <v>11643</v>
      </c>
      <c r="F215" s="48">
        <v>21.3</v>
      </c>
      <c r="G215" s="48">
        <v>11664.3</v>
      </c>
      <c r="H215" s="48">
        <v>60950</v>
      </c>
      <c r="I215" s="48">
        <v>1439.1</v>
      </c>
      <c r="J215" s="48">
        <v>62389.1</v>
      </c>
      <c r="K215" s="48">
        <v>4242.7</v>
      </c>
      <c r="L215" s="48">
        <v>2922.7</v>
      </c>
      <c r="M215" s="48">
        <v>93.1</v>
      </c>
      <c r="N215" s="48">
        <v>0</v>
      </c>
    </row>
    <row r="216" spans="1:14" ht="10.050000000000001" customHeight="1">
      <c r="A216" s="45" t="s">
        <v>80</v>
      </c>
      <c r="B216" s="46">
        <v>2004</v>
      </c>
      <c r="C216" s="45" t="s">
        <v>112</v>
      </c>
      <c r="D216" s="47">
        <v>9</v>
      </c>
      <c r="E216" s="48">
        <v>107094.8</v>
      </c>
      <c r="F216" s="48">
        <v>147.30000000000001</v>
      </c>
      <c r="G216" s="48">
        <v>107242.1</v>
      </c>
      <c r="H216" s="48">
        <v>1829206.3</v>
      </c>
      <c r="I216" s="48">
        <v>7437.3</v>
      </c>
      <c r="J216" s="48">
        <v>1836643.6</v>
      </c>
      <c r="K216" s="48">
        <v>509664.2</v>
      </c>
      <c r="L216" s="48">
        <v>12028.3</v>
      </c>
      <c r="M216" s="48">
        <v>76720.600000000006</v>
      </c>
      <c r="N216" s="48">
        <v>2023.4</v>
      </c>
    </row>
    <row r="217" spans="1:14" ht="10.050000000000001" customHeight="1">
      <c r="A217" s="45" t="s">
        <v>83</v>
      </c>
      <c r="B217" s="46">
        <v>2004</v>
      </c>
      <c r="C217" s="45" t="s">
        <v>112</v>
      </c>
      <c r="D217" s="47">
        <v>9</v>
      </c>
      <c r="E217" s="48">
        <v>1979.1</v>
      </c>
      <c r="F217" s="48">
        <v>150.30000000000001</v>
      </c>
      <c r="G217" s="48">
        <v>2129.4</v>
      </c>
      <c r="H217" s="48">
        <v>2068</v>
      </c>
      <c r="I217" s="48">
        <v>470.4</v>
      </c>
      <c r="J217" s="48">
        <v>2538.4</v>
      </c>
      <c r="K217" s="48">
        <v>98.2</v>
      </c>
      <c r="L217" s="48">
        <v>115.5</v>
      </c>
      <c r="M217" s="48">
        <v>80.400000000000006</v>
      </c>
      <c r="N217" s="48">
        <v>1.6</v>
      </c>
    </row>
    <row r="218" spans="1:14" ht="10.050000000000001" customHeight="1">
      <c r="A218" s="45" t="s">
        <v>82</v>
      </c>
      <c r="B218" s="46">
        <v>2004</v>
      </c>
      <c r="C218" s="45" t="s">
        <v>112</v>
      </c>
      <c r="D218" s="47">
        <v>9</v>
      </c>
      <c r="E218" s="48">
        <v>24746.9</v>
      </c>
      <c r="F218" s="48">
        <v>2170.6</v>
      </c>
      <c r="G218" s="48">
        <v>26917.5</v>
      </c>
      <c r="H218" s="48">
        <v>27005.4</v>
      </c>
      <c r="I218" s="48">
        <v>2095</v>
      </c>
      <c r="J218" s="48">
        <v>29100.400000000001</v>
      </c>
      <c r="K218" s="48">
        <v>2490.8000000000002</v>
      </c>
      <c r="L218" s="48">
        <v>2750.4</v>
      </c>
      <c r="M218" s="48">
        <v>254.9</v>
      </c>
      <c r="N218" s="48">
        <v>9.1</v>
      </c>
    </row>
    <row r="219" spans="1:14" ht="10.050000000000001" customHeight="1">
      <c r="A219" s="45" t="s">
        <v>81</v>
      </c>
      <c r="B219" s="46">
        <v>2004</v>
      </c>
      <c r="C219" s="45" t="s">
        <v>112</v>
      </c>
      <c r="D219" s="47">
        <v>9</v>
      </c>
      <c r="E219" s="48">
        <v>714119.3</v>
      </c>
      <c r="F219" s="48">
        <v>1360.2</v>
      </c>
      <c r="G219" s="48">
        <v>715479.5</v>
      </c>
      <c r="H219" s="48">
        <v>640052.69999999995</v>
      </c>
      <c r="I219" s="48">
        <v>2282.9</v>
      </c>
      <c r="J219" s="48">
        <v>642335.6</v>
      </c>
      <c r="K219" s="48">
        <v>221857.3</v>
      </c>
      <c r="L219" s="48">
        <v>222823.7</v>
      </c>
      <c r="M219" s="48">
        <v>5139.3</v>
      </c>
      <c r="N219" s="48">
        <v>69.8</v>
      </c>
    </row>
    <row r="220" spans="1:14" ht="10.050000000000001" customHeight="1">
      <c r="A220" s="45" t="s">
        <v>80</v>
      </c>
      <c r="B220" s="46">
        <v>2004</v>
      </c>
      <c r="C220" s="45" t="s">
        <v>112</v>
      </c>
      <c r="D220" s="47">
        <v>10</v>
      </c>
      <c r="E220" s="48">
        <v>51532.1</v>
      </c>
      <c r="F220" s="48">
        <v>0</v>
      </c>
      <c r="G220" s="48">
        <v>51532.1</v>
      </c>
      <c r="H220" s="48">
        <v>1592840</v>
      </c>
      <c r="I220" s="48">
        <v>7275.9</v>
      </c>
      <c r="J220" s="48">
        <v>1600115.9</v>
      </c>
      <c r="K220" s="48">
        <v>475206.1</v>
      </c>
      <c r="L220" s="48">
        <v>3667.7</v>
      </c>
      <c r="M220" s="48">
        <v>37702</v>
      </c>
      <c r="N220" s="48">
        <v>423.8</v>
      </c>
    </row>
    <row r="221" spans="1:14" ht="10.050000000000001" customHeight="1">
      <c r="A221" s="45" t="s">
        <v>83</v>
      </c>
      <c r="B221" s="46">
        <v>2004</v>
      </c>
      <c r="C221" s="45" t="s">
        <v>112</v>
      </c>
      <c r="D221" s="47">
        <v>10</v>
      </c>
      <c r="E221" s="48">
        <v>239.1</v>
      </c>
      <c r="F221" s="48">
        <v>0</v>
      </c>
      <c r="G221" s="48">
        <v>239.1</v>
      </c>
      <c r="H221" s="48">
        <v>1450.7</v>
      </c>
      <c r="I221" s="48">
        <v>453</v>
      </c>
      <c r="J221" s="48">
        <v>1903.7</v>
      </c>
      <c r="K221" s="48">
        <v>98.2</v>
      </c>
      <c r="L221" s="48">
        <v>0</v>
      </c>
      <c r="M221" s="48">
        <v>0</v>
      </c>
      <c r="N221" s="48">
        <v>0</v>
      </c>
    </row>
    <row r="222" spans="1:14" ht="10.050000000000001" customHeight="1">
      <c r="A222" s="45" t="s">
        <v>82</v>
      </c>
      <c r="B222" s="46">
        <v>2004</v>
      </c>
      <c r="C222" s="45" t="s">
        <v>112</v>
      </c>
      <c r="D222" s="47">
        <v>10</v>
      </c>
      <c r="E222" s="48">
        <v>58089.4</v>
      </c>
      <c r="F222" s="48">
        <v>3583.1</v>
      </c>
      <c r="G222" s="48">
        <v>61672.5</v>
      </c>
      <c r="H222" s="48">
        <v>78557.8</v>
      </c>
      <c r="I222" s="48">
        <v>5484.2</v>
      </c>
      <c r="J222" s="48">
        <v>84042</v>
      </c>
      <c r="K222" s="48">
        <v>8040.4</v>
      </c>
      <c r="L222" s="48">
        <v>6085.6</v>
      </c>
      <c r="M222" s="48">
        <v>527.70000000000005</v>
      </c>
      <c r="N222" s="48">
        <v>8.3000000000000007</v>
      </c>
    </row>
    <row r="223" spans="1:14" ht="10.050000000000001" customHeight="1">
      <c r="A223" s="45" t="s">
        <v>81</v>
      </c>
      <c r="B223" s="46">
        <v>2004</v>
      </c>
      <c r="C223" s="45" t="s">
        <v>112</v>
      </c>
      <c r="D223" s="47">
        <v>10</v>
      </c>
      <c r="E223" s="48">
        <v>259363</v>
      </c>
      <c r="F223" s="48">
        <v>303.2</v>
      </c>
      <c r="G223" s="48">
        <v>259666.2</v>
      </c>
      <c r="H223" s="48">
        <v>755539.6</v>
      </c>
      <c r="I223" s="48">
        <v>2435.1999999999998</v>
      </c>
      <c r="J223" s="48">
        <v>757974.8</v>
      </c>
      <c r="K223" s="48">
        <v>244685</v>
      </c>
      <c r="L223" s="48">
        <v>58255.9</v>
      </c>
      <c r="M223" s="48">
        <v>34349.199999999997</v>
      </c>
      <c r="N223" s="48">
        <v>1067.5</v>
      </c>
    </row>
    <row r="224" spans="1:14" ht="10.050000000000001" customHeight="1">
      <c r="A224" s="45" t="s">
        <v>80</v>
      </c>
      <c r="B224" s="46">
        <v>2004</v>
      </c>
      <c r="C224" s="45" t="s">
        <v>112</v>
      </c>
      <c r="D224" s="47">
        <v>11</v>
      </c>
      <c r="E224" s="48">
        <v>62061.7</v>
      </c>
      <c r="F224" s="48">
        <v>1115.8</v>
      </c>
      <c r="G224" s="48">
        <v>63177.5</v>
      </c>
      <c r="H224" s="48">
        <v>1411601.2</v>
      </c>
      <c r="I224" s="48">
        <v>7353.8</v>
      </c>
      <c r="J224" s="48">
        <v>1418955</v>
      </c>
      <c r="K224" s="48">
        <v>446017</v>
      </c>
      <c r="L224" s="48">
        <v>10210.1</v>
      </c>
      <c r="M224" s="48">
        <v>38265.4</v>
      </c>
      <c r="N224" s="48">
        <v>1133.8</v>
      </c>
    </row>
    <row r="225" spans="1:14" ht="10.050000000000001" customHeight="1">
      <c r="A225" s="45" t="s">
        <v>83</v>
      </c>
      <c r="B225" s="46">
        <v>2004</v>
      </c>
      <c r="C225" s="45" t="s">
        <v>112</v>
      </c>
      <c r="D225" s="47">
        <v>11</v>
      </c>
      <c r="E225" s="48">
        <v>520.5</v>
      </c>
      <c r="F225" s="48">
        <v>0</v>
      </c>
      <c r="G225" s="48">
        <v>520.5</v>
      </c>
      <c r="H225" s="48">
        <v>1306.7</v>
      </c>
      <c r="I225" s="48">
        <v>376.7</v>
      </c>
      <c r="J225" s="48">
        <v>1683.4</v>
      </c>
      <c r="K225" s="48">
        <v>98.2</v>
      </c>
      <c r="L225" s="48">
        <v>0</v>
      </c>
      <c r="M225" s="48">
        <v>0</v>
      </c>
      <c r="N225" s="48">
        <v>0</v>
      </c>
    </row>
    <row r="226" spans="1:14" ht="10.050000000000001" customHeight="1">
      <c r="A226" s="45" t="s">
        <v>82</v>
      </c>
      <c r="B226" s="46">
        <v>2004</v>
      </c>
      <c r="C226" s="45" t="s">
        <v>112</v>
      </c>
      <c r="D226" s="47">
        <v>11</v>
      </c>
      <c r="E226" s="48">
        <v>8082.50000000001</v>
      </c>
      <c r="F226" s="48">
        <v>45.6</v>
      </c>
      <c r="G226" s="48">
        <v>8128.1000000000104</v>
      </c>
      <c r="H226" s="48">
        <v>78173</v>
      </c>
      <c r="I226" s="48">
        <v>5341.6</v>
      </c>
      <c r="J226" s="48">
        <v>83514.600000000006</v>
      </c>
      <c r="K226" s="48">
        <v>7528.1</v>
      </c>
      <c r="L226" s="48">
        <v>548.4</v>
      </c>
      <c r="M226" s="48">
        <v>949.3</v>
      </c>
      <c r="N226" s="48">
        <v>111.4</v>
      </c>
    </row>
    <row r="227" spans="1:14" ht="10.050000000000001" customHeight="1">
      <c r="A227" s="45" t="s">
        <v>81</v>
      </c>
      <c r="B227" s="46">
        <v>2004</v>
      </c>
      <c r="C227" s="45" t="s">
        <v>112</v>
      </c>
      <c r="D227" s="47">
        <v>11</v>
      </c>
      <c r="E227" s="48">
        <v>41807.800000000003</v>
      </c>
      <c r="F227" s="48">
        <v>523.5</v>
      </c>
      <c r="G227" s="48">
        <v>42331.3</v>
      </c>
      <c r="H227" s="48">
        <v>704833.3</v>
      </c>
      <c r="I227" s="48">
        <v>2550.8000000000002</v>
      </c>
      <c r="J227" s="48">
        <v>707384.1</v>
      </c>
      <c r="K227" s="48">
        <v>224263.3</v>
      </c>
      <c r="L227" s="48">
        <v>5995.5</v>
      </c>
      <c r="M227" s="48">
        <v>25780.400000000001</v>
      </c>
      <c r="N227" s="48">
        <v>636.79999999999995</v>
      </c>
    </row>
    <row r="228" spans="1:14" ht="10.050000000000001" customHeight="1">
      <c r="A228" s="45" t="s">
        <v>80</v>
      </c>
      <c r="B228" s="46">
        <v>2004</v>
      </c>
      <c r="C228" s="45" t="s">
        <v>112</v>
      </c>
      <c r="D228" s="47">
        <v>12</v>
      </c>
      <c r="E228" s="48">
        <v>72311.3</v>
      </c>
      <c r="F228" s="48">
        <v>0</v>
      </c>
      <c r="G228" s="48">
        <v>72311.3</v>
      </c>
      <c r="H228" s="48">
        <v>1233541.5</v>
      </c>
      <c r="I228" s="48">
        <v>4908</v>
      </c>
      <c r="J228" s="48">
        <v>1238449.5</v>
      </c>
      <c r="K228" s="48">
        <v>400469.9</v>
      </c>
      <c r="L228" s="48">
        <v>5695.7</v>
      </c>
      <c r="M228" s="48">
        <v>49950.7</v>
      </c>
      <c r="N228" s="48">
        <v>1292.0999999999999</v>
      </c>
    </row>
    <row r="229" spans="1:14" ht="10.050000000000001" customHeight="1">
      <c r="A229" s="45" t="s">
        <v>83</v>
      </c>
      <c r="B229" s="46">
        <v>2004</v>
      </c>
      <c r="C229" s="45" t="s">
        <v>112</v>
      </c>
      <c r="D229" s="47">
        <v>12</v>
      </c>
      <c r="E229" s="48">
        <v>278</v>
      </c>
      <c r="F229" s="48">
        <v>88.2</v>
      </c>
      <c r="G229" s="48">
        <v>366.2</v>
      </c>
      <c r="H229" s="48">
        <v>1315.3</v>
      </c>
      <c r="I229" s="48">
        <v>463.5</v>
      </c>
      <c r="J229" s="48">
        <v>1778.8</v>
      </c>
      <c r="K229" s="48">
        <v>98.2</v>
      </c>
      <c r="L229" s="48">
        <v>0</v>
      </c>
      <c r="M229" s="48">
        <v>0</v>
      </c>
      <c r="N229" s="48">
        <v>0</v>
      </c>
    </row>
    <row r="230" spans="1:14" ht="10.050000000000001" customHeight="1">
      <c r="A230" s="45" t="s">
        <v>82</v>
      </c>
      <c r="B230" s="46">
        <v>2004</v>
      </c>
      <c r="C230" s="45" t="s">
        <v>112</v>
      </c>
      <c r="D230" s="47">
        <v>12</v>
      </c>
      <c r="E230" s="48">
        <v>2412.1999999999998</v>
      </c>
      <c r="F230" s="48">
        <v>45.2</v>
      </c>
      <c r="G230" s="48">
        <v>2457.4</v>
      </c>
      <c r="H230" s="48">
        <v>71501.399999999994</v>
      </c>
      <c r="I230" s="48">
        <v>5059.5</v>
      </c>
      <c r="J230" s="48">
        <v>76560.899999999994</v>
      </c>
      <c r="K230" s="48">
        <v>6405</v>
      </c>
      <c r="L230" s="48">
        <v>112.6</v>
      </c>
      <c r="M230" s="48">
        <v>1157</v>
      </c>
      <c r="N230" s="48">
        <v>78.7</v>
      </c>
    </row>
    <row r="231" spans="1:14" ht="10.050000000000001" customHeight="1">
      <c r="A231" s="45" t="s">
        <v>81</v>
      </c>
      <c r="B231" s="46">
        <v>2004</v>
      </c>
      <c r="C231" s="45" t="s">
        <v>112</v>
      </c>
      <c r="D231" s="47">
        <v>12</v>
      </c>
      <c r="E231" s="48">
        <v>39308.400000000001</v>
      </c>
      <c r="F231" s="48">
        <v>31.6</v>
      </c>
      <c r="G231" s="48">
        <v>39340</v>
      </c>
      <c r="H231" s="48">
        <v>646658.4</v>
      </c>
      <c r="I231" s="48">
        <v>2648.4</v>
      </c>
      <c r="J231" s="48">
        <v>649306.80000000005</v>
      </c>
      <c r="K231" s="48">
        <v>195185.9</v>
      </c>
      <c r="L231" s="48">
        <v>3465.8</v>
      </c>
      <c r="M231" s="48">
        <v>31889.4</v>
      </c>
      <c r="N231" s="48">
        <v>653.79999999999995</v>
      </c>
    </row>
    <row r="232" spans="1:14" ht="10.050000000000001" customHeight="1">
      <c r="A232" s="45" t="s">
        <v>80</v>
      </c>
      <c r="B232" s="46">
        <v>2005</v>
      </c>
      <c r="C232" s="45" t="s">
        <v>112</v>
      </c>
      <c r="D232" s="47">
        <v>1</v>
      </c>
      <c r="E232" s="48">
        <v>137918.20000000001</v>
      </c>
      <c r="F232" s="48">
        <v>29</v>
      </c>
      <c r="G232" s="48">
        <v>137947.20000000001</v>
      </c>
      <c r="H232" s="48">
        <v>1055391.3</v>
      </c>
      <c r="I232" s="48">
        <v>4742.8999999999996</v>
      </c>
      <c r="J232" s="48">
        <v>1060134.2</v>
      </c>
      <c r="K232" s="48">
        <v>308885</v>
      </c>
      <c r="L232" s="48">
        <v>12316.9</v>
      </c>
      <c r="M232" s="48">
        <v>103335.8</v>
      </c>
      <c r="N232" s="48">
        <v>566</v>
      </c>
    </row>
    <row r="233" spans="1:14" ht="10.050000000000001" customHeight="1">
      <c r="A233" s="45" t="s">
        <v>83</v>
      </c>
      <c r="B233" s="46">
        <v>2005</v>
      </c>
      <c r="C233" s="45" t="s">
        <v>112</v>
      </c>
      <c r="D233" s="47">
        <v>1</v>
      </c>
      <c r="E233" s="48">
        <v>189.4</v>
      </c>
      <c r="F233" s="48">
        <v>150.9</v>
      </c>
      <c r="G233" s="48">
        <v>340.3</v>
      </c>
      <c r="H233" s="48">
        <v>1235.3</v>
      </c>
      <c r="I233" s="48">
        <v>579.5</v>
      </c>
      <c r="J233" s="48">
        <v>1814.8</v>
      </c>
      <c r="K233" s="48">
        <v>98.2</v>
      </c>
      <c r="L233" s="48">
        <v>0</v>
      </c>
      <c r="M233" s="48">
        <v>0</v>
      </c>
      <c r="N233" s="48">
        <v>0</v>
      </c>
    </row>
    <row r="234" spans="1:14" ht="10.050000000000001" customHeight="1">
      <c r="A234" s="45" t="s">
        <v>82</v>
      </c>
      <c r="B234" s="46">
        <v>2005</v>
      </c>
      <c r="C234" s="45" t="s">
        <v>112</v>
      </c>
      <c r="D234" s="47">
        <v>1</v>
      </c>
      <c r="E234" s="48">
        <v>2561.6999999999998</v>
      </c>
      <c r="F234" s="48">
        <v>222</v>
      </c>
      <c r="G234" s="48">
        <v>2783.7</v>
      </c>
      <c r="H234" s="48">
        <v>65331.9</v>
      </c>
      <c r="I234" s="48">
        <v>5147.5</v>
      </c>
      <c r="J234" s="48">
        <v>70479.399999999994</v>
      </c>
      <c r="K234" s="48">
        <v>5624</v>
      </c>
      <c r="L234" s="48">
        <v>205.4</v>
      </c>
      <c r="M234" s="48">
        <v>983.7</v>
      </c>
      <c r="N234" s="48">
        <v>3.8</v>
      </c>
    </row>
    <row r="235" spans="1:14" ht="10.050000000000001" customHeight="1">
      <c r="A235" s="45" t="s">
        <v>81</v>
      </c>
      <c r="B235" s="46">
        <v>2005</v>
      </c>
      <c r="C235" s="45" t="s">
        <v>112</v>
      </c>
      <c r="D235" s="47">
        <v>1</v>
      </c>
      <c r="E235" s="48">
        <v>42827.9</v>
      </c>
      <c r="F235" s="48">
        <v>0</v>
      </c>
      <c r="G235" s="48">
        <v>42827.9</v>
      </c>
      <c r="H235" s="48">
        <v>570309.5</v>
      </c>
      <c r="I235" s="48">
        <v>2266.4</v>
      </c>
      <c r="J235" s="48">
        <v>572575.9</v>
      </c>
      <c r="K235" s="48">
        <v>158012.1</v>
      </c>
      <c r="L235" s="48">
        <v>906.2</v>
      </c>
      <c r="M235" s="48">
        <v>37230.400000000001</v>
      </c>
      <c r="N235" s="48">
        <v>849.6</v>
      </c>
    </row>
    <row r="236" spans="1:14" ht="10.050000000000001" customHeight="1">
      <c r="A236" s="45" t="s">
        <v>80</v>
      </c>
      <c r="B236" s="46">
        <v>2005</v>
      </c>
      <c r="C236" s="45" t="s">
        <v>112</v>
      </c>
      <c r="D236" s="47">
        <v>2</v>
      </c>
      <c r="E236" s="48">
        <v>104553.60000000001</v>
      </c>
      <c r="F236" s="48">
        <v>0</v>
      </c>
      <c r="G236" s="48">
        <v>104553.60000000001</v>
      </c>
      <c r="H236" s="48">
        <v>856706.6</v>
      </c>
      <c r="I236" s="48">
        <v>3338.3</v>
      </c>
      <c r="J236" s="48">
        <v>860044.9</v>
      </c>
      <c r="K236" s="48">
        <v>251846.7</v>
      </c>
      <c r="L236" s="48">
        <v>7969</v>
      </c>
      <c r="M236" s="48">
        <v>60891.199999999997</v>
      </c>
      <c r="N236" s="48">
        <v>4116.1000000000004</v>
      </c>
    </row>
    <row r="237" spans="1:14" ht="10.050000000000001" customHeight="1">
      <c r="A237" s="45" t="s">
        <v>83</v>
      </c>
      <c r="B237" s="46">
        <v>2005</v>
      </c>
      <c r="C237" s="45" t="s">
        <v>112</v>
      </c>
      <c r="D237" s="47">
        <v>2</v>
      </c>
      <c r="E237" s="48">
        <v>241.7</v>
      </c>
      <c r="F237" s="48">
        <v>20.9</v>
      </c>
      <c r="G237" s="48">
        <v>262.60000000000002</v>
      </c>
      <c r="H237" s="48">
        <v>1038</v>
      </c>
      <c r="I237" s="48">
        <v>556.9</v>
      </c>
      <c r="J237" s="48">
        <v>1594.9</v>
      </c>
      <c r="K237" s="48">
        <v>9.1</v>
      </c>
      <c r="L237" s="48">
        <v>0</v>
      </c>
      <c r="M237" s="48">
        <v>89.1</v>
      </c>
      <c r="N237" s="48">
        <v>0</v>
      </c>
    </row>
    <row r="238" spans="1:14" ht="10.050000000000001" customHeight="1">
      <c r="A238" s="45" t="s">
        <v>82</v>
      </c>
      <c r="B238" s="46">
        <v>2005</v>
      </c>
      <c r="C238" s="45" t="s">
        <v>112</v>
      </c>
      <c r="D238" s="47">
        <v>2</v>
      </c>
      <c r="E238" s="48">
        <v>2129.6</v>
      </c>
      <c r="F238" s="48">
        <v>3.5</v>
      </c>
      <c r="G238" s="48">
        <v>2133.1</v>
      </c>
      <c r="H238" s="48">
        <v>59017.7</v>
      </c>
      <c r="I238" s="48">
        <v>4443</v>
      </c>
      <c r="J238" s="48">
        <v>63460.7</v>
      </c>
      <c r="K238" s="48">
        <v>4706.6000000000004</v>
      </c>
      <c r="L238" s="48">
        <v>119.8</v>
      </c>
      <c r="M238" s="48">
        <v>967</v>
      </c>
      <c r="N238" s="48">
        <v>70.2</v>
      </c>
    </row>
    <row r="239" spans="1:14" ht="10.050000000000001" customHeight="1">
      <c r="A239" s="45" t="s">
        <v>81</v>
      </c>
      <c r="B239" s="46">
        <v>2005</v>
      </c>
      <c r="C239" s="45" t="s">
        <v>112</v>
      </c>
      <c r="D239" s="47">
        <v>2</v>
      </c>
      <c r="E239" s="48">
        <v>58520.7</v>
      </c>
      <c r="F239" s="48">
        <v>998</v>
      </c>
      <c r="G239" s="48">
        <v>59518.7</v>
      </c>
      <c r="H239" s="48">
        <v>512303.8</v>
      </c>
      <c r="I239" s="48">
        <v>2472.1999999999998</v>
      </c>
      <c r="J239" s="48">
        <v>514776</v>
      </c>
      <c r="K239" s="48">
        <v>109701.3</v>
      </c>
      <c r="L239" s="48">
        <v>1445.2</v>
      </c>
      <c r="M239" s="48">
        <v>48299.6</v>
      </c>
      <c r="N239" s="48">
        <v>1456.4</v>
      </c>
    </row>
    <row r="240" spans="1:14" ht="10.050000000000001" customHeight="1">
      <c r="A240" s="45" t="s">
        <v>80</v>
      </c>
      <c r="B240" s="46">
        <v>2005</v>
      </c>
      <c r="C240" s="45" t="s">
        <v>112</v>
      </c>
      <c r="D240" s="47">
        <v>3</v>
      </c>
      <c r="E240" s="48">
        <v>143453.9</v>
      </c>
      <c r="F240" s="48">
        <v>982.4</v>
      </c>
      <c r="G240" s="48">
        <v>144436.29999999999</v>
      </c>
      <c r="H240" s="48">
        <v>715580.1</v>
      </c>
      <c r="I240" s="48">
        <v>4263.3999999999996</v>
      </c>
      <c r="J240" s="48">
        <v>719843.5</v>
      </c>
      <c r="K240" s="48">
        <v>157236.6</v>
      </c>
      <c r="L240" s="48">
        <v>3620.5</v>
      </c>
      <c r="M240" s="48">
        <v>96221.7</v>
      </c>
      <c r="N240" s="48">
        <v>2008.9</v>
      </c>
    </row>
    <row r="241" spans="1:14" ht="10.050000000000001" customHeight="1">
      <c r="A241" s="45" t="s">
        <v>83</v>
      </c>
      <c r="B241" s="46">
        <v>2005</v>
      </c>
      <c r="C241" s="45" t="s">
        <v>112</v>
      </c>
      <c r="D241" s="47">
        <v>3</v>
      </c>
      <c r="E241" s="48">
        <v>194.1</v>
      </c>
      <c r="F241" s="48">
        <v>230.5</v>
      </c>
      <c r="G241" s="48">
        <v>424.6</v>
      </c>
      <c r="H241" s="48">
        <v>956.7</v>
      </c>
      <c r="I241" s="48">
        <v>535.1</v>
      </c>
      <c r="J241" s="48">
        <v>1491.8</v>
      </c>
      <c r="K241" s="48">
        <v>5.9</v>
      </c>
      <c r="L241" s="48">
        <v>0</v>
      </c>
      <c r="M241" s="48">
        <v>3.2</v>
      </c>
      <c r="N241" s="48">
        <v>0</v>
      </c>
    </row>
    <row r="242" spans="1:14" ht="10.050000000000001" customHeight="1">
      <c r="A242" s="45" t="s">
        <v>82</v>
      </c>
      <c r="B242" s="46">
        <v>2005</v>
      </c>
      <c r="C242" s="45" t="s">
        <v>112</v>
      </c>
      <c r="D242" s="47">
        <v>3</v>
      </c>
      <c r="E242" s="48">
        <v>4306.3</v>
      </c>
      <c r="F242" s="48">
        <v>844.3</v>
      </c>
      <c r="G242" s="48">
        <v>5150.6000000000004</v>
      </c>
      <c r="H242" s="48">
        <v>52611.3</v>
      </c>
      <c r="I242" s="48">
        <v>3132.7</v>
      </c>
      <c r="J242" s="48">
        <v>55744</v>
      </c>
      <c r="K242" s="48">
        <v>3553.9</v>
      </c>
      <c r="L242" s="48">
        <v>256.60000000000002</v>
      </c>
      <c r="M242" s="48">
        <v>1345.7</v>
      </c>
      <c r="N242" s="48">
        <v>63.6</v>
      </c>
    </row>
    <row r="243" spans="1:14" ht="10.050000000000001" customHeight="1">
      <c r="A243" s="45" t="s">
        <v>81</v>
      </c>
      <c r="B243" s="46">
        <v>2005</v>
      </c>
      <c r="C243" s="45" t="s">
        <v>112</v>
      </c>
      <c r="D243" s="47">
        <v>3</v>
      </c>
      <c r="E243" s="48">
        <v>55849.5</v>
      </c>
      <c r="F243" s="48">
        <v>1017.7</v>
      </c>
      <c r="G243" s="48">
        <v>56867.199999999997</v>
      </c>
      <c r="H243" s="48">
        <v>419382.2</v>
      </c>
      <c r="I243" s="48">
        <v>4049.2</v>
      </c>
      <c r="J243" s="48">
        <v>423431.4</v>
      </c>
      <c r="K243" s="48">
        <v>67271.399999999994</v>
      </c>
      <c r="L243" s="48">
        <v>655.7</v>
      </c>
      <c r="M243" s="48">
        <v>42168.3</v>
      </c>
      <c r="N243" s="48">
        <v>917.3</v>
      </c>
    </row>
    <row r="244" spans="1:14" ht="10.050000000000001" customHeight="1">
      <c r="A244" s="45" t="s">
        <v>80</v>
      </c>
      <c r="B244" s="46">
        <v>2005</v>
      </c>
      <c r="C244" s="45" t="s">
        <v>112</v>
      </c>
      <c r="D244" s="47">
        <v>4</v>
      </c>
      <c r="E244" s="48">
        <v>138852.5</v>
      </c>
      <c r="F244" s="48">
        <v>0</v>
      </c>
      <c r="G244" s="48">
        <v>138852.5</v>
      </c>
      <c r="H244" s="48">
        <v>561515.1</v>
      </c>
      <c r="I244" s="48">
        <v>4262.6000000000004</v>
      </c>
      <c r="J244" s="48">
        <v>565777.69999999995</v>
      </c>
      <c r="K244" s="48">
        <v>95734</v>
      </c>
      <c r="L244" s="48">
        <v>7953.1</v>
      </c>
      <c r="M244" s="48">
        <v>68122.2</v>
      </c>
      <c r="N244" s="48">
        <v>1333.5</v>
      </c>
    </row>
    <row r="245" spans="1:14" ht="10.050000000000001" customHeight="1">
      <c r="A245" s="45" t="s">
        <v>83</v>
      </c>
      <c r="B245" s="46">
        <v>2005</v>
      </c>
      <c r="C245" s="45" t="s">
        <v>112</v>
      </c>
      <c r="D245" s="47">
        <v>4</v>
      </c>
      <c r="E245" s="48">
        <v>177</v>
      </c>
      <c r="F245" s="48">
        <v>0</v>
      </c>
      <c r="G245" s="48">
        <v>177</v>
      </c>
      <c r="H245" s="48">
        <v>797.5</v>
      </c>
      <c r="I245" s="48">
        <v>451.8</v>
      </c>
      <c r="J245" s="48">
        <v>1249.3</v>
      </c>
      <c r="K245" s="48">
        <v>0</v>
      </c>
      <c r="L245" s="48">
        <v>11.2</v>
      </c>
      <c r="M245" s="48">
        <v>17.100000000000001</v>
      </c>
      <c r="N245" s="48">
        <v>0</v>
      </c>
    </row>
    <row r="246" spans="1:14" ht="10.050000000000001" customHeight="1">
      <c r="A246" s="45" t="s">
        <v>82</v>
      </c>
      <c r="B246" s="46">
        <v>2005</v>
      </c>
      <c r="C246" s="45" t="s">
        <v>112</v>
      </c>
      <c r="D246" s="47">
        <v>4</v>
      </c>
      <c r="E246" s="48">
        <v>5053.3999999999996</v>
      </c>
      <c r="F246" s="48">
        <v>0</v>
      </c>
      <c r="G246" s="48">
        <v>5053.3999999999996</v>
      </c>
      <c r="H246" s="48">
        <v>47672.1</v>
      </c>
      <c r="I246" s="48">
        <v>2545.6999999999998</v>
      </c>
      <c r="J246" s="48">
        <v>50217.8</v>
      </c>
      <c r="K246" s="48">
        <v>2305.5</v>
      </c>
      <c r="L246" s="48">
        <v>56.8</v>
      </c>
      <c r="M246" s="48">
        <v>1220.0999999999999</v>
      </c>
      <c r="N246" s="48">
        <v>99.1</v>
      </c>
    </row>
    <row r="247" spans="1:14" ht="10.050000000000001" customHeight="1">
      <c r="A247" s="45" t="s">
        <v>81</v>
      </c>
      <c r="B247" s="46">
        <v>2005</v>
      </c>
      <c r="C247" s="45" t="s">
        <v>112</v>
      </c>
      <c r="D247" s="47">
        <v>4</v>
      </c>
      <c r="E247" s="48">
        <v>60718.5</v>
      </c>
      <c r="F247" s="48">
        <v>0</v>
      </c>
      <c r="G247" s="48">
        <v>60718.5</v>
      </c>
      <c r="H247" s="48">
        <v>328193</v>
      </c>
      <c r="I247" s="48">
        <v>4090.1</v>
      </c>
      <c r="J247" s="48">
        <v>332283.09999999998</v>
      </c>
      <c r="K247" s="48">
        <v>29502.799999999999</v>
      </c>
      <c r="L247" s="48">
        <v>1115.7</v>
      </c>
      <c r="M247" s="48">
        <v>38356.6</v>
      </c>
      <c r="N247" s="48">
        <v>527.70000000000005</v>
      </c>
    </row>
    <row r="248" spans="1:14" ht="10.050000000000001" customHeight="1">
      <c r="A248" s="45" t="s">
        <v>80</v>
      </c>
      <c r="B248" s="46">
        <v>2005</v>
      </c>
      <c r="C248" s="45" t="s">
        <v>112</v>
      </c>
      <c r="D248" s="47">
        <v>5</v>
      </c>
      <c r="E248" s="48">
        <v>131740.5</v>
      </c>
      <c r="F248" s="48">
        <v>0</v>
      </c>
      <c r="G248" s="48">
        <v>131740.5</v>
      </c>
      <c r="H248" s="48">
        <v>397389.7</v>
      </c>
      <c r="I248" s="48">
        <v>4151.5</v>
      </c>
      <c r="J248" s="48">
        <v>401541.2</v>
      </c>
      <c r="K248" s="48">
        <v>32603.1</v>
      </c>
      <c r="L248" s="48">
        <v>3085.2</v>
      </c>
      <c r="M248" s="48">
        <v>65174.5</v>
      </c>
      <c r="N248" s="48">
        <v>1041.5999999999999</v>
      </c>
    </row>
    <row r="249" spans="1:14" ht="10.050000000000001" customHeight="1">
      <c r="A249" s="45" t="s">
        <v>83</v>
      </c>
      <c r="B249" s="46">
        <v>2005</v>
      </c>
      <c r="C249" s="45" t="s">
        <v>112</v>
      </c>
      <c r="D249" s="47">
        <v>5</v>
      </c>
      <c r="E249" s="48">
        <v>121.6</v>
      </c>
      <c r="F249" s="48">
        <v>0</v>
      </c>
      <c r="G249" s="48">
        <v>121.6</v>
      </c>
      <c r="H249" s="48">
        <v>658.3</v>
      </c>
      <c r="I249" s="48">
        <v>444.4</v>
      </c>
      <c r="J249" s="48">
        <v>1102.7</v>
      </c>
      <c r="K249" s="48">
        <v>0</v>
      </c>
      <c r="L249" s="48">
        <v>2.2000000000000002</v>
      </c>
      <c r="M249" s="48">
        <v>2.2000000000000002</v>
      </c>
      <c r="N249" s="48">
        <v>0</v>
      </c>
    </row>
    <row r="250" spans="1:14" ht="10.050000000000001" customHeight="1">
      <c r="A250" s="45" t="s">
        <v>82</v>
      </c>
      <c r="B250" s="46">
        <v>2005</v>
      </c>
      <c r="C250" s="45" t="s">
        <v>112</v>
      </c>
      <c r="D250" s="47">
        <v>5</v>
      </c>
      <c r="E250" s="48">
        <v>3928.5</v>
      </c>
      <c r="F250" s="48">
        <v>0</v>
      </c>
      <c r="G250" s="48">
        <v>3928.5</v>
      </c>
      <c r="H250" s="48">
        <v>38882</v>
      </c>
      <c r="I250" s="48">
        <v>2210.4</v>
      </c>
      <c r="J250" s="48">
        <v>41092.400000000001</v>
      </c>
      <c r="K250" s="48">
        <v>602.70000000000005</v>
      </c>
      <c r="L250" s="48">
        <v>0</v>
      </c>
      <c r="M250" s="48">
        <v>1699.4</v>
      </c>
      <c r="N250" s="48">
        <v>3.4</v>
      </c>
    </row>
    <row r="251" spans="1:14" ht="10.050000000000001" customHeight="1">
      <c r="A251" s="45" t="s">
        <v>81</v>
      </c>
      <c r="B251" s="46">
        <v>2005</v>
      </c>
      <c r="C251" s="45" t="s">
        <v>112</v>
      </c>
      <c r="D251" s="47">
        <v>5</v>
      </c>
      <c r="E251" s="48">
        <v>34919.4</v>
      </c>
      <c r="F251" s="48">
        <v>-147</v>
      </c>
      <c r="G251" s="48">
        <v>34772.400000000001</v>
      </c>
      <c r="H251" s="48">
        <v>224272.3</v>
      </c>
      <c r="I251" s="48">
        <v>3293.1</v>
      </c>
      <c r="J251" s="48">
        <v>227565.4</v>
      </c>
      <c r="K251" s="48">
        <v>12614.4</v>
      </c>
      <c r="L251" s="48">
        <v>687.1</v>
      </c>
      <c r="M251" s="48">
        <v>17280.599999999999</v>
      </c>
      <c r="N251" s="48">
        <v>294.89999999999998</v>
      </c>
    </row>
    <row r="252" spans="1:14" ht="10.050000000000001" customHeight="1">
      <c r="A252" s="45" t="s">
        <v>80</v>
      </c>
      <c r="B252" s="46">
        <v>2005</v>
      </c>
      <c r="C252" s="45" t="s">
        <v>112</v>
      </c>
      <c r="D252" s="47">
        <v>6</v>
      </c>
      <c r="E252" s="48">
        <v>72076.600000000006</v>
      </c>
      <c r="F252" s="48">
        <v>758.5</v>
      </c>
      <c r="G252" s="48">
        <v>72835.100000000006</v>
      </c>
      <c r="H252" s="48">
        <v>181841.2</v>
      </c>
      <c r="I252" s="48">
        <v>3694.6</v>
      </c>
      <c r="J252" s="48">
        <v>185535.8</v>
      </c>
      <c r="K252" s="48">
        <v>7485.1</v>
      </c>
      <c r="L252" s="48">
        <v>1896.3</v>
      </c>
      <c r="M252" s="48">
        <v>25986.799999999999</v>
      </c>
      <c r="N252" s="48">
        <v>1027.5</v>
      </c>
    </row>
    <row r="253" spans="1:14" ht="10.050000000000001" customHeight="1">
      <c r="A253" s="45" t="s">
        <v>83</v>
      </c>
      <c r="B253" s="46">
        <v>2005</v>
      </c>
      <c r="C253" s="45" t="s">
        <v>112</v>
      </c>
      <c r="D253" s="47">
        <v>6</v>
      </c>
      <c r="E253" s="48">
        <v>242.5</v>
      </c>
      <c r="F253" s="48">
        <v>336.2</v>
      </c>
      <c r="G253" s="48">
        <v>578.70000000000005</v>
      </c>
      <c r="H253" s="48">
        <v>421.7</v>
      </c>
      <c r="I253" s="48">
        <v>299.39999999999998</v>
      </c>
      <c r="J253" s="48">
        <v>721.1</v>
      </c>
      <c r="K253" s="48">
        <v>0</v>
      </c>
      <c r="L253" s="48">
        <v>3.2</v>
      </c>
      <c r="M253" s="48">
        <v>3.2</v>
      </c>
      <c r="N253" s="48">
        <v>0</v>
      </c>
    </row>
    <row r="254" spans="1:14" ht="10.050000000000001" customHeight="1">
      <c r="A254" s="45" t="s">
        <v>82</v>
      </c>
      <c r="B254" s="46">
        <v>2005</v>
      </c>
      <c r="C254" s="45" t="s">
        <v>112</v>
      </c>
      <c r="D254" s="47">
        <v>6</v>
      </c>
      <c r="E254" s="48">
        <v>2274.6</v>
      </c>
      <c r="F254" s="48">
        <v>2.7</v>
      </c>
      <c r="G254" s="48">
        <v>2277.3000000000002</v>
      </c>
      <c r="H254" s="48">
        <v>24849.7</v>
      </c>
      <c r="I254" s="48">
        <v>2047.5</v>
      </c>
      <c r="J254" s="48">
        <v>26897.200000000001</v>
      </c>
      <c r="K254" s="48">
        <v>186.9</v>
      </c>
      <c r="L254" s="48">
        <v>23</v>
      </c>
      <c r="M254" s="48">
        <v>293.8</v>
      </c>
      <c r="N254" s="48">
        <v>145</v>
      </c>
    </row>
    <row r="255" spans="1:14" ht="10.050000000000001" customHeight="1">
      <c r="A255" s="45" t="s">
        <v>81</v>
      </c>
      <c r="B255" s="46">
        <v>2005</v>
      </c>
      <c r="C255" s="45" t="s">
        <v>112</v>
      </c>
      <c r="D255" s="47">
        <v>6</v>
      </c>
      <c r="E255" s="48">
        <v>25131.8</v>
      </c>
      <c r="F255" s="48">
        <v>743.5</v>
      </c>
      <c r="G255" s="48">
        <v>25875.3</v>
      </c>
      <c r="H255" s="48">
        <v>93406.9</v>
      </c>
      <c r="I255" s="48">
        <v>2290.1</v>
      </c>
      <c r="J255" s="48">
        <v>95697</v>
      </c>
      <c r="K255" s="48">
        <v>2142.5</v>
      </c>
      <c r="L255" s="48">
        <v>0</v>
      </c>
      <c r="M255" s="48">
        <v>10393.1</v>
      </c>
      <c r="N255" s="48">
        <v>78.8</v>
      </c>
    </row>
    <row r="256" spans="1:14" ht="10.050000000000001" customHeight="1">
      <c r="A256" s="45" t="s">
        <v>80</v>
      </c>
      <c r="B256" s="46">
        <v>2005</v>
      </c>
      <c r="C256" s="45" t="s">
        <v>113</v>
      </c>
      <c r="D256" s="47">
        <v>7</v>
      </c>
      <c r="E256" s="48">
        <v>2838284.5</v>
      </c>
      <c r="F256" s="48">
        <v>6041.1</v>
      </c>
      <c r="G256" s="48">
        <v>2844325.6</v>
      </c>
      <c r="H256" s="48">
        <v>2725289</v>
      </c>
      <c r="I256" s="48">
        <v>7244.5</v>
      </c>
      <c r="J256" s="48">
        <v>2732533.5</v>
      </c>
      <c r="K256" s="48">
        <v>636045.5</v>
      </c>
      <c r="L256" s="48">
        <v>713487.8</v>
      </c>
      <c r="M256" s="48">
        <v>83918.6</v>
      </c>
      <c r="N256" s="48">
        <v>997.3</v>
      </c>
    </row>
    <row r="257" spans="1:14" ht="10.050000000000001" customHeight="1">
      <c r="A257" s="45" t="s">
        <v>83</v>
      </c>
      <c r="B257" s="46">
        <v>2005</v>
      </c>
      <c r="C257" s="45" t="s">
        <v>113</v>
      </c>
      <c r="D257" s="47">
        <v>7</v>
      </c>
      <c r="E257" s="48">
        <v>4315.1000000000004</v>
      </c>
      <c r="F257" s="48">
        <v>0</v>
      </c>
      <c r="G257" s="48">
        <v>4315.1000000000004</v>
      </c>
      <c r="H257" s="48">
        <v>2385.6</v>
      </c>
      <c r="I257" s="48">
        <v>373.4</v>
      </c>
      <c r="J257" s="48">
        <v>2759</v>
      </c>
      <c r="K257" s="48">
        <v>555.6</v>
      </c>
      <c r="L257" s="48">
        <v>555.6</v>
      </c>
      <c r="M257" s="48">
        <v>0</v>
      </c>
      <c r="N257" s="48">
        <v>0</v>
      </c>
    </row>
    <row r="258" spans="1:14" ht="10.050000000000001" customHeight="1">
      <c r="A258" s="45" t="s">
        <v>82</v>
      </c>
      <c r="B258" s="46">
        <v>2005</v>
      </c>
      <c r="C258" s="45" t="s">
        <v>113</v>
      </c>
      <c r="D258" s="47">
        <v>7</v>
      </c>
      <c r="E258" s="48">
        <v>599</v>
      </c>
      <c r="F258" s="48">
        <v>0</v>
      </c>
      <c r="G258" s="48">
        <v>599</v>
      </c>
      <c r="H258" s="48">
        <v>16619.2</v>
      </c>
      <c r="I258" s="48">
        <v>1862.6</v>
      </c>
      <c r="J258" s="48">
        <v>18481.8</v>
      </c>
      <c r="K258" s="48">
        <v>97.1</v>
      </c>
      <c r="L258" s="48">
        <v>50</v>
      </c>
      <c r="M258" s="48">
        <v>49.9</v>
      </c>
      <c r="N258" s="48">
        <v>89.9</v>
      </c>
    </row>
    <row r="259" spans="1:14" ht="10.050000000000001" customHeight="1">
      <c r="A259" s="45" t="s">
        <v>81</v>
      </c>
      <c r="B259" s="46">
        <v>2005</v>
      </c>
      <c r="C259" s="45" t="s">
        <v>113</v>
      </c>
      <c r="D259" s="47">
        <v>7</v>
      </c>
      <c r="E259" s="48">
        <v>3964.3</v>
      </c>
      <c r="F259" s="48">
        <v>0</v>
      </c>
      <c r="G259" s="48">
        <v>3964.3</v>
      </c>
      <c r="H259" s="48">
        <v>49416.3</v>
      </c>
      <c r="I259" s="48">
        <v>2283.3000000000002</v>
      </c>
      <c r="J259" s="48">
        <v>51699.6</v>
      </c>
      <c r="K259" s="48">
        <v>1049.7</v>
      </c>
      <c r="L259" s="48">
        <v>233.8</v>
      </c>
      <c r="M259" s="48">
        <v>1389.3</v>
      </c>
      <c r="N259" s="48">
        <v>7.9</v>
      </c>
    </row>
    <row r="260" spans="1:14" ht="10.050000000000001" customHeight="1">
      <c r="A260" s="45" t="s">
        <v>80</v>
      </c>
      <c r="B260" s="46">
        <v>2005</v>
      </c>
      <c r="C260" s="45" t="s">
        <v>113</v>
      </c>
      <c r="D260" s="47">
        <v>8</v>
      </c>
      <c r="E260" s="48">
        <v>414823</v>
      </c>
      <c r="F260" s="48">
        <v>2226.3000000000002</v>
      </c>
      <c r="G260" s="48">
        <v>417049.3</v>
      </c>
      <c r="H260" s="48">
        <v>2839650.8</v>
      </c>
      <c r="I260" s="48">
        <v>7979.1</v>
      </c>
      <c r="J260" s="48">
        <v>2847629.9</v>
      </c>
      <c r="K260" s="48">
        <v>562790.30000000005</v>
      </c>
      <c r="L260" s="48">
        <v>109483.3</v>
      </c>
      <c r="M260" s="48">
        <v>180809.1</v>
      </c>
      <c r="N260" s="48">
        <v>1929.4</v>
      </c>
    </row>
    <row r="261" spans="1:14" ht="10.050000000000001" customHeight="1">
      <c r="A261" s="45" t="s">
        <v>83</v>
      </c>
      <c r="B261" s="46">
        <v>2005</v>
      </c>
      <c r="C261" s="45" t="s">
        <v>113</v>
      </c>
      <c r="D261" s="47">
        <v>8</v>
      </c>
      <c r="E261" s="48">
        <v>8079.7</v>
      </c>
      <c r="F261" s="48">
        <v>0</v>
      </c>
      <c r="G261" s="48">
        <v>8079.7</v>
      </c>
      <c r="H261" s="48">
        <v>4315.1000000000004</v>
      </c>
      <c r="I261" s="48">
        <v>373.4</v>
      </c>
      <c r="J261" s="48">
        <v>4688.5</v>
      </c>
      <c r="K261" s="48">
        <v>1057.3</v>
      </c>
      <c r="L261" s="48">
        <v>664.4</v>
      </c>
      <c r="M261" s="48">
        <v>162.69999999999999</v>
      </c>
      <c r="N261" s="48">
        <v>0</v>
      </c>
    </row>
    <row r="262" spans="1:14" ht="10.050000000000001" customHeight="1">
      <c r="A262" s="45" t="s">
        <v>82</v>
      </c>
      <c r="B262" s="46">
        <v>2005</v>
      </c>
      <c r="C262" s="45" t="s">
        <v>113</v>
      </c>
      <c r="D262" s="47">
        <v>8</v>
      </c>
      <c r="E262" s="48">
        <v>559</v>
      </c>
      <c r="F262" s="48">
        <v>0</v>
      </c>
      <c r="G262" s="48">
        <v>559</v>
      </c>
      <c r="H262" s="48">
        <v>6338.1</v>
      </c>
      <c r="I262" s="48">
        <v>1835.3</v>
      </c>
      <c r="J262" s="48">
        <v>8173.4</v>
      </c>
      <c r="K262" s="48">
        <v>132.6</v>
      </c>
      <c r="L262" s="48">
        <v>37</v>
      </c>
      <c r="M262" s="48">
        <v>0</v>
      </c>
      <c r="N262" s="48">
        <v>1.5</v>
      </c>
    </row>
    <row r="263" spans="1:14" ht="10.050000000000001" customHeight="1">
      <c r="A263" s="45" t="s">
        <v>81</v>
      </c>
      <c r="B263" s="46">
        <v>2005</v>
      </c>
      <c r="C263" s="45" t="s">
        <v>113</v>
      </c>
      <c r="D263" s="47">
        <v>8</v>
      </c>
      <c r="E263" s="48">
        <v>169123.4</v>
      </c>
      <c r="F263" s="48">
        <v>43.9</v>
      </c>
      <c r="G263" s="48">
        <v>169167.3</v>
      </c>
      <c r="H263" s="48">
        <v>181927.3</v>
      </c>
      <c r="I263" s="48">
        <v>2324.3000000000002</v>
      </c>
      <c r="J263" s="48">
        <v>184251.6</v>
      </c>
      <c r="K263" s="48">
        <v>40033.800000000003</v>
      </c>
      <c r="L263" s="48">
        <v>39388.800000000003</v>
      </c>
      <c r="M263" s="48">
        <v>300.60000000000002</v>
      </c>
      <c r="N263" s="48">
        <v>10.1</v>
      </c>
    </row>
    <row r="264" spans="1:14" ht="10.050000000000001" customHeight="1">
      <c r="A264" s="45" t="s">
        <v>80</v>
      </c>
      <c r="B264" s="46">
        <v>2005</v>
      </c>
      <c r="C264" s="45" t="s">
        <v>113</v>
      </c>
      <c r="D264" s="47">
        <v>9</v>
      </c>
      <c r="E264" s="48">
        <v>232068.3</v>
      </c>
      <c r="F264" s="48">
        <v>0</v>
      </c>
      <c r="G264" s="48">
        <v>232068.3</v>
      </c>
      <c r="H264" s="48">
        <v>2754773.9</v>
      </c>
      <c r="I264" s="48">
        <v>6962.6</v>
      </c>
      <c r="J264" s="48">
        <v>2761736.5</v>
      </c>
      <c r="K264" s="48">
        <v>417367.1</v>
      </c>
      <c r="L264" s="48">
        <v>9323</v>
      </c>
      <c r="M264" s="48">
        <v>152611.1</v>
      </c>
      <c r="N264" s="48">
        <v>2345.4</v>
      </c>
    </row>
    <row r="265" spans="1:14" ht="10.050000000000001" customHeight="1">
      <c r="A265" s="45" t="s">
        <v>83</v>
      </c>
      <c r="B265" s="46">
        <v>2005</v>
      </c>
      <c r="C265" s="45" t="s">
        <v>113</v>
      </c>
      <c r="D265" s="47">
        <v>9</v>
      </c>
      <c r="E265" s="48">
        <v>5507.1</v>
      </c>
      <c r="F265" s="48">
        <v>0</v>
      </c>
      <c r="G265" s="48">
        <v>5507.1</v>
      </c>
      <c r="H265" s="48">
        <v>3439.5</v>
      </c>
      <c r="I265" s="48">
        <v>351.4</v>
      </c>
      <c r="J265" s="48">
        <v>3790.9</v>
      </c>
      <c r="K265" s="48">
        <v>143.69999999999999</v>
      </c>
      <c r="L265" s="48">
        <v>60.6</v>
      </c>
      <c r="M265" s="48">
        <v>908.2</v>
      </c>
      <c r="N265" s="48">
        <v>66</v>
      </c>
    </row>
    <row r="266" spans="1:14" ht="10.050000000000001" customHeight="1">
      <c r="A266" s="45" t="s">
        <v>82</v>
      </c>
      <c r="B266" s="46">
        <v>2005</v>
      </c>
      <c r="C266" s="45" t="s">
        <v>113</v>
      </c>
      <c r="D266" s="47">
        <v>9</v>
      </c>
      <c r="E266" s="48">
        <v>35205</v>
      </c>
      <c r="F266" s="48">
        <v>1826.6</v>
      </c>
      <c r="G266" s="48">
        <v>37031.599999999999</v>
      </c>
      <c r="H266" s="48">
        <v>35345.699999999997</v>
      </c>
      <c r="I266" s="48">
        <v>3661.8</v>
      </c>
      <c r="J266" s="48">
        <v>39007.5</v>
      </c>
      <c r="K266" s="48">
        <v>4417.6000000000004</v>
      </c>
      <c r="L266" s="48">
        <v>4369.7</v>
      </c>
      <c r="M266" s="48">
        <v>49.3</v>
      </c>
      <c r="N266" s="48">
        <v>35.4</v>
      </c>
    </row>
    <row r="267" spans="1:14" ht="10.050000000000001" customHeight="1">
      <c r="A267" s="45" t="s">
        <v>81</v>
      </c>
      <c r="B267" s="46">
        <v>2005</v>
      </c>
      <c r="C267" s="45" t="s">
        <v>113</v>
      </c>
      <c r="D267" s="47">
        <v>9</v>
      </c>
      <c r="E267" s="48">
        <v>810339.9</v>
      </c>
      <c r="F267" s="48">
        <v>1440.7</v>
      </c>
      <c r="G267" s="48">
        <v>811780.6</v>
      </c>
      <c r="H267" s="48">
        <v>789410.4</v>
      </c>
      <c r="I267" s="48">
        <v>6090.9</v>
      </c>
      <c r="J267" s="48">
        <v>795501.3</v>
      </c>
      <c r="K267" s="48">
        <v>206517.7</v>
      </c>
      <c r="L267" s="48">
        <v>176059.8</v>
      </c>
      <c r="M267" s="48">
        <v>9485.2999999999993</v>
      </c>
      <c r="N267" s="48">
        <v>114</v>
      </c>
    </row>
    <row r="268" spans="1:14" ht="10.050000000000001" customHeight="1">
      <c r="A268" s="45" t="s">
        <v>80</v>
      </c>
      <c r="B268" s="46">
        <v>2005</v>
      </c>
      <c r="C268" s="45" t="s">
        <v>113</v>
      </c>
      <c r="D268" s="47">
        <v>10</v>
      </c>
      <c r="E268" s="48">
        <v>106645.1</v>
      </c>
      <c r="F268" s="48">
        <v>0</v>
      </c>
      <c r="G268" s="48">
        <v>106645.1</v>
      </c>
      <c r="H268" s="48">
        <v>2537867.6</v>
      </c>
      <c r="I268" s="48">
        <v>6347.8</v>
      </c>
      <c r="J268" s="48">
        <v>2544215.4</v>
      </c>
      <c r="K268" s="48">
        <v>343688.4</v>
      </c>
      <c r="L268" s="48">
        <v>7330.4</v>
      </c>
      <c r="M268" s="48">
        <v>79957.399999999994</v>
      </c>
      <c r="N268" s="48">
        <v>1051.7</v>
      </c>
    </row>
    <row r="269" spans="1:14" ht="10.050000000000001" customHeight="1">
      <c r="A269" s="45" t="s">
        <v>83</v>
      </c>
      <c r="B269" s="46">
        <v>2005</v>
      </c>
      <c r="C269" s="45" t="s">
        <v>113</v>
      </c>
      <c r="D269" s="47">
        <v>10</v>
      </c>
      <c r="E269" s="48">
        <v>674.4</v>
      </c>
      <c r="F269" s="48">
        <v>211.8</v>
      </c>
      <c r="G269" s="48">
        <v>886.2</v>
      </c>
      <c r="H269" s="48">
        <v>2665.4</v>
      </c>
      <c r="I269" s="48">
        <v>298.7</v>
      </c>
      <c r="J269" s="48">
        <v>2964.1</v>
      </c>
      <c r="K269" s="48">
        <v>114.7</v>
      </c>
      <c r="L269" s="48">
        <v>25.8</v>
      </c>
      <c r="M269" s="48">
        <v>49.6</v>
      </c>
      <c r="N269" s="48">
        <v>5.2</v>
      </c>
    </row>
    <row r="270" spans="1:14" ht="10.050000000000001" customHeight="1">
      <c r="A270" s="45" t="s">
        <v>82</v>
      </c>
      <c r="B270" s="46">
        <v>2005</v>
      </c>
      <c r="C270" s="45" t="s">
        <v>113</v>
      </c>
      <c r="D270" s="47">
        <v>10</v>
      </c>
      <c r="E270" s="48">
        <v>56311.199999999997</v>
      </c>
      <c r="F270" s="48">
        <v>5076.6000000000004</v>
      </c>
      <c r="G270" s="48">
        <v>61387.8</v>
      </c>
      <c r="H270" s="48">
        <v>84520.6</v>
      </c>
      <c r="I270" s="48">
        <v>8635</v>
      </c>
      <c r="J270" s="48">
        <v>93155.600000000093</v>
      </c>
      <c r="K270" s="48">
        <v>7008.6</v>
      </c>
      <c r="L270" s="48">
        <v>3584.4</v>
      </c>
      <c r="M270" s="48">
        <v>726.9</v>
      </c>
      <c r="N270" s="48">
        <v>266.5</v>
      </c>
    </row>
    <row r="271" spans="1:14" ht="10.050000000000001" customHeight="1">
      <c r="A271" s="45" t="s">
        <v>81</v>
      </c>
      <c r="B271" s="46">
        <v>2005</v>
      </c>
      <c r="C271" s="45" t="s">
        <v>113</v>
      </c>
      <c r="D271" s="47">
        <v>10</v>
      </c>
      <c r="E271" s="48">
        <v>165213.9</v>
      </c>
      <c r="F271" s="48">
        <v>22.2</v>
      </c>
      <c r="G271" s="48">
        <v>165236.1</v>
      </c>
      <c r="H271" s="48">
        <v>832306.4</v>
      </c>
      <c r="I271" s="48">
        <v>2872.3</v>
      </c>
      <c r="J271" s="48">
        <v>835178.7</v>
      </c>
      <c r="K271" s="48">
        <v>190811.6</v>
      </c>
      <c r="L271" s="48">
        <v>25175</v>
      </c>
      <c r="M271" s="48">
        <v>39721.199999999997</v>
      </c>
      <c r="N271" s="48">
        <v>1159.9000000000001</v>
      </c>
    </row>
    <row r="272" spans="1:14" ht="10.050000000000001" customHeight="1">
      <c r="A272" s="45" t="s">
        <v>80</v>
      </c>
      <c r="B272" s="46">
        <v>2005</v>
      </c>
      <c r="C272" s="45" t="s">
        <v>113</v>
      </c>
      <c r="D272" s="47">
        <v>11</v>
      </c>
      <c r="E272" s="48">
        <v>157880</v>
      </c>
      <c r="F272" s="48">
        <v>174.9</v>
      </c>
      <c r="G272" s="48">
        <v>158054.9</v>
      </c>
      <c r="H272" s="48">
        <v>2388379.1</v>
      </c>
      <c r="I272" s="48">
        <v>6267.4</v>
      </c>
      <c r="J272" s="48">
        <v>2394646.5</v>
      </c>
      <c r="K272" s="48">
        <v>261678.4</v>
      </c>
      <c r="L272" s="48">
        <v>10005.5</v>
      </c>
      <c r="M272" s="48">
        <v>91110.399999999994</v>
      </c>
      <c r="N272" s="48">
        <v>905.1</v>
      </c>
    </row>
    <row r="273" spans="1:14" ht="10.050000000000001" customHeight="1">
      <c r="A273" s="45" t="s">
        <v>83</v>
      </c>
      <c r="B273" s="46">
        <v>2005</v>
      </c>
      <c r="C273" s="45" t="s">
        <v>113</v>
      </c>
      <c r="D273" s="47">
        <v>11</v>
      </c>
      <c r="E273" s="48">
        <v>663.6</v>
      </c>
      <c r="F273" s="48">
        <v>74.5</v>
      </c>
      <c r="G273" s="48">
        <v>738.1</v>
      </c>
      <c r="H273" s="48">
        <v>2431.3000000000002</v>
      </c>
      <c r="I273" s="48">
        <v>372.7</v>
      </c>
      <c r="J273" s="48">
        <v>2804</v>
      </c>
      <c r="K273" s="48">
        <v>89.1</v>
      </c>
      <c r="L273" s="48">
        <v>0.2</v>
      </c>
      <c r="M273" s="48">
        <v>25.8</v>
      </c>
      <c r="N273" s="48">
        <v>0</v>
      </c>
    </row>
    <row r="274" spans="1:14" ht="10.050000000000001" customHeight="1">
      <c r="A274" s="45" t="s">
        <v>82</v>
      </c>
      <c r="B274" s="46">
        <v>2005</v>
      </c>
      <c r="C274" s="45" t="s">
        <v>113</v>
      </c>
      <c r="D274" s="47">
        <v>11</v>
      </c>
      <c r="E274" s="48">
        <v>7569.1</v>
      </c>
      <c r="F274" s="48">
        <v>140.69999999999999</v>
      </c>
      <c r="G274" s="48">
        <v>7709.8000000000102</v>
      </c>
      <c r="H274" s="48">
        <v>79171.5</v>
      </c>
      <c r="I274" s="48">
        <v>8526.1</v>
      </c>
      <c r="J274" s="48">
        <v>87697.600000000006</v>
      </c>
      <c r="K274" s="48">
        <v>5611</v>
      </c>
      <c r="L274" s="48">
        <v>888.7</v>
      </c>
      <c r="M274" s="48">
        <v>1895.5</v>
      </c>
      <c r="N274" s="48">
        <v>390.8</v>
      </c>
    </row>
    <row r="275" spans="1:14" ht="10.050000000000001" customHeight="1">
      <c r="A275" s="45" t="s">
        <v>81</v>
      </c>
      <c r="B275" s="46">
        <v>2005</v>
      </c>
      <c r="C275" s="45" t="s">
        <v>113</v>
      </c>
      <c r="D275" s="47">
        <v>11</v>
      </c>
      <c r="E275" s="48">
        <v>34544.300000000003</v>
      </c>
      <c r="F275" s="48">
        <v>754.3</v>
      </c>
      <c r="G275" s="48">
        <v>35298.6</v>
      </c>
      <c r="H275" s="48">
        <v>759834.4</v>
      </c>
      <c r="I275" s="48">
        <v>3365.5</v>
      </c>
      <c r="J275" s="48">
        <v>763199.9</v>
      </c>
      <c r="K275" s="48">
        <v>169738.7</v>
      </c>
      <c r="L275" s="48">
        <v>2590.5</v>
      </c>
      <c r="M275" s="48">
        <v>22761.1</v>
      </c>
      <c r="N275" s="48">
        <v>933.2</v>
      </c>
    </row>
    <row r="276" spans="1:14" ht="10.050000000000001" customHeight="1">
      <c r="A276" s="45" t="s">
        <v>80</v>
      </c>
      <c r="B276" s="46">
        <v>2005</v>
      </c>
      <c r="C276" s="45" t="s">
        <v>113</v>
      </c>
      <c r="D276" s="47">
        <v>12</v>
      </c>
      <c r="E276" s="48">
        <v>75200.399999999994</v>
      </c>
      <c r="F276" s="48">
        <v>242.9</v>
      </c>
      <c r="G276" s="48">
        <v>75443.3</v>
      </c>
      <c r="H276" s="48">
        <v>2152783</v>
      </c>
      <c r="I276" s="48">
        <v>6394.4</v>
      </c>
      <c r="J276" s="48">
        <v>2159177.4</v>
      </c>
      <c r="K276" s="48">
        <v>244352.9</v>
      </c>
      <c r="L276" s="48">
        <v>17108.3</v>
      </c>
      <c r="M276" s="48">
        <v>31941.4</v>
      </c>
      <c r="N276" s="48">
        <v>2492.4</v>
      </c>
    </row>
    <row r="277" spans="1:14" ht="10.050000000000001" customHeight="1">
      <c r="A277" s="45" t="s">
        <v>83</v>
      </c>
      <c r="B277" s="46">
        <v>2005</v>
      </c>
      <c r="C277" s="45" t="s">
        <v>113</v>
      </c>
      <c r="D277" s="47">
        <v>12</v>
      </c>
      <c r="E277" s="48">
        <v>1895.2</v>
      </c>
      <c r="F277" s="48">
        <v>70.3</v>
      </c>
      <c r="G277" s="48">
        <v>1965.5</v>
      </c>
      <c r="H277" s="48">
        <v>2420.9</v>
      </c>
      <c r="I277" s="48">
        <v>443</v>
      </c>
      <c r="J277" s="48">
        <v>2863.9</v>
      </c>
      <c r="K277" s="48">
        <v>88.8</v>
      </c>
      <c r="L277" s="48">
        <v>0</v>
      </c>
      <c r="M277" s="48">
        <v>0</v>
      </c>
      <c r="N277" s="48">
        <v>0.3</v>
      </c>
    </row>
    <row r="278" spans="1:14" ht="10.050000000000001" customHeight="1">
      <c r="A278" s="45" t="s">
        <v>82</v>
      </c>
      <c r="B278" s="46">
        <v>2005</v>
      </c>
      <c r="C278" s="45" t="s">
        <v>113</v>
      </c>
      <c r="D278" s="47">
        <v>12</v>
      </c>
      <c r="E278" s="48">
        <v>4605.3</v>
      </c>
      <c r="F278" s="48">
        <v>16</v>
      </c>
      <c r="G278" s="48">
        <v>4621.3</v>
      </c>
      <c r="H278" s="48">
        <v>73434.7</v>
      </c>
      <c r="I278" s="48">
        <v>8228.1</v>
      </c>
      <c r="J278" s="48">
        <v>81662.8</v>
      </c>
      <c r="K278" s="48">
        <v>4768.3999999999996</v>
      </c>
      <c r="L278" s="48">
        <v>49</v>
      </c>
      <c r="M278" s="48">
        <v>961.6</v>
      </c>
      <c r="N278" s="48">
        <v>0</v>
      </c>
    </row>
    <row r="279" spans="1:14" ht="10.050000000000001" customHeight="1">
      <c r="A279" s="45" t="s">
        <v>81</v>
      </c>
      <c r="B279" s="46">
        <v>2005</v>
      </c>
      <c r="C279" s="45" t="s">
        <v>113</v>
      </c>
      <c r="D279" s="47">
        <v>12</v>
      </c>
      <c r="E279" s="48">
        <v>21823</v>
      </c>
      <c r="F279" s="48">
        <v>4.4000000000000004</v>
      </c>
      <c r="G279" s="48">
        <v>21827.4</v>
      </c>
      <c r="H279" s="48">
        <v>690345.1</v>
      </c>
      <c r="I279" s="48">
        <v>3095.2</v>
      </c>
      <c r="J279" s="48">
        <v>693440.3</v>
      </c>
      <c r="K279" s="48">
        <v>153291.5</v>
      </c>
      <c r="L279" s="48">
        <v>697.5</v>
      </c>
      <c r="M279" s="48">
        <v>16520.3</v>
      </c>
      <c r="N279" s="48">
        <v>624.4</v>
      </c>
    </row>
    <row r="280" spans="1:14" ht="10.050000000000001" customHeight="1">
      <c r="A280" s="45" t="s">
        <v>80</v>
      </c>
      <c r="B280" s="46">
        <v>2005</v>
      </c>
      <c r="C280" s="45" t="s">
        <v>114</v>
      </c>
      <c r="D280" s="47">
        <v>9</v>
      </c>
      <c r="E280" s="48">
        <v>0</v>
      </c>
      <c r="F280" s="48">
        <v>0</v>
      </c>
      <c r="G280" s="48">
        <v>0</v>
      </c>
      <c r="H280" s="48">
        <v>1472.4</v>
      </c>
      <c r="I280" s="48">
        <v>0</v>
      </c>
      <c r="J280" s="48">
        <v>1472.4</v>
      </c>
      <c r="K280" s="48">
        <v>1541.7</v>
      </c>
      <c r="L280" s="48">
        <v>0</v>
      </c>
      <c r="M280" s="48">
        <v>0</v>
      </c>
      <c r="N280" s="48">
        <v>0</v>
      </c>
    </row>
    <row r="281" spans="1:14" ht="10.050000000000001" customHeight="1">
      <c r="A281" s="45" t="s">
        <v>80</v>
      </c>
      <c r="B281" s="46">
        <v>2006</v>
      </c>
      <c r="C281" s="45" t="s">
        <v>113</v>
      </c>
      <c r="D281" s="47">
        <v>1</v>
      </c>
      <c r="E281" s="48">
        <v>116519.4</v>
      </c>
      <c r="F281" s="48">
        <v>790.2</v>
      </c>
      <c r="G281" s="48">
        <v>117309.6</v>
      </c>
      <c r="H281" s="48">
        <v>1827331.8</v>
      </c>
      <c r="I281" s="48">
        <v>6978.8</v>
      </c>
      <c r="J281" s="48">
        <v>1834310.6</v>
      </c>
      <c r="K281" s="48">
        <v>187169.1</v>
      </c>
      <c r="L281" s="48">
        <v>17129.5</v>
      </c>
      <c r="M281" s="48">
        <v>65767.600000000006</v>
      </c>
      <c r="N281" s="48">
        <v>804.4</v>
      </c>
    </row>
    <row r="282" spans="1:14" ht="10.050000000000001" customHeight="1">
      <c r="A282" s="45" t="s">
        <v>83</v>
      </c>
      <c r="B282" s="46">
        <v>2006</v>
      </c>
      <c r="C282" s="45" t="s">
        <v>113</v>
      </c>
      <c r="D282" s="47">
        <v>1</v>
      </c>
      <c r="E282" s="48">
        <v>486.8</v>
      </c>
      <c r="F282" s="48">
        <v>0</v>
      </c>
      <c r="G282" s="48">
        <v>486.8</v>
      </c>
      <c r="H282" s="48">
        <v>2280.8000000000002</v>
      </c>
      <c r="I282" s="48">
        <v>435.7</v>
      </c>
      <c r="J282" s="48">
        <v>2716.5</v>
      </c>
      <c r="K282" s="48">
        <v>54.6</v>
      </c>
      <c r="L282" s="48">
        <v>0</v>
      </c>
      <c r="M282" s="48">
        <v>34.200000000000003</v>
      </c>
      <c r="N282" s="48">
        <v>0</v>
      </c>
    </row>
    <row r="283" spans="1:14" ht="10.050000000000001" customHeight="1">
      <c r="A283" s="45" t="s">
        <v>82</v>
      </c>
      <c r="B283" s="46">
        <v>2006</v>
      </c>
      <c r="C283" s="45" t="s">
        <v>113</v>
      </c>
      <c r="D283" s="47">
        <v>1</v>
      </c>
      <c r="E283" s="48">
        <v>3142.2</v>
      </c>
      <c r="F283" s="48">
        <v>28.5</v>
      </c>
      <c r="G283" s="48">
        <v>3170.7</v>
      </c>
      <c r="H283" s="48">
        <v>65420.2</v>
      </c>
      <c r="I283" s="48">
        <v>7253.6</v>
      </c>
      <c r="J283" s="48">
        <v>72673.8</v>
      </c>
      <c r="K283" s="48">
        <v>3575.2</v>
      </c>
      <c r="L283" s="48">
        <v>275.3</v>
      </c>
      <c r="M283" s="48">
        <v>1398.5</v>
      </c>
      <c r="N283" s="48">
        <v>0</v>
      </c>
    </row>
    <row r="284" spans="1:14" ht="10.050000000000001" customHeight="1">
      <c r="A284" s="45" t="s">
        <v>81</v>
      </c>
      <c r="B284" s="46">
        <v>2006</v>
      </c>
      <c r="C284" s="45" t="s">
        <v>113</v>
      </c>
      <c r="D284" s="47">
        <v>1</v>
      </c>
      <c r="E284" s="48">
        <v>34744</v>
      </c>
      <c r="F284" s="48">
        <v>0</v>
      </c>
      <c r="G284" s="48">
        <v>34744</v>
      </c>
      <c r="H284" s="48">
        <v>597081.80000000005</v>
      </c>
      <c r="I284" s="48">
        <v>2451.4</v>
      </c>
      <c r="J284" s="48">
        <v>599533.19999999995</v>
      </c>
      <c r="K284" s="48">
        <v>125091.8</v>
      </c>
      <c r="L284" s="48">
        <v>460.3</v>
      </c>
      <c r="M284" s="48">
        <v>28421</v>
      </c>
      <c r="N284" s="48">
        <v>239</v>
      </c>
    </row>
    <row r="285" spans="1:14" ht="10.050000000000001" customHeight="1">
      <c r="A285" s="45" t="s">
        <v>80</v>
      </c>
      <c r="B285" s="46">
        <v>2006</v>
      </c>
      <c r="C285" s="45" t="s">
        <v>113</v>
      </c>
      <c r="D285" s="47">
        <v>2</v>
      </c>
      <c r="E285" s="48">
        <v>127513.9</v>
      </c>
      <c r="F285" s="48">
        <v>0</v>
      </c>
      <c r="G285" s="48">
        <v>127513.9</v>
      </c>
      <c r="H285" s="48">
        <v>1603502</v>
      </c>
      <c r="I285" s="48">
        <v>6772.3</v>
      </c>
      <c r="J285" s="48">
        <v>1610274.3</v>
      </c>
      <c r="K285" s="48">
        <v>132024.20000000001</v>
      </c>
      <c r="L285" s="48">
        <v>9770.7000000000007</v>
      </c>
      <c r="M285" s="48">
        <v>63897.2</v>
      </c>
      <c r="N285" s="48">
        <v>1018.4</v>
      </c>
    </row>
    <row r="286" spans="1:14" ht="10.050000000000001" customHeight="1">
      <c r="A286" s="45" t="s">
        <v>83</v>
      </c>
      <c r="B286" s="46">
        <v>2006</v>
      </c>
      <c r="C286" s="45" t="s">
        <v>113</v>
      </c>
      <c r="D286" s="47">
        <v>2</v>
      </c>
      <c r="E286" s="48">
        <v>393.2</v>
      </c>
      <c r="F286" s="48">
        <v>0</v>
      </c>
      <c r="G286" s="48">
        <v>393.2</v>
      </c>
      <c r="H286" s="48">
        <v>2085.6999999999998</v>
      </c>
      <c r="I286" s="48">
        <v>353.2</v>
      </c>
      <c r="J286" s="48">
        <v>2438.9</v>
      </c>
      <c r="K286" s="48">
        <v>17.100000000000001</v>
      </c>
      <c r="L286" s="48">
        <v>0</v>
      </c>
      <c r="M286" s="48">
        <v>37.5</v>
      </c>
      <c r="N286" s="48">
        <v>0</v>
      </c>
    </row>
    <row r="287" spans="1:14" ht="10.050000000000001" customHeight="1">
      <c r="A287" s="45" t="s">
        <v>82</v>
      </c>
      <c r="B287" s="46">
        <v>2006</v>
      </c>
      <c r="C287" s="45" t="s">
        <v>113</v>
      </c>
      <c r="D287" s="47">
        <v>2</v>
      </c>
      <c r="E287" s="48">
        <v>3113.3</v>
      </c>
      <c r="F287" s="48">
        <v>0</v>
      </c>
      <c r="G287" s="48">
        <v>3113.3</v>
      </c>
      <c r="H287" s="48">
        <v>58391.7</v>
      </c>
      <c r="I287" s="48">
        <v>6226.8</v>
      </c>
      <c r="J287" s="48">
        <v>64618.5</v>
      </c>
      <c r="K287" s="48">
        <v>2831.2</v>
      </c>
      <c r="L287" s="48">
        <v>78.400000000000006</v>
      </c>
      <c r="M287" s="48">
        <v>796.7</v>
      </c>
      <c r="N287" s="48">
        <v>25.7</v>
      </c>
    </row>
    <row r="288" spans="1:14" ht="10.050000000000001" customHeight="1">
      <c r="A288" s="45" t="s">
        <v>81</v>
      </c>
      <c r="B288" s="46">
        <v>2006</v>
      </c>
      <c r="C288" s="45" t="s">
        <v>113</v>
      </c>
      <c r="D288" s="47">
        <v>2</v>
      </c>
      <c r="E288" s="48">
        <v>46475.199999999997</v>
      </c>
      <c r="F288" s="48">
        <v>1869.2</v>
      </c>
      <c r="G288" s="48">
        <v>48344.4</v>
      </c>
      <c r="H288" s="48">
        <v>511515.3</v>
      </c>
      <c r="I288" s="48">
        <v>4192.3</v>
      </c>
      <c r="J288" s="48">
        <v>515707.6</v>
      </c>
      <c r="K288" s="48">
        <v>90784.5</v>
      </c>
      <c r="L288" s="48">
        <v>1185.7</v>
      </c>
      <c r="M288" s="48">
        <v>35053.300000000003</v>
      </c>
      <c r="N288" s="48">
        <v>439.7</v>
      </c>
    </row>
    <row r="289" spans="1:14" ht="10.050000000000001" customHeight="1">
      <c r="A289" s="45" t="s">
        <v>80</v>
      </c>
      <c r="B289" s="46">
        <v>2006</v>
      </c>
      <c r="C289" s="45" t="s">
        <v>113</v>
      </c>
      <c r="D289" s="47">
        <v>3</v>
      </c>
      <c r="E289" s="48">
        <v>109215.3</v>
      </c>
      <c r="F289" s="48">
        <v>0</v>
      </c>
      <c r="G289" s="48">
        <v>109215.3</v>
      </c>
      <c r="H289" s="48">
        <v>1330247.5</v>
      </c>
      <c r="I289" s="48">
        <v>6612</v>
      </c>
      <c r="J289" s="48">
        <v>1336859.5</v>
      </c>
      <c r="K289" s="48">
        <v>90795.1</v>
      </c>
      <c r="L289" s="48">
        <v>10619.3</v>
      </c>
      <c r="M289" s="48">
        <v>51294.2</v>
      </c>
      <c r="N289" s="48">
        <v>554.20000000000005</v>
      </c>
    </row>
    <row r="290" spans="1:14" ht="10.050000000000001" customHeight="1">
      <c r="A290" s="45" t="s">
        <v>83</v>
      </c>
      <c r="B290" s="46">
        <v>2006</v>
      </c>
      <c r="C290" s="45" t="s">
        <v>113</v>
      </c>
      <c r="D290" s="47">
        <v>3</v>
      </c>
      <c r="E290" s="48">
        <v>300.3</v>
      </c>
      <c r="F290" s="48">
        <v>158.69999999999999</v>
      </c>
      <c r="G290" s="48">
        <v>459</v>
      </c>
      <c r="H290" s="48">
        <v>1922</v>
      </c>
      <c r="I290" s="48">
        <v>289.60000000000002</v>
      </c>
      <c r="J290" s="48">
        <v>2211.6</v>
      </c>
      <c r="K290" s="48">
        <v>0</v>
      </c>
      <c r="L290" s="48">
        <v>0</v>
      </c>
      <c r="M290" s="48">
        <v>17.100000000000001</v>
      </c>
      <c r="N290" s="48">
        <v>0</v>
      </c>
    </row>
    <row r="291" spans="1:14" ht="10.050000000000001" customHeight="1">
      <c r="A291" s="45" t="s">
        <v>82</v>
      </c>
      <c r="B291" s="46">
        <v>2006</v>
      </c>
      <c r="C291" s="45" t="s">
        <v>113</v>
      </c>
      <c r="D291" s="47">
        <v>3</v>
      </c>
      <c r="E291" s="48">
        <v>3018.9</v>
      </c>
      <c r="F291" s="48">
        <v>124.7</v>
      </c>
      <c r="G291" s="48">
        <v>3143.6</v>
      </c>
      <c r="H291" s="48">
        <v>50767.8</v>
      </c>
      <c r="I291" s="48">
        <v>3526.3</v>
      </c>
      <c r="J291" s="48">
        <v>54294.1</v>
      </c>
      <c r="K291" s="48">
        <v>2461.5</v>
      </c>
      <c r="L291" s="48">
        <v>274.3</v>
      </c>
      <c r="M291" s="48">
        <v>637.6</v>
      </c>
      <c r="N291" s="48">
        <v>6.4</v>
      </c>
    </row>
    <row r="292" spans="1:14" ht="10.050000000000001" customHeight="1">
      <c r="A292" s="45" t="s">
        <v>81</v>
      </c>
      <c r="B292" s="46">
        <v>2006</v>
      </c>
      <c r="C292" s="45" t="s">
        <v>113</v>
      </c>
      <c r="D292" s="47">
        <v>3</v>
      </c>
      <c r="E292" s="48">
        <v>46687.3</v>
      </c>
      <c r="F292" s="48">
        <v>345.3</v>
      </c>
      <c r="G292" s="48">
        <v>47032.6</v>
      </c>
      <c r="H292" s="48">
        <v>432013.3</v>
      </c>
      <c r="I292" s="48">
        <v>4505.7</v>
      </c>
      <c r="J292" s="48">
        <v>436519</v>
      </c>
      <c r="K292" s="48">
        <v>57935.6</v>
      </c>
      <c r="L292" s="48">
        <v>214</v>
      </c>
      <c r="M292" s="48">
        <v>32310.7</v>
      </c>
      <c r="N292" s="48">
        <v>752.2</v>
      </c>
    </row>
    <row r="293" spans="1:14" ht="10.050000000000001" customHeight="1">
      <c r="A293" s="45" t="s">
        <v>80</v>
      </c>
      <c r="B293" s="46">
        <v>2006</v>
      </c>
      <c r="C293" s="45" t="s">
        <v>113</v>
      </c>
      <c r="D293" s="47">
        <v>4</v>
      </c>
      <c r="E293" s="48">
        <v>100095.7</v>
      </c>
      <c r="F293" s="48">
        <v>0</v>
      </c>
      <c r="G293" s="48">
        <v>100095.7</v>
      </c>
      <c r="H293" s="48">
        <v>1069004.3999999999</v>
      </c>
      <c r="I293" s="48">
        <v>4530</v>
      </c>
      <c r="J293" s="48">
        <v>1073534.3999999999</v>
      </c>
      <c r="K293" s="48">
        <v>57762.8</v>
      </c>
      <c r="L293" s="48">
        <v>7171.9</v>
      </c>
      <c r="M293" s="48">
        <v>39262.800000000003</v>
      </c>
      <c r="N293" s="48">
        <v>941.4</v>
      </c>
    </row>
    <row r="294" spans="1:14" ht="10.050000000000001" customHeight="1">
      <c r="A294" s="45" t="s">
        <v>83</v>
      </c>
      <c r="B294" s="46">
        <v>2006</v>
      </c>
      <c r="C294" s="45" t="s">
        <v>113</v>
      </c>
      <c r="D294" s="47">
        <v>4</v>
      </c>
      <c r="E294" s="48">
        <v>202.4</v>
      </c>
      <c r="F294" s="48">
        <v>22.5</v>
      </c>
      <c r="G294" s="48">
        <v>224.9</v>
      </c>
      <c r="H294" s="48">
        <v>1551.9</v>
      </c>
      <c r="I294" s="48">
        <v>262.7</v>
      </c>
      <c r="J294" s="48">
        <v>1814.6</v>
      </c>
      <c r="K294" s="48">
        <v>0</v>
      </c>
      <c r="L294" s="48">
        <v>0</v>
      </c>
      <c r="M294" s="48">
        <v>0</v>
      </c>
      <c r="N294" s="48">
        <v>0</v>
      </c>
    </row>
    <row r="295" spans="1:14" ht="10.050000000000001" customHeight="1">
      <c r="A295" s="45" t="s">
        <v>82</v>
      </c>
      <c r="B295" s="46">
        <v>2006</v>
      </c>
      <c r="C295" s="45" t="s">
        <v>113</v>
      </c>
      <c r="D295" s="47">
        <v>4</v>
      </c>
      <c r="E295" s="48">
        <v>2513</v>
      </c>
      <c r="F295" s="48">
        <v>701.1</v>
      </c>
      <c r="G295" s="48">
        <v>3214.1</v>
      </c>
      <c r="H295" s="48">
        <v>47659.1</v>
      </c>
      <c r="I295" s="48">
        <v>3458.9</v>
      </c>
      <c r="J295" s="48">
        <v>51118</v>
      </c>
      <c r="K295" s="48">
        <v>1622.2</v>
      </c>
      <c r="L295" s="48">
        <v>96.4</v>
      </c>
      <c r="M295" s="48">
        <v>926.3</v>
      </c>
      <c r="N295" s="48">
        <v>9.4</v>
      </c>
    </row>
    <row r="296" spans="1:14" ht="10.050000000000001" customHeight="1">
      <c r="A296" s="45" t="s">
        <v>81</v>
      </c>
      <c r="B296" s="46">
        <v>2006</v>
      </c>
      <c r="C296" s="45" t="s">
        <v>113</v>
      </c>
      <c r="D296" s="47">
        <v>4</v>
      </c>
      <c r="E296" s="48">
        <v>33888.9</v>
      </c>
      <c r="F296" s="48">
        <v>0</v>
      </c>
      <c r="G296" s="48">
        <v>33888.9</v>
      </c>
      <c r="H296" s="48">
        <v>351230.6</v>
      </c>
      <c r="I296" s="48">
        <v>4436.6000000000004</v>
      </c>
      <c r="J296" s="48">
        <v>355667.20000000001</v>
      </c>
      <c r="K296" s="48">
        <v>34871.199999999997</v>
      </c>
      <c r="L296" s="48">
        <v>542.20000000000005</v>
      </c>
      <c r="M296" s="48">
        <v>23233.3</v>
      </c>
      <c r="N296" s="48">
        <v>373.3</v>
      </c>
    </row>
    <row r="297" spans="1:14" ht="10.050000000000001" customHeight="1">
      <c r="A297" s="45" t="s">
        <v>80</v>
      </c>
      <c r="B297" s="46">
        <v>2006</v>
      </c>
      <c r="C297" s="45" t="s">
        <v>113</v>
      </c>
      <c r="D297" s="47">
        <v>5</v>
      </c>
      <c r="E297" s="48">
        <v>111316.5</v>
      </c>
      <c r="F297" s="48">
        <v>0</v>
      </c>
      <c r="G297" s="48">
        <v>111316.5</v>
      </c>
      <c r="H297" s="48">
        <v>746801.2</v>
      </c>
      <c r="I297" s="48">
        <v>4045.8</v>
      </c>
      <c r="J297" s="48">
        <v>750847</v>
      </c>
      <c r="K297" s="48">
        <v>20546.8</v>
      </c>
      <c r="L297" s="48">
        <v>8264.2000000000007</v>
      </c>
      <c r="M297" s="48">
        <v>43607.6</v>
      </c>
      <c r="N297" s="48">
        <v>1872.6</v>
      </c>
    </row>
    <row r="298" spans="1:14" ht="10.050000000000001" customHeight="1">
      <c r="A298" s="45" t="s">
        <v>83</v>
      </c>
      <c r="B298" s="46">
        <v>2006</v>
      </c>
      <c r="C298" s="45" t="s">
        <v>113</v>
      </c>
      <c r="D298" s="47">
        <v>5</v>
      </c>
      <c r="E298" s="48">
        <v>285.60000000000002</v>
      </c>
      <c r="F298" s="48">
        <v>0</v>
      </c>
      <c r="G298" s="48">
        <v>285.60000000000002</v>
      </c>
      <c r="H298" s="48">
        <v>1615.2</v>
      </c>
      <c r="I298" s="48">
        <v>252.7</v>
      </c>
      <c r="J298" s="48">
        <v>1867.9</v>
      </c>
      <c r="K298" s="48">
        <v>0</v>
      </c>
      <c r="L298" s="48">
        <v>0</v>
      </c>
      <c r="M298" s="48">
        <v>0</v>
      </c>
      <c r="N298" s="48">
        <v>0</v>
      </c>
    </row>
    <row r="299" spans="1:14" ht="10.050000000000001" customHeight="1">
      <c r="A299" s="45" t="s">
        <v>82</v>
      </c>
      <c r="B299" s="46">
        <v>2006</v>
      </c>
      <c r="C299" s="45" t="s">
        <v>113</v>
      </c>
      <c r="D299" s="47">
        <v>5</v>
      </c>
      <c r="E299" s="48">
        <v>2353.8000000000002</v>
      </c>
      <c r="F299" s="48">
        <v>0</v>
      </c>
      <c r="G299" s="48">
        <v>2353.8000000000002</v>
      </c>
      <c r="H299" s="48">
        <v>42457</v>
      </c>
      <c r="I299" s="48">
        <v>2932.3</v>
      </c>
      <c r="J299" s="48">
        <v>45389.3</v>
      </c>
      <c r="K299" s="48">
        <v>748.5</v>
      </c>
      <c r="L299" s="48">
        <v>5.4</v>
      </c>
      <c r="M299" s="48">
        <v>747</v>
      </c>
      <c r="N299" s="48">
        <v>132.1</v>
      </c>
    </row>
    <row r="300" spans="1:14" ht="10.050000000000001" customHeight="1">
      <c r="A300" s="45" t="s">
        <v>81</v>
      </c>
      <c r="B300" s="46">
        <v>2006</v>
      </c>
      <c r="C300" s="45" t="s">
        <v>113</v>
      </c>
      <c r="D300" s="47">
        <v>5</v>
      </c>
      <c r="E300" s="48">
        <v>34536.9</v>
      </c>
      <c r="F300" s="48">
        <v>-103.7</v>
      </c>
      <c r="G300" s="48">
        <v>34433.199999999997</v>
      </c>
      <c r="H300" s="48">
        <v>249274.3</v>
      </c>
      <c r="I300" s="48">
        <v>3680.3</v>
      </c>
      <c r="J300" s="48">
        <v>252954.6</v>
      </c>
      <c r="K300" s="48">
        <v>13946.1</v>
      </c>
      <c r="L300" s="48">
        <v>510.8</v>
      </c>
      <c r="M300" s="48">
        <v>21296.1</v>
      </c>
      <c r="N300" s="48">
        <v>139.80000000000001</v>
      </c>
    </row>
    <row r="301" spans="1:14" ht="10.050000000000001" customHeight="1">
      <c r="A301" s="45" t="s">
        <v>80</v>
      </c>
      <c r="B301" s="46">
        <v>2006</v>
      </c>
      <c r="C301" s="45" t="s">
        <v>113</v>
      </c>
      <c r="D301" s="47">
        <v>6</v>
      </c>
      <c r="E301" s="48">
        <v>64760.7</v>
      </c>
      <c r="F301" s="48">
        <v>776.2</v>
      </c>
      <c r="G301" s="48">
        <v>65536.899999999994</v>
      </c>
      <c r="H301" s="48">
        <v>367235</v>
      </c>
      <c r="I301" s="48">
        <v>3800.8</v>
      </c>
      <c r="J301" s="48">
        <v>371035.8</v>
      </c>
      <c r="K301" s="48">
        <v>2749.3</v>
      </c>
      <c r="L301" s="48">
        <v>1591.6</v>
      </c>
      <c r="M301" s="48">
        <v>19095.8</v>
      </c>
      <c r="N301" s="48">
        <v>293.3</v>
      </c>
    </row>
    <row r="302" spans="1:14" ht="10.050000000000001" customHeight="1">
      <c r="A302" s="45" t="s">
        <v>83</v>
      </c>
      <c r="B302" s="46">
        <v>2006</v>
      </c>
      <c r="C302" s="45" t="s">
        <v>113</v>
      </c>
      <c r="D302" s="47">
        <v>6</v>
      </c>
      <c r="E302" s="48">
        <v>412.3</v>
      </c>
      <c r="F302" s="48">
        <v>0</v>
      </c>
      <c r="G302" s="48">
        <v>412.3</v>
      </c>
      <c r="H302" s="48">
        <v>1082.3</v>
      </c>
      <c r="I302" s="48">
        <v>189.5</v>
      </c>
      <c r="J302" s="48">
        <v>1271.8</v>
      </c>
      <c r="K302" s="48">
        <v>0</v>
      </c>
      <c r="L302" s="48">
        <v>0</v>
      </c>
      <c r="M302" s="48">
        <v>0</v>
      </c>
      <c r="N302" s="48">
        <v>0</v>
      </c>
    </row>
    <row r="303" spans="1:14" ht="10.050000000000001" customHeight="1">
      <c r="A303" s="45" t="s">
        <v>82</v>
      </c>
      <c r="B303" s="46">
        <v>2006</v>
      </c>
      <c r="C303" s="45" t="s">
        <v>113</v>
      </c>
      <c r="D303" s="47">
        <v>6</v>
      </c>
      <c r="E303" s="48">
        <v>1834.8</v>
      </c>
      <c r="F303" s="48">
        <v>0</v>
      </c>
      <c r="G303" s="48">
        <v>1834.8</v>
      </c>
      <c r="H303" s="48">
        <v>30069.9</v>
      </c>
      <c r="I303" s="48">
        <v>1396</v>
      </c>
      <c r="J303" s="48">
        <v>31465.9</v>
      </c>
      <c r="K303" s="48">
        <v>297.3</v>
      </c>
      <c r="L303" s="48">
        <v>0</v>
      </c>
      <c r="M303" s="48">
        <v>451.2</v>
      </c>
      <c r="N303" s="48">
        <v>0</v>
      </c>
    </row>
    <row r="304" spans="1:14" ht="10.050000000000001" customHeight="1">
      <c r="A304" s="45" t="s">
        <v>81</v>
      </c>
      <c r="B304" s="46">
        <v>2006</v>
      </c>
      <c r="C304" s="45" t="s">
        <v>113</v>
      </c>
      <c r="D304" s="47">
        <v>6</v>
      </c>
      <c r="E304" s="48">
        <v>26857.8</v>
      </c>
      <c r="F304" s="48">
        <v>180</v>
      </c>
      <c r="G304" s="48">
        <v>27037.8</v>
      </c>
      <c r="H304" s="48">
        <v>109821.8</v>
      </c>
      <c r="I304" s="48">
        <v>2634.1</v>
      </c>
      <c r="J304" s="48">
        <v>112455.9</v>
      </c>
      <c r="K304" s="48">
        <v>1946</v>
      </c>
      <c r="L304" s="48">
        <v>711.8</v>
      </c>
      <c r="M304" s="48">
        <v>12248.4</v>
      </c>
      <c r="N304" s="48">
        <v>463.4</v>
      </c>
    </row>
    <row r="305" spans="1:14" ht="10.050000000000001" customHeight="1">
      <c r="A305" s="45" t="s">
        <v>80</v>
      </c>
      <c r="B305" s="46">
        <v>2006</v>
      </c>
      <c r="C305" s="45" t="s">
        <v>114</v>
      </c>
      <c r="D305" s="47">
        <v>7</v>
      </c>
      <c r="E305" s="48">
        <v>2648037.7000000002</v>
      </c>
      <c r="F305" s="48">
        <v>3736.4</v>
      </c>
      <c r="G305" s="48">
        <v>2651774.1</v>
      </c>
      <c r="H305" s="48">
        <v>2740910.9</v>
      </c>
      <c r="I305" s="48">
        <v>5987.3</v>
      </c>
      <c r="J305" s="48">
        <v>2746898.2</v>
      </c>
      <c r="K305" s="48">
        <v>492364.2</v>
      </c>
      <c r="L305" s="48">
        <v>568875.6</v>
      </c>
      <c r="M305" s="48">
        <v>77879.199999999997</v>
      </c>
      <c r="N305" s="48">
        <v>801.1</v>
      </c>
    </row>
    <row r="306" spans="1:14" ht="10.050000000000001" customHeight="1">
      <c r="A306" s="45" t="s">
        <v>83</v>
      </c>
      <c r="B306" s="46">
        <v>2006</v>
      </c>
      <c r="C306" s="45" t="s">
        <v>114</v>
      </c>
      <c r="D306" s="47">
        <v>7</v>
      </c>
      <c r="E306" s="48">
        <v>13127.7</v>
      </c>
      <c r="F306" s="48">
        <v>12.5</v>
      </c>
      <c r="G306" s="48">
        <v>13140.2</v>
      </c>
      <c r="H306" s="48">
        <v>12392.1</v>
      </c>
      <c r="I306" s="48">
        <v>194.2</v>
      </c>
      <c r="J306" s="48">
        <v>12586.3</v>
      </c>
      <c r="K306" s="48">
        <v>626.4</v>
      </c>
      <c r="L306" s="48">
        <v>665.8</v>
      </c>
      <c r="M306" s="48">
        <v>39.4</v>
      </c>
      <c r="N306" s="48">
        <v>0</v>
      </c>
    </row>
    <row r="307" spans="1:14" ht="10.050000000000001" customHeight="1">
      <c r="A307" s="45" t="s">
        <v>82</v>
      </c>
      <c r="B307" s="46">
        <v>2006</v>
      </c>
      <c r="C307" s="45" t="s">
        <v>114</v>
      </c>
      <c r="D307" s="47">
        <v>7</v>
      </c>
      <c r="E307" s="48">
        <v>553.5</v>
      </c>
      <c r="F307" s="48">
        <v>0</v>
      </c>
      <c r="G307" s="48">
        <v>553.5</v>
      </c>
      <c r="H307" s="48">
        <v>23840.9</v>
      </c>
      <c r="I307" s="48">
        <v>1328.4</v>
      </c>
      <c r="J307" s="48">
        <v>25169.3</v>
      </c>
      <c r="K307" s="48">
        <v>347.3</v>
      </c>
      <c r="L307" s="48">
        <v>50</v>
      </c>
      <c r="M307" s="48">
        <v>0</v>
      </c>
      <c r="N307" s="48">
        <v>0</v>
      </c>
    </row>
    <row r="308" spans="1:14" ht="10.050000000000001" customHeight="1">
      <c r="A308" s="45" t="s">
        <v>81</v>
      </c>
      <c r="B308" s="46">
        <v>2006</v>
      </c>
      <c r="C308" s="45" t="s">
        <v>114</v>
      </c>
      <c r="D308" s="47">
        <v>7</v>
      </c>
      <c r="E308" s="48">
        <v>2544.1</v>
      </c>
      <c r="F308" s="48">
        <v>0</v>
      </c>
      <c r="G308" s="48">
        <v>2544.1</v>
      </c>
      <c r="H308" s="48">
        <v>60602.7</v>
      </c>
      <c r="I308" s="48">
        <v>2634.1</v>
      </c>
      <c r="J308" s="48">
        <v>63236.800000000003</v>
      </c>
      <c r="K308" s="48">
        <v>1925.4</v>
      </c>
      <c r="L308" s="48">
        <v>354.4</v>
      </c>
      <c r="M308" s="48">
        <v>235</v>
      </c>
      <c r="N308" s="48">
        <v>140</v>
      </c>
    </row>
    <row r="309" spans="1:14" ht="10.050000000000001" customHeight="1">
      <c r="A309" s="45" t="s">
        <v>80</v>
      </c>
      <c r="B309" s="46">
        <v>2006</v>
      </c>
      <c r="C309" s="45" t="s">
        <v>114</v>
      </c>
      <c r="D309" s="47">
        <v>8</v>
      </c>
      <c r="E309" s="48">
        <v>452376.7</v>
      </c>
      <c r="F309" s="48">
        <v>4184.3</v>
      </c>
      <c r="G309" s="48">
        <v>456561</v>
      </c>
      <c r="H309" s="48">
        <v>2847850.5</v>
      </c>
      <c r="I309" s="48">
        <v>7561.4</v>
      </c>
      <c r="J309" s="48">
        <v>2855411.9</v>
      </c>
      <c r="K309" s="48">
        <v>346313.2</v>
      </c>
      <c r="L309" s="48">
        <v>55294.5</v>
      </c>
      <c r="M309" s="48">
        <v>197835.4</v>
      </c>
      <c r="N309" s="48">
        <v>3510.1</v>
      </c>
    </row>
    <row r="310" spans="1:14" ht="10.050000000000001" customHeight="1">
      <c r="A310" s="45" t="s">
        <v>83</v>
      </c>
      <c r="B310" s="46">
        <v>2006</v>
      </c>
      <c r="C310" s="45" t="s">
        <v>114</v>
      </c>
      <c r="D310" s="47">
        <v>8</v>
      </c>
      <c r="E310" s="48">
        <v>5341.1</v>
      </c>
      <c r="F310" s="48">
        <v>417.8</v>
      </c>
      <c r="G310" s="48">
        <v>5758.9</v>
      </c>
      <c r="H310" s="48">
        <v>15003.7</v>
      </c>
      <c r="I310" s="48">
        <v>240.5</v>
      </c>
      <c r="J310" s="48">
        <v>15244.2</v>
      </c>
      <c r="K310" s="48">
        <v>826.2</v>
      </c>
      <c r="L310" s="48">
        <v>293.3</v>
      </c>
      <c r="M310" s="48">
        <v>93.5</v>
      </c>
      <c r="N310" s="48">
        <v>0</v>
      </c>
    </row>
    <row r="311" spans="1:14" ht="10.050000000000001" customHeight="1">
      <c r="A311" s="45" t="s">
        <v>82</v>
      </c>
      <c r="B311" s="46">
        <v>2006</v>
      </c>
      <c r="C311" s="45" t="s">
        <v>114</v>
      </c>
      <c r="D311" s="47">
        <v>8</v>
      </c>
      <c r="E311" s="48">
        <v>198.8</v>
      </c>
      <c r="F311" s="48">
        <v>16.100000000000001</v>
      </c>
      <c r="G311" s="48">
        <v>214.9</v>
      </c>
      <c r="H311" s="48">
        <v>16212.2</v>
      </c>
      <c r="I311" s="48">
        <v>1344.4</v>
      </c>
      <c r="J311" s="48">
        <v>17556.599999999999</v>
      </c>
      <c r="K311" s="48">
        <v>267.3</v>
      </c>
      <c r="L311" s="48">
        <v>0</v>
      </c>
      <c r="M311" s="48">
        <v>80</v>
      </c>
      <c r="N311" s="48">
        <v>0</v>
      </c>
    </row>
    <row r="312" spans="1:14" ht="10.050000000000001" customHeight="1">
      <c r="A312" s="45" t="s">
        <v>81</v>
      </c>
      <c r="B312" s="46">
        <v>2006</v>
      </c>
      <c r="C312" s="45" t="s">
        <v>114</v>
      </c>
      <c r="D312" s="47">
        <v>8</v>
      </c>
      <c r="E312" s="48">
        <v>62701.9</v>
      </c>
      <c r="F312" s="48">
        <v>357.9</v>
      </c>
      <c r="G312" s="48">
        <v>63059.8</v>
      </c>
      <c r="H312" s="48">
        <v>94112.4</v>
      </c>
      <c r="I312" s="48">
        <v>2863.1</v>
      </c>
      <c r="J312" s="48">
        <v>96975.5</v>
      </c>
      <c r="K312" s="48">
        <v>15520.3</v>
      </c>
      <c r="L312" s="48">
        <v>14667.3</v>
      </c>
      <c r="M312" s="48">
        <v>556.20000000000005</v>
      </c>
      <c r="N312" s="48">
        <v>516.20000000000005</v>
      </c>
    </row>
    <row r="313" spans="1:14" ht="10.050000000000001" customHeight="1">
      <c r="A313" s="45" t="s">
        <v>80</v>
      </c>
      <c r="B313" s="46">
        <v>2006</v>
      </c>
      <c r="C313" s="45" t="s">
        <v>114</v>
      </c>
      <c r="D313" s="47">
        <v>9</v>
      </c>
      <c r="E313" s="48">
        <v>158812.29999999999</v>
      </c>
      <c r="F313" s="48">
        <v>16.399999999999999</v>
      </c>
      <c r="G313" s="48">
        <v>158828.70000000001</v>
      </c>
      <c r="H313" s="48">
        <v>2740645.5</v>
      </c>
      <c r="I313" s="48">
        <v>6733.1</v>
      </c>
      <c r="J313" s="48">
        <v>2747378.6</v>
      </c>
      <c r="K313" s="48">
        <v>258716.7</v>
      </c>
      <c r="L313" s="48">
        <v>6327.2</v>
      </c>
      <c r="M313" s="48">
        <v>92218.2</v>
      </c>
      <c r="N313" s="48">
        <v>1705.5</v>
      </c>
    </row>
    <row r="314" spans="1:14" ht="10.050000000000001" customHeight="1">
      <c r="A314" s="45" t="s">
        <v>83</v>
      </c>
      <c r="B314" s="46">
        <v>2006</v>
      </c>
      <c r="C314" s="45" t="s">
        <v>114</v>
      </c>
      <c r="D314" s="47">
        <v>9</v>
      </c>
      <c r="E314" s="48">
        <v>4923.8</v>
      </c>
      <c r="F314" s="48">
        <v>331</v>
      </c>
      <c r="G314" s="48">
        <v>5254.8</v>
      </c>
      <c r="H314" s="48">
        <v>16558</v>
      </c>
      <c r="I314" s="48">
        <v>273.7</v>
      </c>
      <c r="J314" s="48">
        <v>16831.7</v>
      </c>
      <c r="K314" s="48">
        <v>766</v>
      </c>
      <c r="L314" s="48">
        <v>274.3</v>
      </c>
      <c r="M314" s="48">
        <v>334.4</v>
      </c>
      <c r="N314" s="48">
        <v>0.1</v>
      </c>
    </row>
    <row r="315" spans="1:14" ht="10.050000000000001" customHeight="1">
      <c r="A315" s="45" t="s">
        <v>82</v>
      </c>
      <c r="B315" s="46">
        <v>2006</v>
      </c>
      <c r="C315" s="45" t="s">
        <v>114</v>
      </c>
      <c r="D315" s="47">
        <v>9</v>
      </c>
      <c r="E315" s="48">
        <v>31092.799999999999</v>
      </c>
      <c r="F315" s="48">
        <v>1900.8</v>
      </c>
      <c r="G315" s="48">
        <v>32993.599999999999</v>
      </c>
      <c r="H315" s="48">
        <v>41669.1</v>
      </c>
      <c r="I315" s="48">
        <v>3388.9</v>
      </c>
      <c r="J315" s="48">
        <v>45058</v>
      </c>
      <c r="K315" s="48">
        <v>3349.9</v>
      </c>
      <c r="L315" s="48">
        <v>3198.9</v>
      </c>
      <c r="M315" s="48">
        <v>116.1</v>
      </c>
      <c r="N315" s="48">
        <v>0.2</v>
      </c>
    </row>
    <row r="316" spans="1:14" ht="10.050000000000001" customHeight="1">
      <c r="A316" s="45" t="s">
        <v>81</v>
      </c>
      <c r="B316" s="46">
        <v>2006</v>
      </c>
      <c r="C316" s="45" t="s">
        <v>114</v>
      </c>
      <c r="D316" s="47">
        <v>9</v>
      </c>
      <c r="E316" s="48">
        <v>882061.5</v>
      </c>
      <c r="F316" s="48">
        <v>1897.2</v>
      </c>
      <c r="G316" s="48">
        <v>883958.7</v>
      </c>
      <c r="H316" s="48">
        <v>871682.4</v>
      </c>
      <c r="I316" s="48">
        <v>4489.3999999999996</v>
      </c>
      <c r="J316" s="48">
        <v>876171.8</v>
      </c>
      <c r="K316" s="48">
        <v>161192.29999999999</v>
      </c>
      <c r="L316" s="48">
        <v>149897.79999999999</v>
      </c>
      <c r="M316" s="48">
        <v>4179.2</v>
      </c>
      <c r="N316" s="48">
        <v>46.6</v>
      </c>
    </row>
    <row r="317" spans="1:14" ht="10.050000000000001" customHeight="1">
      <c r="A317" s="45" t="s">
        <v>80</v>
      </c>
      <c r="B317" s="46">
        <v>2006</v>
      </c>
      <c r="C317" s="45" t="s">
        <v>114</v>
      </c>
      <c r="D317" s="47">
        <v>10</v>
      </c>
      <c r="E317" s="48">
        <v>102203.8</v>
      </c>
      <c r="F317" s="48">
        <v>0.1</v>
      </c>
      <c r="G317" s="48">
        <v>102203.9</v>
      </c>
      <c r="H317" s="48">
        <v>2550090.7000000002</v>
      </c>
      <c r="I317" s="48">
        <v>6806.7</v>
      </c>
      <c r="J317" s="48">
        <v>2556897.4</v>
      </c>
      <c r="K317" s="48">
        <v>211297.6</v>
      </c>
      <c r="L317" s="48">
        <v>8314.7000000000007</v>
      </c>
      <c r="M317" s="48">
        <v>53931.1</v>
      </c>
      <c r="N317" s="48">
        <v>1802.7</v>
      </c>
    </row>
    <row r="318" spans="1:14" ht="10.050000000000001" customHeight="1">
      <c r="A318" s="45" t="s">
        <v>83</v>
      </c>
      <c r="B318" s="46">
        <v>2006</v>
      </c>
      <c r="C318" s="45" t="s">
        <v>114</v>
      </c>
      <c r="D318" s="47">
        <v>10</v>
      </c>
      <c r="E318" s="48">
        <v>1282.9000000000001</v>
      </c>
      <c r="F318" s="48">
        <v>98.5</v>
      </c>
      <c r="G318" s="48">
        <v>1381.4</v>
      </c>
      <c r="H318" s="48">
        <v>15709.5</v>
      </c>
      <c r="I318" s="48">
        <v>351.3</v>
      </c>
      <c r="J318" s="48">
        <v>16060.8</v>
      </c>
      <c r="K318" s="48">
        <v>756</v>
      </c>
      <c r="L318" s="48">
        <v>36.5</v>
      </c>
      <c r="M318" s="48">
        <v>34.4</v>
      </c>
      <c r="N318" s="48">
        <v>12.1</v>
      </c>
    </row>
    <row r="319" spans="1:14" ht="10.050000000000001" customHeight="1">
      <c r="A319" s="45" t="s">
        <v>82</v>
      </c>
      <c r="B319" s="46">
        <v>2006</v>
      </c>
      <c r="C319" s="45" t="s">
        <v>114</v>
      </c>
      <c r="D319" s="47">
        <v>10</v>
      </c>
      <c r="E319" s="48">
        <v>48422.8</v>
      </c>
      <c r="F319" s="48">
        <v>3590.8</v>
      </c>
      <c r="G319" s="48">
        <v>52013.599999999999</v>
      </c>
      <c r="H319" s="48">
        <v>81147.399999999994</v>
      </c>
      <c r="I319" s="48">
        <v>6872.7</v>
      </c>
      <c r="J319" s="48">
        <v>88020.1</v>
      </c>
      <c r="K319" s="48">
        <v>6445.9</v>
      </c>
      <c r="L319" s="48">
        <v>4009.1</v>
      </c>
      <c r="M319" s="48">
        <v>767.2</v>
      </c>
      <c r="N319" s="48">
        <v>145.9</v>
      </c>
    </row>
    <row r="320" spans="1:14" ht="10.050000000000001" customHeight="1">
      <c r="A320" s="45" t="s">
        <v>81</v>
      </c>
      <c r="B320" s="46">
        <v>2006</v>
      </c>
      <c r="C320" s="45" t="s">
        <v>114</v>
      </c>
      <c r="D320" s="47">
        <v>10</v>
      </c>
      <c r="E320" s="48">
        <v>188710</v>
      </c>
      <c r="F320" s="48">
        <v>45.2</v>
      </c>
      <c r="G320" s="48">
        <v>188755.20000000001</v>
      </c>
      <c r="H320" s="48">
        <v>955902.9</v>
      </c>
      <c r="I320" s="48">
        <v>4217.3999999999996</v>
      </c>
      <c r="J320" s="48">
        <v>960120.3</v>
      </c>
      <c r="K320" s="48">
        <v>137446.79999999999</v>
      </c>
      <c r="L320" s="48">
        <v>18947.5</v>
      </c>
      <c r="M320" s="48">
        <v>42265.7</v>
      </c>
      <c r="N320" s="48">
        <v>427.3</v>
      </c>
    </row>
    <row r="321" spans="1:14" ht="10.050000000000001" customHeight="1">
      <c r="A321" s="45" t="s">
        <v>80</v>
      </c>
      <c r="B321" s="46">
        <v>2006</v>
      </c>
      <c r="C321" s="45" t="s">
        <v>114</v>
      </c>
      <c r="D321" s="47">
        <v>11</v>
      </c>
      <c r="E321" s="48">
        <v>126004.6</v>
      </c>
      <c r="F321" s="48">
        <v>220.5</v>
      </c>
      <c r="G321" s="48">
        <v>126225.1</v>
      </c>
      <c r="H321" s="48">
        <v>2336772.4</v>
      </c>
      <c r="I321" s="48">
        <v>6794.9</v>
      </c>
      <c r="J321" s="48">
        <v>2343567.2999999998</v>
      </c>
      <c r="K321" s="48">
        <v>169507.5</v>
      </c>
      <c r="L321" s="48">
        <v>16215.2</v>
      </c>
      <c r="M321" s="48">
        <v>55135.1</v>
      </c>
      <c r="N321" s="48">
        <v>2870.2</v>
      </c>
    </row>
    <row r="322" spans="1:14" ht="10.050000000000001" customHeight="1">
      <c r="A322" s="45" t="s">
        <v>83</v>
      </c>
      <c r="B322" s="46">
        <v>2006</v>
      </c>
      <c r="C322" s="45" t="s">
        <v>114</v>
      </c>
      <c r="D322" s="47">
        <v>11</v>
      </c>
      <c r="E322" s="48">
        <v>1239.0999999999999</v>
      </c>
      <c r="F322" s="48">
        <v>0</v>
      </c>
      <c r="G322" s="48">
        <v>1239.0999999999999</v>
      </c>
      <c r="H322" s="48">
        <v>14319.6</v>
      </c>
      <c r="I322" s="48">
        <v>347.9</v>
      </c>
      <c r="J322" s="48">
        <v>14667.5</v>
      </c>
      <c r="K322" s="48">
        <v>709.8</v>
      </c>
      <c r="L322" s="48">
        <v>38.700000000000003</v>
      </c>
      <c r="M322" s="48">
        <v>81.400000000000006</v>
      </c>
      <c r="N322" s="48">
        <v>3.5</v>
      </c>
    </row>
    <row r="323" spans="1:14" ht="10.050000000000001" customHeight="1">
      <c r="A323" s="45" t="s">
        <v>82</v>
      </c>
      <c r="B323" s="46">
        <v>2006</v>
      </c>
      <c r="C323" s="45" t="s">
        <v>114</v>
      </c>
      <c r="D323" s="47">
        <v>11</v>
      </c>
      <c r="E323" s="48">
        <v>6214.7</v>
      </c>
      <c r="F323" s="48">
        <v>916.6</v>
      </c>
      <c r="G323" s="48">
        <v>7131.3</v>
      </c>
      <c r="H323" s="48">
        <v>75196.2</v>
      </c>
      <c r="I323" s="48">
        <v>7554</v>
      </c>
      <c r="J323" s="48">
        <v>82750.2</v>
      </c>
      <c r="K323" s="48">
        <v>6066.2</v>
      </c>
      <c r="L323" s="48">
        <v>432.4</v>
      </c>
      <c r="M323" s="48">
        <v>1012.4</v>
      </c>
      <c r="N323" s="48">
        <v>0.1</v>
      </c>
    </row>
    <row r="324" spans="1:14" ht="10.050000000000001" customHeight="1">
      <c r="A324" s="45" t="s">
        <v>81</v>
      </c>
      <c r="B324" s="46">
        <v>2006</v>
      </c>
      <c r="C324" s="45" t="s">
        <v>114</v>
      </c>
      <c r="D324" s="47">
        <v>11</v>
      </c>
      <c r="E324" s="48">
        <v>35437.300000000003</v>
      </c>
      <c r="F324" s="48">
        <v>815.3</v>
      </c>
      <c r="G324" s="48">
        <v>36252.6</v>
      </c>
      <c r="H324" s="48">
        <v>901566.7</v>
      </c>
      <c r="I324" s="48">
        <v>4417.8</v>
      </c>
      <c r="J324" s="48">
        <v>905984.5</v>
      </c>
      <c r="K324" s="48">
        <v>116061.3</v>
      </c>
      <c r="L324" s="48">
        <v>2021.2</v>
      </c>
      <c r="M324" s="48">
        <v>22366.799999999999</v>
      </c>
      <c r="N324" s="48">
        <v>1071.0999999999999</v>
      </c>
    </row>
    <row r="325" spans="1:14" ht="10.050000000000001" customHeight="1">
      <c r="A325" s="45" t="s">
        <v>80</v>
      </c>
      <c r="B325" s="46">
        <v>2006</v>
      </c>
      <c r="C325" s="45" t="s">
        <v>114</v>
      </c>
      <c r="D325" s="47">
        <v>12</v>
      </c>
      <c r="E325" s="48">
        <v>72292.7</v>
      </c>
      <c r="F325" s="48">
        <v>0</v>
      </c>
      <c r="G325" s="48">
        <v>72292.7</v>
      </c>
      <c r="H325" s="48">
        <v>2129956.7000000002</v>
      </c>
      <c r="I325" s="48">
        <v>6391.4</v>
      </c>
      <c r="J325" s="48">
        <v>2136348.1</v>
      </c>
      <c r="K325" s="48">
        <v>147958.29999999999</v>
      </c>
      <c r="L325" s="48">
        <v>9731.1</v>
      </c>
      <c r="M325" s="48">
        <v>30578.5</v>
      </c>
      <c r="N325" s="48">
        <v>701.8</v>
      </c>
    </row>
    <row r="326" spans="1:14" ht="10.050000000000001" customHeight="1">
      <c r="A326" s="45" t="s">
        <v>83</v>
      </c>
      <c r="B326" s="46">
        <v>2006</v>
      </c>
      <c r="C326" s="45" t="s">
        <v>114</v>
      </c>
      <c r="D326" s="47">
        <v>12</v>
      </c>
      <c r="E326" s="48">
        <v>1246.5</v>
      </c>
      <c r="F326" s="48">
        <v>44</v>
      </c>
      <c r="G326" s="48">
        <v>1290.5</v>
      </c>
      <c r="H326" s="48">
        <v>13284</v>
      </c>
      <c r="I326" s="48">
        <v>387.7</v>
      </c>
      <c r="J326" s="48">
        <v>13671.7</v>
      </c>
      <c r="K326" s="48">
        <v>628.5</v>
      </c>
      <c r="L326" s="48">
        <v>0</v>
      </c>
      <c r="M326" s="48">
        <v>81.3</v>
      </c>
      <c r="N326" s="48">
        <v>0</v>
      </c>
    </row>
    <row r="327" spans="1:14" ht="10.050000000000001" customHeight="1">
      <c r="A327" s="45" t="s">
        <v>82</v>
      </c>
      <c r="B327" s="46">
        <v>2006</v>
      </c>
      <c r="C327" s="45" t="s">
        <v>114</v>
      </c>
      <c r="D327" s="47">
        <v>12</v>
      </c>
      <c r="E327" s="48">
        <v>3580.4</v>
      </c>
      <c r="F327" s="48">
        <v>0</v>
      </c>
      <c r="G327" s="48">
        <v>3580.4</v>
      </c>
      <c r="H327" s="48">
        <v>69505.2</v>
      </c>
      <c r="I327" s="48">
        <v>6965.5</v>
      </c>
      <c r="J327" s="48">
        <v>76470.7</v>
      </c>
      <c r="K327" s="48">
        <v>5630.6</v>
      </c>
      <c r="L327" s="48">
        <v>1278.5</v>
      </c>
      <c r="M327" s="48">
        <v>1708.6</v>
      </c>
      <c r="N327" s="48">
        <v>5.5</v>
      </c>
    </row>
    <row r="328" spans="1:14" ht="10.050000000000001" customHeight="1">
      <c r="A328" s="45" t="s">
        <v>81</v>
      </c>
      <c r="B328" s="46">
        <v>2006</v>
      </c>
      <c r="C328" s="45" t="s">
        <v>114</v>
      </c>
      <c r="D328" s="47">
        <v>12</v>
      </c>
      <c r="E328" s="48">
        <v>27674.7</v>
      </c>
      <c r="F328" s="48">
        <v>1.9</v>
      </c>
      <c r="G328" s="48">
        <v>27676.6</v>
      </c>
      <c r="H328" s="48">
        <v>856158</v>
      </c>
      <c r="I328" s="48">
        <v>2769</v>
      </c>
      <c r="J328" s="48">
        <v>858927</v>
      </c>
      <c r="K328" s="48">
        <v>95803.7</v>
      </c>
      <c r="L328" s="48">
        <v>2152</v>
      </c>
      <c r="M328" s="48">
        <v>21895.200000000001</v>
      </c>
      <c r="N328" s="48">
        <v>514.4</v>
      </c>
    </row>
    <row r="329" spans="1:14" ht="10.050000000000001" customHeight="1">
      <c r="A329" s="45" t="s">
        <v>80</v>
      </c>
      <c r="B329" s="46">
        <v>2007</v>
      </c>
      <c r="C329" s="45" t="s">
        <v>114</v>
      </c>
      <c r="D329" s="47">
        <v>1</v>
      </c>
      <c r="E329" s="48">
        <v>99644.5</v>
      </c>
      <c r="F329" s="48">
        <v>667.8</v>
      </c>
      <c r="G329" s="48">
        <v>100312.3</v>
      </c>
      <c r="H329" s="48">
        <v>1839110.7</v>
      </c>
      <c r="I329" s="48">
        <v>6382.2</v>
      </c>
      <c r="J329" s="48">
        <v>1845492.9</v>
      </c>
      <c r="K329" s="48">
        <v>108269.3</v>
      </c>
      <c r="L329" s="48">
        <v>10986.6</v>
      </c>
      <c r="M329" s="48">
        <v>49898.8</v>
      </c>
      <c r="N329" s="48">
        <v>776.8</v>
      </c>
    </row>
    <row r="330" spans="1:14" ht="10.050000000000001" customHeight="1">
      <c r="A330" s="45" t="s">
        <v>83</v>
      </c>
      <c r="B330" s="46">
        <v>2007</v>
      </c>
      <c r="C330" s="45" t="s">
        <v>114</v>
      </c>
      <c r="D330" s="47">
        <v>1</v>
      </c>
      <c r="E330" s="48">
        <v>1145.7</v>
      </c>
      <c r="F330" s="48">
        <v>0</v>
      </c>
      <c r="G330" s="48">
        <v>1145.7</v>
      </c>
      <c r="H330" s="48">
        <v>11359.1</v>
      </c>
      <c r="I330" s="48">
        <v>349.5</v>
      </c>
      <c r="J330" s="48">
        <v>11708.6</v>
      </c>
      <c r="K330" s="48">
        <v>562.9</v>
      </c>
      <c r="L330" s="48">
        <v>47.4</v>
      </c>
      <c r="M330" s="48">
        <v>113</v>
      </c>
      <c r="N330" s="48">
        <v>0</v>
      </c>
    </row>
    <row r="331" spans="1:14" ht="10.050000000000001" customHeight="1">
      <c r="A331" s="45" t="s">
        <v>82</v>
      </c>
      <c r="B331" s="46">
        <v>2007</v>
      </c>
      <c r="C331" s="45" t="s">
        <v>114</v>
      </c>
      <c r="D331" s="47">
        <v>1</v>
      </c>
      <c r="E331" s="48">
        <v>4184.7</v>
      </c>
      <c r="F331" s="48">
        <v>0</v>
      </c>
      <c r="G331" s="48">
        <v>4184.7</v>
      </c>
      <c r="H331" s="48">
        <v>62613.2</v>
      </c>
      <c r="I331" s="48">
        <v>6380.7</v>
      </c>
      <c r="J331" s="48">
        <v>68993.899999999994</v>
      </c>
      <c r="K331" s="48">
        <v>3866.3</v>
      </c>
      <c r="L331" s="48">
        <v>538.6</v>
      </c>
      <c r="M331" s="48">
        <v>2102.3000000000002</v>
      </c>
      <c r="N331" s="48">
        <v>0.2</v>
      </c>
    </row>
    <row r="332" spans="1:14" ht="10.050000000000001" customHeight="1">
      <c r="A332" s="45" t="s">
        <v>81</v>
      </c>
      <c r="B332" s="46">
        <v>2007</v>
      </c>
      <c r="C332" s="45" t="s">
        <v>114</v>
      </c>
      <c r="D332" s="47">
        <v>1</v>
      </c>
      <c r="E332" s="48">
        <v>29534.5</v>
      </c>
      <c r="F332" s="48">
        <v>970.9</v>
      </c>
      <c r="G332" s="48">
        <v>30505.4</v>
      </c>
      <c r="H332" s="48">
        <v>773555.1</v>
      </c>
      <c r="I332" s="48">
        <v>3504.5</v>
      </c>
      <c r="J332" s="48">
        <v>777059.6</v>
      </c>
      <c r="K332" s="48">
        <v>73102.7</v>
      </c>
      <c r="L332" s="48">
        <v>830.3</v>
      </c>
      <c r="M332" s="48">
        <v>22817.7</v>
      </c>
      <c r="N332" s="48">
        <v>713.6</v>
      </c>
    </row>
    <row r="333" spans="1:14" ht="10.050000000000001" customHeight="1">
      <c r="A333" s="45" t="s">
        <v>80</v>
      </c>
      <c r="B333" s="46">
        <v>2007</v>
      </c>
      <c r="C333" s="45" t="s">
        <v>114</v>
      </c>
      <c r="D333" s="47">
        <v>2</v>
      </c>
      <c r="E333" s="48">
        <v>97835.1</v>
      </c>
      <c r="F333" s="48">
        <v>0</v>
      </c>
      <c r="G333" s="48">
        <v>97835.1</v>
      </c>
      <c r="H333" s="48">
        <v>1581061.7</v>
      </c>
      <c r="I333" s="48">
        <v>5965.3</v>
      </c>
      <c r="J333" s="48">
        <v>1587027</v>
      </c>
      <c r="K333" s="48">
        <v>72728.399999999994</v>
      </c>
      <c r="L333" s="48">
        <v>9798</v>
      </c>
      <c r="M333" s="48">
        <v>43808.7</v>
      </c>
      <c r="N333" s="48">
        <v>1530.2</v>
      </c>
    </row>
    <row r="334" spans="1:14" ht="10.050000000000001" customHeight="1">
      <c r="A334" s="45" t="s">
        <v>83</v>
      </c>
      <c r="B334" s="46">
        <v>2007</v>
      </c>
      <c r="C334" s="45" t="s">
        <v>114</v>
      </c>
      <c r="D334" s="47">
        <v>2</v>
      </c>
      <c r="E334" s="48">
        <v>846.4</v>
      </c>
      <c r="F334" s="48">
        <v>0</v>
      </c>
      <c r="G334" s="48">
        <v>846.4</v>
      </c>
      <c r="H334" s="48">
        <v>9622.5000000000091</v>
      </c>
      <c r="I334" s="48">
        <v>317.60000000000002</v>
      </c>
      <c r="J334" s="48">
        <v>9940.1000000000095</v>
      </c>
      <c r="K334" s="48">
        <v>435.1</v>
      </c>
      <c r="L334" s="48">
        <v>24</v>
      </c>
      <c r="M334" s="48">
        <v>136.30000000000001</v>
      </c>
      <c r="N334" s="48">
        <v>15.5</v>
      </c>
    </row>
    <row r="335" spans="1:14" ht="10.050000000000001" customHeight="1">
      <c r="A335" s="45" t="s">
        <v>82</v>
      </c>
      <c r="B335" s="46">
        <v>2007</v>
      </c>
      <c r="C335" s="45" t="s">
        <v>114</v>
      </c>
      <c r="D335" s="47">
        <v>2</v>
      </c>
      <c r="E335" s="48">
        <v>2386.1999999999998</v>
      </c>
      <c r="F335" s="48">
        <v>0</v>
      </c>
      <c r="G335" s="48">
        <v>2386.1999999999998</v>
      </c>
      <c r="H335" s="48">
        <v>53983.199999999997</v>
      </c>
      <c r="I335" s="48">
        <v>5315</v>
      </c>
      <c r="J335" s="48">
        <v>59298.2</v>
      </c>
      <c r="K335" s="48">
        <v>3136.3</v>
      </c>
      <c r="L335" s="48">
        <v>460.6</v>
      </c>
      <c r="M335" s="48">
        <v>1099.2</v>
      </c>
      <c r="N335" s="48">
        <v>91.4</v>
      </c>
    </row>
    <row r="336" spans="1:14" ht="10.050000000000001" customHeight="1">
      <c r="A336" s="45" t="s">
        <v>81</v>
      </c>
      <c r="B336" s="46">
        <v>2007</v>
      </c>
      <c r="C336" s="45" t="s">
        <v>114</v>
      </c>
      <c r="D336" s="47">
        <v>2</v>
      </c>
      <c r="E336" s="48">
        <v>30293.7</v>
      </c>
      <c r="F336" s="48">
        <v>1112.9000000000001</v>
      </c>
      <c r="G336" s="48">
        <v>31406.6</v>
      </c>
      <c r="H336" s="48">
        <v>700227.8</v>
      </c>
      <c r="I336" s="48">
        <v>4494.3</v>
      </c>
      <c r="J336" s="48">
        <v>704722.1</v>
      </c>
      <c r="K336" s="48">
        <v>54648.6</v>
      </c>
      <c r="L336" s="48">
        <v>979.1</v>
      </c>
      <c r="M336" s="48">
        <v>19121.3</v>
      </c>
      <c r="N336" s="48">
        <v>311.89999999999998</v>
      </c>
    </row>
    <row r="337" spans="1:14" ht="10.050000000000001" customHeight="1">
      <c r="A337" s="45" t="s">
        <v>80</v>
      </c>
      <c r="B337" s="46">
        <v>2007</v>
      </c>
      <c r="C337" s="45" t="s">
        <v>114</v>
      </c>
      <c r="D337" s="47">
        <v>3</v>
      </c>
      <c r="E337" s="48">
        <v>76229.3</v>
      </c>
      <c r="F337" s="48">
        <v>963</v>
      </c>
      <c r="G337" s="48">
        <v>77192.3</v>
      </c>
      <c r="H337" s="48">
        <v>1238473.3999999999</v>
      </c>
      <c r="I337" s="48">
        <v>6835.4</v>
      </c>
      <c r="J337" s="48">
        <v>1245308.8</v>
      </c>
      <c r="K337" s="48">
        <v>46698.1</v>
      </c>
      <c r="L337" s="48">
        <v>6184.4</v>
      </c>
      <c r="M337" s="48">
        <v>31708.2</v>
      </c>
      <c r="N337" s="48">
        <v>532.79999999999995</v>
      </c>
    </row>
    <row r="338" spans="1:14" ht="10.050000000000001" customHeight="1">
      <c r="A338" s="45" t="s">
        <v>83</v>
      </c>
      <c r="B338" s="46">
        <v>2007</v>
      </c>
      <c r="C338" s="45" t="s">
        <v>114</v>
      </c>
      <c r="D338" s="47">
        <v>3</v>
      </c>
      <c r="E338" s="48">
        <v>877.9</v>
      </c>
      <c r="F338" s="48">
        <v>0</v>
      </c>
      <c r="G338" s="48">
        <v>877.9</v>
      </c>
      <c r="H338" s="48">
        <v>8039.9</v>
      </c>
      <c r="I338" s="48">
        <v>269.39999999999998</v>
      </c>
      <c r="J338" s="48">
        <v>8309.2999999999993</v>
      </c>
      <c r="K338" s="48">
        <v>331.9</v>
      </c>
      <c r="L338" s="48">
        <v>10.5</v>
      </c>
      <c r="M338" s="48">
        <v>113.7</v>
      </c>
      <c r="N338" s="48">
        <v>0</v>
      </c>
    </row>
    <row r="339" spans="1:14" ht="10.050000000000001" customHeight="1">
      <c r="A339" s="45" t="s">
        <v>82</v>
      </c>
      <c r="B339" s="46">
        <v>2007</v>
      </c>
      <c r="C339" s="45" t="s">
        <v>114</v>
      </c>
      <c r="D339" s="47">
        <v>3</v>
      </c>
      <c r="E339" s="48">
        <v>2633.4</v>
      </c>
      <c r="F339" s="48">
        <v>812.6</v>
      </c>
      <c r="G339" s="48">
        <v>3446</v>
      </c>
      <c r="H339" s="48">
        <v>45829.4</v>
      </c>
      <c r="I339" s="48">
        <v>4098.8</v>
      </c>
      <c r="J339" s="48">
        <v>49928.2</v>
      </c>
      <c r="K339" s="48">
        <v>2431.9</v>
      </c>
      <c r="L339" s="48">
        <v>672.5</v>
      </c>
      <c r="M339" s="48">
        <v>1364.8</v>
      </c>
      <c r="N339" s="48">
        <v>12.1</v>
      </c>
    </row>
    <row r="340" spans="1:14" ht="10.050000000000001" customHeight="1">
      <c r="A340" s="45" t="s">
        <v>81</v>
      </c>
      <c r="B340" s="46">
        <v>2007</v>
      </c>
      <c r="C340" s="45" t="s">
        <v>114</v>
      </c>
      <c r="D340" s="47">
        <v>3</v>
      </c>
      <c r="E340" s="48">
        <v>29096.2</v>
      </c>
      <c r="F340" s="48">
        <v>812.5</v>
      </c>
      <c r="G340" s="48">
        <v>29908.7</v>
      </c>
      <c r="H340" s="48">
        <v>614593.5</v>
      </c>
      <c r="I340" s="48">
        <v>5191.7</v>
      </c>
      <c r="J340" s="48">
        <v>619785.19999999995</v>
      </c>
      <c r="K340" s="48">
        <v>35426.1</v>
      </c>
      <c r="L340" s="48">
        <v>935.9</v>
      </c>
      <c r="M340" s="48">
        <v>19773.099999999999</v>
      </c>
      <c r="N340" s="48">
        <v>385.7</v>
      </c>
    </row>
    <row r="341" spans="1:14" ht="10.050000000000001" customHeight="1">
      <c r="A341" s="45" t="s">
        <v>80</v>
      </c>
      <c r="B341" s="46">
        <v>2007</v>
      </c>
      <c r="C341" s="45" t="s">
        <v>114</v>
      </c>
      <c r="D341" s="47">
        <v>4</v>
      </c>
      <c r="E341" s="48">
        <v>56882.400000000001</v>
      </c>
      <c r="F341" s="48">
        <v>0</v>
      </c>
      <c r="G341" s="48">
        <v>56882.400000000001</v>
      </c>
      <c r="H341" s="48">
        <v>918716.8</v>
      </c>
      <c r="I341" s="48">
        <v>6373.8</v>
      </c>
      <c r="J341" s="48">
        <v>925090.6</v>
      </c>
      <c r="K341" s="48">
        <v>31977.7</v>
      </c>
      <c r="L341" s="48">
        <v>3803</v>
      </c>
      <c r="M341" s="48">
        <v>17968</v>
      </c>
      <c r="N341" s="48">
        <v>562.5</v>
      </c>
    </row>
    <row r="342" spans="1:14" ht="10.050000000000001" customHeight="1">
      <c r="A342" s="45" t="s">
        <v>83</v>
      </c>
      <c r="B342" s="46">
        <v>2007</v>
      </c>
      <c r="C342" s="45" t="s">
        <v>114</v>
      </c>
      <c r="D342" s="47">
        <v>4</v>
      </c>
      <c r="E342" s="48">
        <v>1103</v>
      </c>
      <c r="F342" s="48">
        <v>0</v>
      </c>
      <c r="G342" s="48">
        <v>1103</v>
      </c>
      <c r="H342" s="48">
        <v>6879.9</v>
      </c>
      <c r="I342" s="48">
        <v>267.39999999999998</v>
      </c>
      <c r="J342" s="48">
        <v>7147.3</v>
      </c>
      <c r="K342" s="48">
        <v>217</v>
      </c>
      <c r="L342" s="48">
        <v>0</v>
      </c>
      <c r="M342" s="48">
        <v>114.9</v>
      </c>
      <c r="N342" s="48">
        <v>0</v>
      </c>
    </row>
    <row r="343" spans="1:14" ht="10.050000000000001" customHeight="1">
      <c r="A343" s="45" t="s">
        <v>82</v>
      </c>
      <c r="B343" s="46">
        <v>2007</v>
      </c>
      <c r="C343" s="45" t="s">
        <v>114</v>
      </c>
      <c r="D343" s="47">
        <v>4</v>
      </c>
      <c r="E343" s="48">
        <v>2173.6999999999998</v>
      </c>
      <c r="F343" s="48">
        <v>11.7</v>
      </c>
      <c r="G343" s="48">
        <v>2185.4</v>
      </c>
      <c r="H343" s="48">
        <v>38765.300000000003</v>
      </c>
      <c r="I343" s="48">
        <v>3272.4</v>
      </c>
      <c r="J343" s="48">
        <v>42037.7</v>
      </c>
      <c r="K343" s="48">
        <v>1611.3</v>
      </c>
      <c r="L343" s="48">
        <v>267.7</v>
      </c>
      <c r="M343" s="48">
        <v>1041.3</v>
      </c>
      <c r="N343" s="48">
        <v>47</v>
      </c>
    </row>
    <row r="344" spans="1:14" ht="10.050000000000001" customHeight="1">
      <c r="A344" s="45" t="s">
        <v>81</v>
      </c>
      <c r="B344" s="46">
        <v>2007</v>
      </c>
      <c r="C344" s="45" t="s">
        <v>114</v>
      </c>
      <c r="D344" s="47">
        <v>4</v>
      </c>
      <c r="E344" s="48">
        <v>23365.599999999999</v>
      </c>
      <c r="F344" s="48">
        <v>0</v>
      </c>
      <c r="G344" s="48">
        <v>23365.599999999999</v>
      </c>
      <c r="H344" s="48">
        <v>495353.3</v>
      </c>
      <c r="I344" s="48">
        <v>4411.3999999999996</v>
      </c>
      <c r="J344" s="48">
        <v>499764.7</v>
      </c>
      <c r="K344" s="48">
        <v>21251.9</v>
      </c>
      <c r="L344" s="48">
        <v>363.9</v>
      </c>
      <c r="M344" s="48">
        <v>14068.5</v>
      </c>
      <c r="N344" s="48">
        <v>79</v>
      </c>
    </row>
    <row r="345" spans="1:14" ht="10.050000000000001" customHeight="1">
      <c r="A345" s="45" t="s">
        <v>80</v>
      </c>
      <c r="B345" s="46">
        <v>2007</v>
      </c>
      <c r="C345" s="45" t="s">
        <v>114</v>
      </c>
      <c r="D345" s="47">
        <v>5</v>
      </c>
      <c r="E345" s="48">
        <v>62955.4</v>
      </c>
      <c r="F345" s="48">
        <v>0</v>
      </c>
      <c r="G345" s="48">
        <v>62955.4</v>
      </c>
      <c r="H345" s="48">
        <v>601919.1</v>
      </c>
      <c r="I345" s="48">
        <v>6066.9</v>
      </c>
      <c r="J345" s="48">
        <v>607986</v>
      </c>
      <c r="K345" s="48">
        <v>14098.1</v>
      </c>
      <c r="L345" s="48">
        <v>5405.4</v>
      </c>
      <c r="M345" s="48">
        <v>20725.900000000001</v>
      </c>
      <c r="N345" s="48">
        <v>2525.6999999999998</v>
      </c>
    </row>
    <row r="346" spans="1:14" ht="10.050000000000001" customHeight="1">
      <c r="A346" s="45" t="s">
        <v>83</v>
      </c>
      <c r="B346" s="46">
        <v>2007</v>
      </c>
      <c r="C346" s="45" t="s">
        <v>114</v>
      </c>
      <c r="D346" s="47">
        <v>5</v>
      </c>
      <c r="E346" s="48">
        <v>1141.4000000000001</v>
      </c>
      <c r="F346" s="48">
        <v>83.3</v>
      </c>
      <c r="G346" s="48">
        <v>1224.7</v>
      </c>
      <c r="H346" s="48">
        <v>5207.8999999999996</v>
      </c>
      <c r="I346" s="48">
        <v>306.39999999999998</v>
      </c>
      <c r="J346" s="48">
        <v>5514.3</v>
      </c>
      <c r="K346" s="48">
        <v>104.3</v>
      </c>
      <c r="L346" s="48">
        <v>0</v>
      </c>
      <c r="M346" s="48">
        <v>112.7</v>
      </c>
      <c r="N346" s="48">
        <v>0</v>
      </c>
    </row>
    <row r="347" spans="1:14" ht="10.050000000000001" customHeight="1">
      <c r="A347" s="45" t="s">
        <v>82</v>
      </c>
      <c r="B347" s="46">
        <v>2007</v>
      </c>
      <c r="C347" s="45" t="s">
        <v>114</v>
      </c>
      <c r="D347" s="47">
        <v>5</v>
      </c>
      <c r="E347" s="48">
        <v>2362.5</v>
      </c>
      <c r="F347" s="48">
        <v>234.2</v>
      </c>
      <c r="G347" s="48">
        <v>2596.6999999999998</v>
      </c>
      <c r="H347" s="48">
        <v>31809.599999999999</v>
      </c>
      <c r="I347" s="48">
        <v>2492.9</v>
      </c>
      <c r="J347" s="48">
        <v>34302.5</v>
      </c>
      <c r="K347" s="48">
        <v>1069.2</v>
      </c>
      <c r="L347" s="48">
        <v>574.5</v>
      </c>
      <c r="M347" s="48">
        <v>1100.9000000000001</v>
      </c>
      <c r="N347" s="48">
        <v>15.7</v>
      </c>
    </row>
    <row r="348" spans="1:14" ht="10.050000000000001" customHeight="1">
      <c r="A348" s="45" t="s">
        <v>81</v>
      </c>
      <c r="B348" s="46">
        <v>2007</v>
      </c>
      <c r="C348" s="45" t="s">
        <v>114</v>
      </c>
      <c r="D348" s="47">
        <v>5</v>
      </c>
      <c r="E348" s="48">
        <v>23857.3</v>
      </c>
      <c r="F348" s="48">
        <v>-56</v>
      </c>
      <c r="G348" s="48">
        <v>23801.3</v>
      </c>
      <c r="H348" s="48">
        <v>373994.2</v>
      </c>
      <c r="I348" s="48">
        <v>4398.6000000000004</v>
      </c>
      <c r="J348" s="48">
        <v>378392.8</v>
      </c>
      <c r="K348" s="48">
        <v>8728.5</v>
      </c>
      <c r="L348" s="48">
        <v>289.8</v>
      </c>
      <c r="M348" s="48">
        <v>12384.7</v>
      </c>
      <c r="N348" s="48">
        <v>428.5</v>
      </c>
    </row>
    <row r="349" spans="1:14" ht="10.050000000000001" customHeight="1">
      <c r="A349" s="45" t="s">
        <v>80</v>
      </c>
      <c r="B349" s="46">
        <v>2007</v>
      </c>
      <c r="C349" s="45" t="s">
        <v>114</v>
      </c>
      <c r="D349" s="47">
        <v>6</v>
      </c>
      <c r="E349" s="48">
        <v>39077.9</v>
      </c>
      <c r="F349" s="48">
        <v>725.9</v>
      </c>
      <c r="G349" s="48">
        <v>39803.800000000003</v>
      </c>
      <c r="H349" s="48">
        <v>247653.7</v>
      </c>
      <c r="I349" s="48">
        <v>5588.2</v>
      </c>
      <c r="J349" s="48">
        <v>253241.9</v>
      </c>
      <c r="K349" s="48">
        <v>3488.5</v>
      </c>
      <c r="L349" s="48">
        <v>1502</v>
      </c>
      <c r="M349" s="48">
        <v>11819</v>
      </c>
      <c r="N349" s="48">
        <v>292.60000000000002</v>
      </c>
    </row>
    <row r="350" spans="1:14" ht="10.050000000000001" customHeight="1">
      <c r="A350" s="45" t="s">
        <v>83</v>
      </c>
      <c r="B350" s="46">
        <v>2007</v>
      </c>
      <c r="C350" s="45" t="s">
        <v>114</v>
      </c>
      <c r="D350" s="47">
        <v>6</v>
      </c>
      <c r="E350" s="48">
        <v>1207.5</v>
      </c>
      <c r="F350" s="48">
        <v>0</v>
      </c>
      <c r="G350" s="48">
        <v>1207.5</v>
      </c>
      <c r="H350" s="48">
        <v>3962.9</v>
      </c>
      <c r="I350" s="48">
        <v>302.39999999999998</v>
      </c>
      <c r="J350" s="48">
        <v>4265.3</v>
      </c>
      <c r="K350" s="48">
        <v>40.5</v>
      </c>
      <c r="L350" s="48">
        <v>0</v>
      </c>
      <c r="M350" s="48">
        <v>63.8</v>
      </c>
      <c r="N350" s="48">
        <v>0</v>
      </c>
    </row>
    <row r="351" spans="1:14" ht="10.050000000000001" customHeight="1">
      <c r="A351" s="45" t="s">
        <v>82</v>
      </c>
      <c r="B351" s="46">
        <v>2007</v>
      </c>
      <c r="C351" s="45" t="s">
        <v>114</v>
      </c>
      <c r="D351" s="47">
        <v>6</v>
      </c>
      <c r="E351" s="48">
        <v>2830.8</v>
      </c>
      <c r="F351" s="48">
        <v>492.6</v>
      </c>
      <c r="G351" s="48">
        <v>3323.4</v>
      </c>
      <c r="H351" s="48">
        <v>20788.5</v>
      </c>
      <c r="I351" s="48">
        <v>1648.7</v>
      </c>
      <c r="J351" s="48">
        <v>22437.200000000001</v>
      </c>
      <c r="K351" s="48">
        <v>467.6</v>
      </c>
      <c r="L351" s="48">
        <v>324.5</v>
      </c>
      <c r="M351" s="48">
        <v>898.1</v>
      </c>
      <c r="N351" s="48">
        <v>28</v>
      </c>
    </row>
    <row r="352" spans="1:14" ht="10.050000000000001" customHeight="1">
      <c r="A352" s="45" t="s">
        <v>81</v>
      </c>
      <c r="B352" s="46">
        <v>2007</v>
      </c>
      <c r="C352" s="45" t="s">
        <v>114</v>
      </c>
      <c r="D352" s="47">
        <v>6</v>
      </c>
      <c r="E352" s="48">
        <v>22702.400000000001</v>
      </c>
      <c r="F352" s="48">
        <v>2053</v>
      </c>
      <c r="G352" s="48">
        <v>24755.4</v>
      </c>
      <c r="H352" s="48">
        <v>178755.1</v>
      </c>
      <c r="I352" s="48">
        <v>3392.3</v>
      </c>
      <c r="J352" s="48">
        <v>182147.4</v>
      </c>
      <c r="K352" s="48">
        <v>1542.5</v>
      </c>
      <c r="L352" s="48">
        <v>171.9</v>
      </c>
      <c r="M352" s="48">
        <v>6775.5</v>
      </c>
      <c r="N352" s="48">
        <v>582.4</v>
      </c>
    </row>
    <row r="353" spans="1:14" ht="10.050000000000001" customHeight="1">
      <c r="A353" s="45" t="s">
        <v>80</v>
      </c>
      <c r="B353" s="46">
        <v>2007</v>
      </c>
      <c r="C353" s="45" t="s">
        <v>114</v>
      </c>
      <c r="D353" s="47">
        <v>10</v>
      </c>
      <c r="E353" s="48">
        <v>47.5</v>
      </c>
      <c r="F353" s="48">
        <v>0</v>
      </c>
      <c r="G353" s="48">
        <v>47.5</v>
      </c>
      <c r="H353" s="48">
        <v>344.5</v>
      </c>
      <c r="I353" s="48">
        <v>0</v>
      </c>
      <c r="J353" s="48">
        <v>344.5</v>
      </c>
      <c r="K353" s="48">
        <v>389.5</v>
      </c>
      <c r="L353" s="48">
        <v>0</v>
      </c>
      <c r="M353" s="48">
        <v>47.5</v>
      </c>
      <c r="N353" s="48">
        <v>0</v>
      </c>
    </row>
    <row r="354" spans="1:14" ht="10.050000000000001" customHeight="1">
      <c r="A354" s="45" t="s">
        <v>81</v>
      </c>
      <c r="B354" s="46">
        <v>2007</v>
      </c>
      <c r="C354" s="45" t="s">
        <v>114</v>
      </c>
      <c r="D354" s="47">
        <v>10</v>
      </c>
      <c r="E354" s="48">
        <v>40.4</v>
      </c>
      <c r="F354" s="48">
        <v>0</v>
      </c>
      <c r="G354" s="48">
        <v>40.4</v>
      </c>
      <c r="H354" s="48">
        <v>0</v>
      </c>
      <c r="I354" s="48">
        <v>0</v>
      </c>
      <c r="J354" s="48">
        <v>0</v>
      </c>
      <c r="K354" s="48">
        <v>0</v>
      </c>
      <c r="L354" s="48">
        <v>0</v>
      </c>
      <c r="M354" s="48">
        <v>0</v>
      </c>
      <c r="N354" s="48">
        <v>0</v>
      </c>
    </row>
    <row r="355" spans="1:14" ht="10.050000000000001" customHeight="1">
      <c r="A355" s="45" t="s">
        <v>80</v>
      </c>
      <c r="B355" s="46">
        <v>2007</v>
      </c>
      <c r="C355" s="45" t="s">
        <v>115</v>
      </c>
      <c r="D355" s="47">
        <v>7</v>
      </c>
      <c r="E355" s="48">
        <v>3028464.3</v>
      </c>
      <c r="F355" s="48">
        <v>7667.3</v>
      </c>
      <c r="G355" s="48">
        <v>3036131.6</v>
      </c>
      <c r="H355" s="48">
        <v>2953296.4</v>
      </c>
      <c r="I355" s="48">
        <v>12168.3</v>
      </c>
      <c r="J355" s="48">
        <v>2965464.7</v>
      </c>
      <c r="K355" s="48">
        <v>661098.9</v>
      </c>
      <c r="L355" s="48">
        <v>844346.5</v>
      </c>
      <c r="M355" s="48">
        <v>184929.1</v>
      </c>
      <c r="N355" s="48">
        <v>1807</v>
      </c>
    </row>
    <row r="356" spans="1:14" ht="10.050000000000001" customHeight="1">
      <c r="A356" s="45" t="s">
        <v>83</v>
      </c>
      <c r="B356" s="46">
        <v>2007</v>
      </c>
      <c r="C356" s="45" t="s">
        <v>115</v>
      </c>
      <c r="D356" s="47">
        <v>7</v>
      </c>
      <c r="E356" s="48">
        <v>6478.9</v>
      </c>
      <c r="F356" s="48">
        <v>67.5</v>
      </c>
      <c r="G356" s="48">
        <v>6546.4</v>
      </c>
      <c r="H356" s="48">
        <v>7951.4</v>
      </c>
      <c r="I356" s="48">
        <v>354.1</v>
      </c>
      <c r="J356" s="48">
        <v>8305.5</v>
      </c>
      <c r="K356" s="48">
        <v>752.9</v>
      </c>
      <c r="L356" s="48">
        <v>757.4</v>
      </c>
      <c r="M356" s="48">
        <v>45</v>
      </c>
      <c r="N356" s="48">
        <v>0</v>
      </c>
    </row>
    <row r="357" spans="1:14" ht="10.050000000000001" customHeight="1">
      <c r="A357" s="45" t="s">
        <v>82</v>
      </c>
      <c r="B357" s="46">
        <v>2007</v>
      </c>
      <c r="C357" s="45" t="s">
        <v>115</v>
      </c>
      <c r="D357" s="47">
        <v>7</v>
      </c>
      <c r="E357" s="48">
        <v>695.5</v>
      </c>
      <c r="F357" s="48">
        <v>0</v>
      </c>
      <c r="G357" s="48">
        <v>695.5</v>
      </c>
      <c r="H357" s="48">
        <v>15728.5</v>
      </c>
      <c r="I357" s="48">
        <v>1496</v>
      </c>
      <c r="J357" s="48">
        <v>17224.5</v>
      </c>
      <c r="K357" s="48">
        <v>211.9</v>
      </c>
      <c r="L357" s="48">
        <v>68.900000000000006</v>
      </c>
      <c r="M357" s="48">
        <v>298.3</v>
      </c>
      <c r="N357" s="48">
        <v>3.8</v>
      </c>
    </row>
    <row r="358" spans="1:14" ht="10.050000000000001" customHeight="1">
      <c r="A358" s="45" t="s">
        <v>81</v>
      </c>
      <c r="B358" s="46">
        <v>2007</v>
      </c>
      <c r="C358" s="45" t="s">
        <v>115</v>
      </c>
      <c r="D358" s="47">
        <v>7</v>
      </c>
      <c r="E358" s="48">
        <v>2824.2</v>
      </c>
      <c r="F358" s="48">
        <v>1.6</v>
      </c>
      <c r="G358" s="48">
        <v>2825.8</v>
      </c>
      <c r="H358" s="48">
        <v>116250.1</v>
      </c>
      <c r="I358" s="48">
        <v>3389.3</v>
      </c>
      <c r="J358" s="48">
        <v>119639.4</v>
      </c>
      <c r="K358" s="48">
        <v>2343.4</v>
      </c>
      <c r="L358" s="48">
        <v>1144.4000000000001</v>
      </c>
      <c r="M358" s="48">
        <v>263.5</v>
      </c>
      <c r="N358" s="48">
        <v>80</v>
      </c>
    </row>
    <row r="359" spans="1:14" ht="10.050000000000001" customHeight="1">
      <c r="A359" s="45" t="s">
        <v>80</v>
      </c>
      <c r="B359" s="46">
        <v>2007</v>
      </c>
      <c r="C359" s="45" t="s">
        <v>115</v>
      </c>
      <c r="D359" s="47">
        <v>8</v>
      </c>
      <c r="E359" s="48">
        <v>388959.6</v>
      </c>
      <c r="F359" s="48">
        <v>2733.7</v>
      </c>
      <c r="G359" s="48">
        <v>391693.3</v>
      </c>
      <c r="H359" s="48">
        <v>3099732.3</v>
      </c>
      <c r="I359" s="48">
        <v>10940.3</v>
      </c>
      <c r="J359" s="48">
        <v>3110672.6</v>
      </c>
      <c r="K359" s="48">
        <v>496566</v>
      </c>
      <c r="L359" s="48">
        <v>62449.8</v>
      </c>
      <c r="M359" s="48">
        <v>221846.6</v>
      </c>
      <c r="N359" s="48">
        <v>5136.1000000000004</v>
      </c>
    </row>
    <row r="360" spans="1:14" ht="10.050000000000001" customHeight="1">
      <c r="A360" s="45" t="s">
        <v>83</v>
      </c>
      <c r="B360" s="46">
        <v>2007</v>
      </c>
      <c r="C360" s="45" t="s">
        <v>115</v>
      </c>
      <c r="D360" s="47">
        <v>8</v>
      </c>
      <c r="E360" s="48">
        <v>6511.4</v>
      </c>
      <c r="F360" s="48">
        <v>20.8</v>
      </c>
      <c r="G360" s="48">
        <v>6532.2</v>
      </c>
      <c r="H360" s="48">
        <v>11517.5</v>
      </c>
      <c r="I360" s="48">
        <v>374.2</v>
      </c>
      <c r="J360" s="48">
        <v>11891.7</v>
      </c>
      <c r="K360" s="48">
        <v>834.8</v>
      </c>
      <c r="L360" s="48">
        <v>437.9</v>
      </c>
      <c r="M360" s="48">
        <v>356</v>
      </c>
      <c r="N360" s="48">
        <v>0</v>
      </c>
    </row>
    <row r="361" spans="1:14" ht="10.050000000000001" customHeight="1">
      <c r="A361" s="45" t="s">
        <v>82</v>
      </c>
      <c r="B361" s="46">
        <v>2007</v>
      </c>
      <c r="C361" s="45" t="s">
        <v>115</v>
      </c>
      <c r="D361" s="47">
        <v>8</v>
      </c>
      <c r="E361" s="48">
        <v>429.5</v>
      </c>
      <c r="F361" s="48">
        <v>11.4</v>
      </c>
      <c r="G361" s="48">
        <v>440.9</v>
      </c>
      <c r="H361" s="48">
        <v>11091.5</v>
      </c>
      <c r="I361" s="48">
        <v>1496</v>
      </c>
      <c r="J361" s="48">
        <v>12587.5</v>
      </c>
      <c r="K361" s="48">
        <v>121.9</v>
      </c>
      <c r="L361" s="48">
        <v>55.6</v>
      </c>
      <c r="M361" s="48">
        <v>46.3</v>
      </c>
      <c r="N361" s="48">
        <v>99.3</v>
      </c>
    </row>
    <row r="362" spans="1:14" ht="10.050000000000001" customHeight="1">
      <c r="A362" s="45" t="s">
        <v>81</v>
      </c>
      <c r="B362" s="46">
        <v>2007</v>
      </c>
      <c r="C362" s="45" t="s">
        <v>115</v>
      </c>
      <c r="D362" s="47">
        <v>8</v>
      </c>
      <c r="E362" s="48">
        <v>16236.6</v>
      </c>
      <c r="F362" s="48">
        <v>340</v>
      </c>
      <c r="G362" s="48">
        <v>16576.599999999999</v>
      </c>
      <c r="H362" s="48">
        <v>66494.600000000006</v>
      </c>
      <c r="I362" s="48">
        <v>3622.2</v>
      </c>
      <c r="J362" s="48">
        <v>70116.800000000003</v>
      </c>
      <c r="K362" s="48">
        <v>3736.4</v>
      </c>
      <c r="L362" s="48">
        <v>1782.2</v>
      </c>
      <c r="M362" s="48">
        <v>217.5</v>
      </c>
      <c r="N362" s="48">
        <v>171.7</v>
      </c>
    </row>
    <row r="363" spans="1:14" ht="10.050000000000001" customHeight="1">
      <c r="A363" s="45" t="s">
        <v>80</v>
      </c>
      <c r="B363" s="46">
        <v>2007</v>
      </c>
      <c r="C363" s="45" t="s">
        <v>115</v>
      </c>
      <c r="D363" s="47">
        <v>9</v>
      </c>
      <c r="E363" s="48">
        <v>184830.4</v>
      </c>
      <c r="F363" s="48">
        <v>257.10000000000002</v>
      </c>
      <c r="G363" s="48">
        <v>185087.5</v>
      </c>
      <c r="H363" s="48">
        <v>2985349.7</v>
      </c>
      <c r="I363" s="48">
        <v>9520.1</v>
      </c>
      <c r="J363" s="48">
        <v>2994869.8</v>
      </c>
      <c r="K363" s="48">
        <v>388560.4</v>
      </c>
      <c r="L363" s="48">
        <v>18629.599999999999</v>
      </c>
      <c r="M363" s="48">
        <v>124901.2</v>
      </c>
      <c r="N363" s="48">
        <v>1731.6</v>
      </c>
    </row>
    <row r="364" spans="1:14" ht="10.050000000000001" customHeight="1">
      <c r="A364" s="45" t="s">
        <v>83</v>
      </c>
      <c r="B364" s="46">
        <v>2007</v>
      </c>
      <c r="C364" s="45" t="s">
        <v>115</v>
      </c>
      <c r="D364" s="47">
        <v>9</v>
      </c>
      <c r="E364" s="48">
        <v>1630.5</v>
      </c>
      <c r="F364" s="48">
        <v>121.6</v>
      </c>
      <c r="G364" s="48">
        <v>1752.1</v>
      </c>
      <c r="H364" s="48">
        <v>10709.5</v>
      </c>
      <c r="I364" s="48">
        <v>376.8</v>
      </c>
      <c r="J364" s="48">
        <v>11086.3</v>
      </c>
      <c r="K364" s="48">
        <v>371.4</v>
      </c>
      <c r="L364" s="48">
        <v>58</v>
      </c>
      <c r="M364" s="48">
        <v>504.5</v>
      </c>
      <c r="N364" s="48">
        <v>16.899999999999999</v>
      </c>
    </row>
    <row r="365" spans="1:14" ht="10.050000000000001" customHeight="1">
      <c r="A365" s="45" t="s">
        <v>82</v>
      </c>
      <c r="B365" s="46">
        <v>2007</v>
      </c>
      <c r="C365" s="45" t="s">
        <v>115</v>
      </c>
      <c r="D365" s="47">
        <v>9</v>
      </c>
      <c r="E365" s="48">
        <v>9974.1</v>
      </c>
      <c r="F365" s="48">
        <v>606.20000000000005</v>
      </c>
      <c r="G365" s="48">
        <v>10580.3</v>
      </c>
      <c r="H365" s="48">
        <v>16336.6</v>
      </c>
      <c r="I365" s="48">
        <v>2133.3000000000002</v>
      </c>
      <c r="J365" s="48">
        <v>18469.900000000001</v>
      </c>
      <c r="K365" s="48">
        <v>1558.7</v>
      </c>
      <c r="L365" s="48">
        <v>1442.4</v>
      </c>
      <c r="M365" s="48">
        <v>5.6</v>
      </c>
      <c r="N365" s="48">
        <v>0</v>
      </c>
    </row>
    <row r="366" spans="1:14" ht="10.050000000000001" customHeight="1">
      <c r="A366" s="45" t="s">
        <v>81</v>
      </c>
      <c r="B366" s="46">
        <v>2007</v>
      </c>
      <c r="C366" s="45" t="s">
        <v>115</v>
      </c>
      <c r="D366" s="47">
        <v>9</v>
      </c>
      <c r="E366" s="48">
        <v>525215.19999999995</v>
      </c>
      <c r="F366" s="48">
        <v>1567.3</v>
      </c>
      <c r="G366" s="48">
        <v>526782.5</v>
      </c>
      <c r="H366" s="48">
        <v>529270.80000000005</v>
      </c>
      <c r="I366" s="48">
        <v>4842.3</v>
      </c>
      <c r="J366" s="48">
        <v>534113.1</v>
      </c>
      <c r="K366" s="48">
        <v>149230.70000000001</v>
      </c>
      <c r="L366" s="48">
        <v>149512.29999999999</v>
      </c>
      <c r="M366" s="48">
        <v>3877.1</v>
      </c>
      <c r="N366" s="48">
        <v>140.9</v>
      </c>
    </row>
    <row r="367" spans="1:14" ht="10.050000000000001" customHeight="1">
      <c r="A367" s="45" t="s">
        <v>80</v>
      </c>
      <c r="B367" s="46">
        <v>2007</v>
      </c>
      <c r="C367" s="45" t="s">
        <v>115</v>
      </c>
      <c r="D367" s="47">
        <v>10</v>
      </c>
      <c r="E367" s="48">
        <v>133275.29999999999</v>
      </c>
      <c r="F367" s="48">
        <v>70.3</v>
      </c>
      <c r="G367" s="48">
        <v>133345.60000000001</v>
      </c>
      <c r="H367" s="48">
        <v>2831500.2</v>
      </c>
      <c r="I367" s="48">
        <v>9419.5</v>
      </c>
      <c r="J367" s="48">
        <v>2840919.7</v>
      </c>
      <c r="K367" s="48">
        <v>310751</v>
      </c>
      <c r="L367" s="48">
        <v>10378.700000000001</v>
      </c>
      <c r="M367" s="48">
        <v>85780.6</v>
      </c>
      <c r="N367" s="48">
        <v>1970.3</v>
      </c>
    </row>
    <row r="368" spans="1:14" ht="10.050000000000001" customHeight="1">
      <c r="A368" s="45" t="s">
        <v>83</v>
      </c>
      <c r="B368" s="46">
        <v>2007</v>
      </c>
      <c r="C368" s="45" t="s">
        <v>115</v>
      </c>
      <c r="D368" s="47">
        <v>10</v>
      </c>
      <c r="E368" s="48">
        <v>1150.7</v>
      </c>
      <c r="F368" s="48">
        <v>0</v>
      </c>
      <c r="G368" s="48">
        <v>1150.7</v>
      </c>
      <c r="H368" s="48">
        <v>9283.6</v>
      </c>
      <c r="I368" s="48">
        <v>374.7</v>
      </c>
      <c r="J368" s="48">
        <v>9658.2999999999993</v>
      </c>
      <c r="K368" s="48">
        <v>350.4</v>
      </c>
      <c r="L368" s="48">
        <v>24.8</v>
      </c>
      <c r="M368" s="48">
        <v>45.8</v>
      </c>
      <c r="N368" s="48">
        <v>0</v>
      </c>
    </row>
    <row r="369" spans="1:14" ht="10.050000000000001" customHeight="1">
      <c r="A369" s="45" t="s">
        <v>82</v>
      </c>
      <c r="B369" s="46">
        <v>2007</v>
      </c>
      <c r="C369" s="45" t="s">
        <v>115</v>
      </c>
      <c r="D369" s="47">
        <v>10</v>
      </c>
      <c r="E369" s="48">
        <v>34625.199999999997</v>
      </c>
      <c r="F369" s="48">
        <v>2093.8000000000002</v>
      </c>
      <c r="G369" s="48">
        <v>36719</v>
      </c>
      <c r="H369" s="48">
        <v>45911.3</v>
      </c>
      <c r="I369" s="48">
        <v>4024.2</v>
      </c>
      <c r="J369" s="48">
        <v>49935.5</v>
      </c>
      <c r="K369" s="48">
        <v>7169.8</v>
      </c>
      <c r="L369" s="48">
        <v>6257.3</v>
      </c>
      <c r="M369" s="48">
        <v>582.1</v>
      </c>
      <c r="N369" s="48">
        <v>64.099999999999994</v>
      </c>
    </row>
    <row r="370" spans="1:14" ht="10.050000000000001" customHeight="1">
      <c r="A370" s="45" t="s">
        <v>81</v>
      </c>
      <c r="B370" s="46">
        <v>2007</v>
      </c>
      <c r="C370" s="45" t="s">
        <v>115</v>
      </c>
      <c r="D370" s="47">
        <v>10</v>
      </c>
      <c r="E370" s="48">
        <v>382355.1</v>
      </c>
      <c r="F370" s="48">
        <v>299.5</v>
      </c>
      <c r="G370" s="48">
        <v>382654.6</v>
      </c>
      <c r="H370" s="48">
        <v>797266</v>
      </c>
      <c r="I370" s="48">
        <v>4991.2</v>
      </c>
      <c r="J370" s="48">
        <v>802257.2</v>
      </c>
      <c r="K370" s="48">
        <v>170281.1</v>
      </c>
      <c r="L370" s="48">
        <v>70638.3</v>
      </c>
      <c r="M370" s="48">
        <v>49109.9</v>
      </c>
      <c r="N370" s="48">
        <v>478</v>
      </c>
    </row>
    <row r="371" spans="1:14" ht="10.050000000000001" customHeight="1">
      <c r="A371" s="45" t="s">
        <v>80</v>
      </c>
      <c r="B371" s="46">
        <v>2007</v>
      </c>
      <c r="C371" s="45" t="s">
        <v>115</v>
      </c>
      <c r="D371" s="47">
        <v>11</v>
      </c>
      <c r="E371" s="48">
        <v>163676.9</v>
      </c>
      <c r="F371" s="48">
        <v>542.29999999999995</v>
      </c>
      <c r="G371" s="48">
        <v>164219.20000000001</v>
      </c>
      <c r="H371" s="48">
        <v>2703282.8</v>
      </c>
      <c r="I371" s="48">
        <v>8765.4</v>
      </c>
      <c r="J371" s="48">
        <v>2712048.2</v>
      </c>
      <c r="K371" s="48">
        <v>227733.1</v>
      </c>
      <c r="L371" s="48">
        <v>15023.4</v>
      </c>
      <c r="M371" s="48">
        <v>97420.6</v>
      </c>
      <c r="N371" s="48">
        <v>1010.2</v>
      </c>
    </row>
    <row r="372" spans="1:14" ht="10.050000000000001" customHeight="1">
      <c r="A372" s="45" t="s">
        <v>83</v>
      </c>
      <c r="B372" s="46">
        <v>2007</v>
      </c>
      <c r="C372" s="45" t="s">
        <v>115</v>
      </c>
      <c r="D372" s="47">
        <v>11</v>
      </c>
      <c r="E372" s="48">
        <v>1253.4000000000001</v>
      </c>
      <c r="F372" s="48">
        <v>0</v>
      </c>
      <c r="G372" s="48">
        <v>1253.4000000000001</v>
      </c>
      <c r="H372" s="48">
        <v>8527.7999999999993</v>
      </c>
      <c r="I372" s="48">
        <v>374.3</v>
      </c>
      <c r="J372" s="48">
        <v>8902.1</v>
      </c>
      <c r="K372" s="48">
        <v>331.2</v>
      </c>
      <c r="L372" s="48">
        <v>49.1</v>
      </c>
      <c r="M372" s="48">
        <v>68.3</v>
      </c>
      <c r="N372" s="48">
        <v>0</v>
      </c>
    </row>
    <row r="373" spans="1:14" ht="10.050000000000001" customHeight="1">
      <c r="A373" s="45" t="s">
        <v>82</v>
      </c>
      <c r="B373" s="46">
        <v>2007</v>
      </c>
      <c r="C373" s="45" t="s">
        <v>115</v>
      </c>
      <c r="D373" s="47">
        <v>11</v>
      </c>
      <c r="E373" s="48">
        <v>6492.3</v>
      </c>
      <c r="F373" s="48">
        <v>497</v>
      </c>
      <c r="G373" s="48">
        <v>6989.3</v>
      </c>
      <c r="H373" s="48">
        <v>46539.4</v>
      </c>
      <c r="I373" s="48">
        <v>4476.2</v>
      </c>
      <c r="J373" s="48">
        <v>51015.6</v>
      </c>
      <c r="K373" s="48">
        <v>6777.7</v>
      </c>
      <c r="L373" s="48">
        <v>862.9</v>
      </c>
      <c r="M373" s="48">
        <v>1209.9000000000001</v>
      </c>
      <c r="N373" s="48">
        <v>45.1</v>
      </c>
    </row>
    <row r="374" spans="1:14" ht="10.050000000000001" customHeight="1">
      <c r="A374" s="45" t="s">
        <v>81</v>
      </c>
      <c r="B374" s="46">
        <v>2007</v>
      </c>
      <c r="C374" s="45" t="s">
        <v>115</v>
      </c>
      <c r="D374" s="47">
        <v>11</v>
      </c>
      <c r="E374" s="48">
        <v>73684.5</v>
      </c>
      <c r="F374" s="48">
        <v>473.4</v>
      </c>
      <c r="G374" s="48">
        <v>74157.899999999994</v>
      </c>
      <c r="H374" s="48">
        <v>772059.1</v>
      </c>
      <c r="I374" s="48">
        <v>5026.3999999999996</v>
      </c>
      <c r="J374" s="48">
        <v>777085.5</v>
      </c>
      <c r="K374" s="48">
        <v>125987.4</v>
      </c>
      <c r="L374" s="48">
        <v>4353.2</v>
      </c>
      <c r="M374" s="48">
        <v>48379.6</v>
      </c>
      <c r="N374" s="48">
        <v>359.5</v>
      </c>
    </row>
    <row r="375" spans="1:14" ht="10.050000000000001" customHeight="1">
      <c r="A375" s="45" t="s">
        <v>80</v>
      </c>
      <c r="B375" s="46">
        <v>2007</v>
      </c>
      <c r="C375" s="45" t="s">
        <v>115</v>
      </c>
      <c r="D375" s="47">
        <v>12</v>
      </c>
      <c r="E375" s="48">
        <v>75518.600000000093</v>
      </c>
      <c r="F375" s="48">
        <v>-0.5</v>
      </c>
      <c r="G375" s="48">
        <v>75518.100000000093</v>
      </c>
      <c r="H375" s="48">
        <v>2468130.6</v>
      </c>
      <c r="I375" s="48">
        <v>8656.2999999999993</v>
      </c>
      <c r="J375" s="48">
        <v>2476786.9</v>
      </c>
      <c r="K375" s="48">
        <v>202612.1</v>
      </c>
      <c r="L375" s="48">
        <v>13513.2</v>
      </c>
      <c r="M375" s="48">
        <v>37434.6</v>
      </c>
      <c r="N375" s="48">
        <v>1199.5999999999999</v>
      </c>
    </row>
    <row r="376" spans="1:14" ht="10.050000000000001" customHeight="1">
      <c r="A376" s="45" t="s">
        <v>83</v>
      </c>
      <c r="B376" s="46">
        <v>2007</v>
      </c>
      <c r="C376" s="45" t="s">
        <v>115</v>
      </c>
      <c r="D376" s="47">
        <v>12</v>
      </c>
      <c r="E376" s="48">
        <v>507.2</v>
      </c>
      <c r="F376" s="48">
        <v>0</v>
      </c>
      <c r="G376" s="48">
        <v>507.2</v>
      </c>
      <c r="H376" s="48">
        <v>7867.4</v>
      </c>
      <c r="I376" s="48">
        <v>374.3</v>
      </c>
      <c r="J376" s="48">
        <v>8241.7000000000007</v>
      </c>
      <c r="K376" s="48">
        <v>220.7</v>
      </c>
      <c r="L376" s="48">
        <v>0</v>
      </c>
      <c r="M376" s="48">
        <v>101.3</v>
      </c>
      <c r="N376" s="48">
        <v>9.1999999999999993</v>
      </c>
    </row>
    <row r="377" spans="1:14" ht="10.050000000000001" customHeight="1">
      <c r="A377" s="45" t="s">
        <v>82</v>
      </c>
      <c r="B377" s="46">
        <v>2007</v>
      </c>
      <c r="C377" s="45" t="s">
        <v>115</v>
      </c>
      <c r="D377" s="47">
        <v>12</v>
      </c>
      <c r="E377" s="48">
        <v>3414.6</v>
      </c>
      <c r="F377" s="48">
        <v>66</v>
      </c>
      <c r="G377" s="48">
        <v>3480.6</v>
      </c>
      <c r="H377" s="48">
        <v>45484.800000000003</v>
      </c>
      <c r="I377" s="48">
        <v>4373.2</v>
      </c>
      <c r="J377" s="48">
        <v>49858</v>
      </c>
      <c r="K377" s="48">
        <v>5711</v>
      </c>
      <c r="L377" s="48">
        <v>382.4</v>
      </c>
      <c r="M377" s="48">
        <v>1448.2</v>
      </c>
      <c r="N377" s="48">
        <v>0.9</v>
      </c>
    </row>
    <row r="378" spans="1:14" ht="10.050000000000001" customHeight="1">
      <c r="A378" s="45" t="s">
        <v>81</v>
      </c>
      <c r="B378" s="46">
        <v>2007</v>
      </c>
      <c r="C378" s="45" t="s">
        <v>115</v>
      </c>
      <c r="D378" s="47">
        <v>12</v>
      </c>
      <c r="E378" s="48">
        <v>48277.4</v>
      </c>
      <c r="F378" s="48">
        <v>563.5</v>
      </c>
      <c r="G378" s="48">
        <v>48840.9</v>
      </c>
      <c r="H378" s="48">
        <v>729364.1</v>
      </c>
      <c r="I378" s="48">
        <v>5189.2</v>
      </c>
      <c r="J378" s="48">
        <v>734553.3</v>
      </c>
      <c r="K378" s="48">
        <v>90246.8</v>
      </c>
      <c r="L378" s="48">
        <v>1428.9</v>
      </c>
      <c r="M378" s="48">
        <v>36651.699999999997</v>
      </c>
      <c r="N378" s="48">
        <v>505.9</v>
      </c>
    </row>
    <row r="379" spans="1:14" ht="10.050000000000001" customHeight="1">
      <c r="A379" s="45" t="s">
        <v>80</v>
      </c>
      <c r="B379" s="46">
        <v>2008</v>
      </c>
      <c r="C379" s="45" t="s">
        <v>115</v>
      </c>
      <c r="D379" s="47">
        <v>1</v>
      </c>
      <c r="E379" s="48">
        <v>143523.4</v>
      </c>
      <c r="F379" s="48">
        <v>0</v>
      </c>
      <c r="G379" s="48">
        <v>143523.4</v>
      </c>
      <c r="H379" s="48">
        <v>2158462.7000000002</v>
      </c>
      <c r="I379" s="48">
        <v>8201.6</v>
      </c>
      <c r="J379" s="48">
        <v>2166664.2999999998</v>
      </c>
      <c r="K379" s="48">
        <v>140878.6</v>
      </c>
      <c r="L379" s="48">
        <v>17448.8</v>
      </c>
      <c r="M379" s="48">
        <v>77172.600000000006</v>
      </c>
      <c r="N379" s="48">
        <v>2009.7</v>
      </c>
    </row>
    <row r="380" spans="1:14" ht="10.050000000000001" customHeight="1">
      <c r="A380" s="45" t="s">
        <v>83</v>
      </c>
      <c r="B380" s="46">
        <v>2008</v>
      </c>
      <c r="C380" s="45" t="s">
        <v>115</v>
      </c>
      <c r="D380" s="47">
        <v>1</v>
      </c>
      <c r="E380" s="48">
        <v>876.3</v>
      </c>
      <c r="F380" s="48">
        <v>0</v>
      </c>
      <c r="G380" s="48">
        <v>876.3</v>
      </c>
      <c r="H380" s="48">
        <v>7134.6</v>
      </c>
      <c r="I380" s="48">
        <v>372.8</v>
      </c>
      <c r="J380" s="48">
        <v>7507.4</v>
      </c>
      <c r="K380" s="48">
        <v>224.3</v>
      </c>
      <c r="L380" s="48">
        <v>28.7</v>
      </c>
      <c r="M380" s="48">
        <v>25.1</v>
      </c>
      <c r="N380" s="48">
        <v>0</v>
      </c>
    </row>
    <row r="381" spans="1:14" ht="10.050000000000001" customHeight="1">
      <c r="A381" s="45" t="s">
        <v>82</v>
      </c>
      <c r="B381" s="46">
        <v>2008</v>
      </c>
      <c r="C381" s="45" t="s">
        <v>115</v>
      </c>
      <c r="D381" s="47">
        <v>1</v>
      </c>
      <c r="E381" s="48">
        <v>3598.8</v>
      </c>
      <c r="F381" s="48">
        <v>12.2</v>
      </c>
      <c r="G381" s="48">
        <v>3611</v>
      </c>
      <c r="H381" s="48">
        <v>41827.599999999999</v>
      </c>
      <c r="I381" s="48">
        <v>4063.9</v>
      </c>
      <c r="J381" s="48">
        <v>45891.5</v>
      </c>
      <c r="K381" s="48">
        <v>4278.5</v>
      </c>
      <c r="L381" s="48">
        <v>602</v>
      </c>
      <c r="M381" s="48">
        <v>1977.7</v>
      </c>
      <c r="N381" s="48">
        <v>56.8</v>
      </c>
    </row>
    <row r="382" spans="1:14" ht="10.050000000000001" customHeight="1">
      <c r="A382" s="45" t="s">
        <v>81</v>
      </c>
      <c r="B382" s="46">
        <v>2008</v>
      </c>
      <c r="C382" s="45" t="s">
        <v>115</v>
      </c>
      <c r="D382" s="47">
        <v>1</v>
      </c>
      <c r="E382" s="48">
        <v>62947.199999999997</v>
      </c>
      <c r="F382" s="48">
        <v>0</v>
      </c>
      <c r="G382" s="48">
        <v>62947.199999999997</v>
      </c>
      <c r="H382" s="48">
        <v>658705.30000000005</v>
      </c>
      <c r="I382" s="48">
        <v>4374.1000000000004</v>
      </c>
      <c r="J382" s="48">
        <v>663079.4</v>
      </c>
      <c r="K382" s="48">
        <v>43180.3</v>
      </c>
      <c r="L382" s="48">
        <v>1048</v>
      </c>
      <c r="M382" s="48">
        <v>47676.5</v>
      </c>
      <c r="N382" s="48">
        <v>438</v>
      </c>
    </row>
    <row r="383" spans="1:14" ht="10.050000000000001" customHeight="1">
      <c r="A383" s="45" t="s">
        <v>80</v>
      </c>
      <c r="B383" s="46">
        <v>2008</v>
      </c>
      <c r="C383" s="45" t="s">
        <v>115</v>
      </c>
      <c r="D383" s="47">
        <v>2</v>
      </c>
      <c r="E383" s="48">
        <v>115813.3</v>
      </c>
      <c r="F383" s="48">
        <v>1528.1</v>
      </c>
      <c r="G383" s="48">
        <v>117341.4</v>
      </c>
      <c r="H383" s="48">
        <v>1861712.3</v>
      </c>
      <c r="I383" s="48">
        <v>9537.6</v>
      </c>
      <c r="J383" s="48">
        <v>1871249.9</v>
      </c>
      <c r="K383" s="48">
        <v>88225.1</v>
      </c>
      <c r="L383" s="48">
        <v>10496.3</v>
      </c>
      <c r="M383" s="48">
        <v>61302.3</v>
      </c>
      <c r="N383" s="48">
        <v>1847.5</v>
      </c>
    </row>
    <row r="384" spans="1:14" ht="10.050000000000001" customHeight="1">
      <c r="A384" s="45" t="s">
        <v>83</v>
      </c>
      <c r="B384" s="46">
        <v>2008</v>
      </c>
      <c r="C384" s="45" t="s">
        <v>115</v>
      </c>
      <c r="D384" s="47">
        <v>2</v>
      </c>
      <c r="E384" s="48">
        <v>658.1</v>
      </c>
      <c r="F384" s="48">
        <v>137.19999999999999</v>
      </c>
      <c r="G384" s="48">
        <v>795.3</v>
      </c>
      <c r="H384" s="48">
        <v>5751</v>
      </c>
      <c r="I384" s="48">
        <v>419.3</v>
      </c>
      <c r="J384" s="48">
        <v>6170.3</v>
      </c>
      <c r="K384" s="48">
        <v>211.6</v>
      </c>
      <c r="L384" s="48">
        <v>0</v>
      </c>
      <c r="M384" s="48">
        <v>12.7</v>
      </c>
      <c r="N384" s="48">
        <v>0</v>
      </c>
    </row>
    <row r="385" spans="1:14" ht="10.050000000000001" customHeight="1">
      <c r="A385" s="45" t="s">
        <v>82</v>
      </c>
      <c r="B385" s="46">
        <v>2008</v>
      </c>
      <c r="C385" s="45" t="s">
        <v>115</v>
      </c>
      <c r="D385" s="47">
        <v>2</v>
      </c>
      <c r="E385" s="48">
        <v>2474.6</v>
      </c>
      <c r="F385" s="48">
        <v>24</v>
      </c>
      <c r="G385" s="48">
        <v>2498.6</v>
      </c>
      <c r="H385" s="48">
        <v>38079.599999999999</v>
      </c>
      <c r="I385" s="48">
        <v>4041.9</v>
      </c>
      <c r="J385" s="48">
        <v>42121.5</v>
      </c>
      <c r="K385" s="48">
        <v>3401.8</v>
      </c>
      <c r="L385" s="48">
        <v>435</v>
      </c>
      <c r="M385" s="48">
        <v>1243.8</v>
      </c>
      <c r="N385" s="48">
        <v>67.900000000000006</v>
      </c>
    </row>
    <row r="386" spans="1:14" ht="10.050000000000001" customHeight="1">
      <c r="A386" s="45" t="s">
        <v>81</v>
      </c>
      <c r="B386" s="46">
        <v>2008</v>
      </c>
      <c r="C386" s="45" t="s">
        <v>115</v>
      </c>
      <c r="D386" s="47">
        <v>2</v>
      </c>
      <c r="E386" s="48">
        <v>29791.9</v>
      </c>
      <c r="F386" s="48">
        <v>2884.8</v>
      </c>
      <c r="G386" s="48">
        <v>32676.7</v>
      </c>
      <c r="H386" s="48">
        <v>551694.19999999995</v>
      </c>
      <c r="I386" s="48">
        <v>4882.5</v>
      </c>
      <c r="J386" s="48">
        <v>556576.69999999995</v>
      </c>
      <c r="K386" s="48">
        <v>27040.1</v>
      </c>
      <c r="L386" s="48">
        <v>859.2</v>
      </c>
      <c r="M386" s="48">
        <v>16261.3</v>
      </c>
      <c r="N386" s="48">
        <v>738.1</v>
      </c>
    </row>
    <row r="387" spans="1:14" ht="10.050000000000001" customHeight="1">
      <c r="A387" s="45" t="s">
        <v>80</v>
      </c>
      <c r="B387" s="46">
        <v>2008</v>
      </c>
      <c r="C387" s="45" t="s">
        <v>115</v>
      </c>
      <c r="D387" s="47">
        <v>3</v>
      </c>
      <c r="E387" s="48">
        <v>83284.600000000006</v>
      </c>
      <c r="F387" s="48">
        <v>0</v>
      </c>
      <c r="G387" s="48">
        <v>83284.600000000006</v>
      </c>
      <c r="H387" s="48">
        <v>1506908.4</v>
      </c>
      <c r="I387" s="48">
        <v>8635.6</v>
      </c>
      <c r="J387" s="48">
        <v>1515544</v>
      </c>
      <c r="K387" s="48">
        <v>63835.6</v>
      </c>
      <c r="L387" s="48">
        <v>6365.6</v>
      </c>
      <c r="M387" s="48">
        <v>29500.5</v>
      </c>
      <c r="N387" s="48">
        <v>1247.5999999999999</v>
      </c>
    </row>
    <row r="388" spans="1:14" ht="10.050000000000001" customHeight="1">
      <c r="A388" s="45" t="s">
        <v>83</v>
      </c>
      <c r="B388" s="46">
        <v>2008</v>
      </c>
      <c r="C388" s="45" t="s">
        <v>115</v>
      </c>
      <c r="D388" s="47">
        <v>3</v>
      </c>
      <c r="E388" s="48">
        <v>722.8</v>
      </c>
      <c r="F388" s="48">
        <v>74.400000000000006</v>
      </c>
      <c r="G388" s="48">
        <v>797.2</v>
      </c>
      <c r="H388" s="48">
        <v>4960.5</v>
      </c>
      <c r="I388" s="48">
        <v>353</v>
      </c>
      <c r="J388" s="48">
        <v>5313.5</v>
      </c>
      <c r="K388" s="48">
        <v>72.900000000000006</v>
      </c>
      <c r="L388" s="48">
        <v>17.600000000000001</v>
      </c>
      <c r="M388" s="48">
        <v>154.30000000000001</v>
      </c>
      <c r="N388" s="48">
        <v>2</v>
      </c>
    </row>
    <row r="389" spans="1:14" ht="10.050000000000001" customHeight="1">
      <c r="A389" s="45" t="s">
        <v>82</v>
      </c>
      <c r="B389" s="46">
        <v>2008</v>
      </c>
      <c r="C389" s="45" t="s">
        <v>115</v>
      </c>
      <c r="D389" s="47">
        <v>3</v>
      </c>
      <c r="E389" s="48">
        <v>2488.1</v>
      </c>
      <c r="F389" s="48">
        <v>365.6</v>
      </c>
      <c r="G389" s="48">
        <v>2853.7</v>
      </c>
      <c r="H389" s="48">
        <v>33730.199999999997</v>
      </c>
      <c r="I389" s="48">
        <v>3685.5</v>
      </c>
      <c r="J389" s="48">
        <v>37415.699999999997</v>
      </c>
      <c r="K389" s="48">
        <v>2425.8000000000002</v>
      </c>
      <c r="L389" s="48">
        <v>598.1</v>
      </c>
      <c r="M389" s="48">
        <v>1574.1</v>
      </c>
      <c r="N389" s="48">
        <v>30.3</v>
      </c>
    </row>
    <row r="390" spans="1:14" ht="10.050000000000001" customHeight="1">
      <c r="A390" s="45" t="s">
        <v>81</v>
      </c>
      <c r="B390" s="46">
        <v>2008</v>
      </c>
      <c r="C390" s="45" t="s">
        <v>115</v>
      </c>
      <c r="D390" s="47">
        <v>3</v>
      </c>
      <c r="E390" s="48">
        <v>25600</v>
      </c>
      <c r="F390" s="48">
        <v>914.1</v>
      </c>
      <c r="G390" s="48">
        <v>26514.1</v>
      </c>
      <c r="H390" s="48">
        <v>460803.8</v>
      </c>
      <c r="I390" s="48">
        <v>5146.2</v>
      </c>
      <c r="J390" s="48">
        <v>465950</v>
      </c>
      <c r="K390" s="48">
        <v>14725.1</v>
      </c>
      <c r="L390" s="48">
        <v>366.5</v>
      </c>
      <c r="M390" s="48">
        <v>12366.4</v>
      </c>
      <c r="N390" s="48">
        <v>311</v>
      </c>
    </row>
    <row r="391" spans="1:14" ht="10.050000000000001" customHeight="1">
      <c r="A391" s="45" t="s">
        <v>80</v>
      </c>
      <c r="B391" s="46">
        <v>2008</v>
      </c>
      <c r="C391" s="45" t="s">
        <v>115</v>
      </c>
      <c r="D391" s="47">
        <v>4</v>
      </c>
      <c r="E391" s="48">
        <v>58360.1</v>
      </c>
      <c r="F391" s="48">
        <v>0</v>
      </c>
      <c r="G391" s="48">
        <v>58360.1</v>
      </c>
      <c r="H391" s="48">
        <v>1062390</v>
      </c>
      <c r="I391" s="48">
        <v>8495.9</v>
      </c>
      <c r="J391" s="48">
        <v>1070885.8999999999</v>
      </c>
      <c r="K391" s="48">
        <v>44344.3</v>
      </c>
      <c r="L391" s="48">
        <v>4951.1000000000004</v>
      </c>
      <c r="M391" s="48">
        <v>23986.400000000001</v>
      </c>
      <c r="N391" s="48">
        <v>445</v>
      </c>
    </row>
    <row r="392" spans="1:14" ht="10.050000000000001" customHeight="1">
      <c r="A392" s="45" t="s">
        <v>83</v>
      </c>
      <c r="B392" s="46">
        <v>2008</v>
      </c>
      <c r="C392" s="45" t="s">
        <v>115</v>
      </c>
      <c r="D392" s="47">
        <v>4</v>
      </c>
      <c r="E392" s="48">
        <v>410.1</v>
      </c>
      <c r="F392" s="48">
        <v>0</v>
      </c>
      <c r="G392" s="48">
        <v>410.1</v>
      </c>
      <c r="H392" s="48">
        <v>2912.4</v>
      </c>
      <c r="I392" s="48">
        <v>311.10000000000002</v>
      </c>
      <c r="J392" s="48">
        <v>3223.5</v>
      </c>
      <c r="K392" s="48">
        <v>37.299999999999997</v>
      </c>
      <c r="L392" s="48">
        <v>10</v>
      </c>
      <c r="M392" s="48">
        <v>45.6</v>
      </c>
      <c r="N392" s="48">
        <v>0</v>
      </c>
    </row>
    <row r="393" spans="1:14" ht="10.050000000000001" customHeight="1">
      <c r="A393" s="45" t="s">
        <v>82</v>
      </c>
      <c r="B393" s="46">
        <v>2008</v>
      </c>
      <c r="C393" s="45" t="s">
        <v>115</v>
      </c>
      <c r="D393" s="47">
        <v>4</v>
      </c>
      <c r="E393" s="48">
        <v>2347.1</v>
      </c>
      <c r="F393" s="48">
        <v>2.8</v>
      </c>
      <c r="G393" s="48">
        <v>2349.9</v>
      </c>
      <c r="H393" s="48">
        <v>30550.5</v>
      </c>
      <c r="I393" s="48">
        <v>3579.7</v>
      </c>
      <c r="J393" s="48">
        <v>34130.199999999997</v>
      </c>
      <c r="K393" s="48">
        <v>1252.5</v>
      </c>
      <c r="L393" s="48">
        <v>512.70000000000005</v>
      </c>
      <c r="M393" s="48">
        <v>1673.2</v>
      </c>
      <c r="N393" s="48">
        <v>12.8</v>
      </c>
    </row>
    <row r="394" spans="1:14" ht="10.050000000000001" customHeight="1">
      <c r="A394" s="45" t="s">
        <v>81</v>
      </c>
      <c r="B394" s="46">
        <v>2008</v>
      </c>
      <c r="C394" s="45" t="s">
        <v>115</v>
      </c>
      <c r="D394" s="47">
        <v>4</v>
      </c>
      <c r="E394" s="48">
        <v>14370</v>
      </c>
      <c r="F394" s="48">
        <v>-10.9</v>
      </c>
      <c r="G394" s="48">
        <v>14359.1</v>
      </c>
      <c r="H394" s="48">
        <v>358492.4</v>
      </c>
      <c r="I394" s="48">
        <v>4984</v>
      </c>
      <c r="J394" s="48">
        <v>363476.4</v>
      </c>
      <c r="K394" s="48">
        <v>8692.7000000000007</v>
      </c>
      <c r="L394" s="48">
        <v>308.5</v>
      </c>
      <c r="M394" s="48">
        <v>6212.6</v>
      </c>
      <c r="N394" s="48">
        <v>162.4</v>
      </c>
    </row>
    <row r="395" spans="1:14" ht="10.050000000000001" customHeight="1">
      <c r="A395" s="45" t="s">
        <v>80</v>
      </c>
      <c r="B395" s="46">
        <v>2008</v>
      </c>
      <c r="C395" s="45" t="s">
        <v>115</v>
      </c>
      <c r="D395" s="47">
        <v>5</v>
      </c>
      <c r="E395" s="48">
        <v>64961.599999999999</v>
      </c>
      <c r="F395" s="48">
        <v>0</v>
      </c>
      <c r="G395" s="48">
        <v>64961.599999999999</v>
      </c>
      <c r="H395" s="48">
        <v>633057.40000000095</v>
      </c>
      <c r="I395" s="48">
        <v>8224.4</v>
      </c>
      <c r="J395" s="48">
        <v>641281.80000000098</v>
      </c>
      <c r="K395" s="48">
        <v>14112.7</v>
      </c>
      <c r="L395" s="48">
        <v>4163.8</v>
      </c>
      <c r="M395" s="48">
        <v>33557.800000000003</v>
      </c>
      <c r="N395" s="48">
        <v>837.6</v>
      </c>
    </row>
    <row r="396" spans="1:14" ht="10.050000000000001" customHeight="1">
      <c r="A396" s="45" t="s">
        <v>83</v>
      </c>
      <c r="B396" s="46">
        <v>2008</v>
      </c>
      <c r="C396" s="45" t="s">
        <v>115</v>
      </c>
      <c r="D396" s="47">
        <v>5</v>
      </c>
      <c r="E396" s="48">
        <v>210.6</v>
      </c>
      <c r="F396" s="48">
        <v>118.6</v>
      </c>
      <c r="G396" s="48">
        <v>329.2</v>
      </c>
      <c r="H396" s="48">
        <v>2023.4</v>
      </c>
      <c r="I396" s="48">
        <v>405.7</v>
      </c>
      <c r="J396" s="48">
        <v>2429.1</v>
      </c>
      <c r="K396" s="48">
        <v>24.5</v>
      </c>
      <c r="L396" s="48">
        <v>0</v>
      </c>
      <c r="M396" s="48">
        <v>12.8</v>
      </c>
      <c r="N396" s="48">
        <v>0</v>
      </c>
    </row>
    <row r="397" spans="1:14" ht="10.050000000000001" customHeight="1">
      <c r="A397" s="45" t="s">
        <v>82</v>
      </c>
      <c r="B397" s="46">
        <v>2008</v>
      </c>
      <c r="C397" s="45" t="s">
        <v>115</v>
      </c>
      <c r="D397" s="47">
        <v>5</v>
      </c>
      <c r="E397" s="48">
        <v>1499.3</v>
      </c>
      <c r="F397" s="48">
        <v>0</v>
      </c>
      <c r="G397" s="48">
        <v>1499.3</v>
      </c>
      <c r="H397" s="48">
        <v>26222</v>
      </c>
      <c r="I397" s="48">
        <v>2562.6999999999998</v>
      </c>
      <c r="J397" s="48">
        <v>28784.7</v>
      </c>
      <c r="K397" s="48">
        <v>714</v>
      </c>
      <c r="L397" s="48">
        <v>313</v>
      </c>
      <c r="M397" s="48">
        <v>851.5</v>
      </c>
      <c r="N397" s="48">
        <v>0</v>
      </c>
    </row>
    <row r="398" spans="1:14" ht="10.050000000000001" customHeight="1">
      <c r="A398" s="45" t="s">
        <v>81</v>
      </c>
      <c r="B398" s="46">
        <v>2008</v>
      </c>
      <c r="C398" s="45" t="s">
        <v>115</v>
      </c>
      <c r="D398" s="47">
        <v>5</v>
      </c>
      <c r="E398" s="48">
        <v>7598</v>
      </c>
      <c r="F398" s="48">
        <v>0.7</v>
      </c>
      <c r="G398" s="48">
        <v>7598.7</v>
      </c>
      <c r="H398" s="48">
        <v>260715.6</v>
      </c>
      <c r="I398" s="48">
        <v>4922.6000000000004</v>
      </c>
      <c r="J398" s="48">
        <v>265638.2</v>
      </c>
      <c r="K398" s="48">
        <v>3856.2</v>
      </c>
      <c r="L398" s="48">
        <v>45.5</v>
      </c>
      <c r="M398" s="48">
        <v>4291.3999999999996</v>
      </c>
      <c r="N398" s="48">
        <v>590.6</v>
      </c>
    </row>
    <row r="399" spans="1:14" ht="10.050000000000001" customHeight="1">
      <c r="A399" s="45" t="s">
        <v>80</v>
      </c>
      <c r="B399" s="46">
        <v>2008</v>
      </c>
      <c r="C399" s="45" t="s">
        <v>115</v>
      </c>
      <c r="D399" s="47">
        <v>6</v>
      </c>
      <c r="E399" s="48">
        <v>37175.599999999999</v>
      </c>
      <c r="F399" s="48">
        <v>2195.6</v>
      </c>
      <c r="G399" s="48">
        <v>39371.199999999997</v>
      </c>
      <c r="H399" s="48">
        <v>183229.9</v>
      </c>
      <c r="I399" s="48">
        <v>3656.6</v>
      </c>
      <c r="J399" s="48">
        <v>186886.5</v>
      </c>
      <c r="K399" s="48">
        <v>2212.9</v>
      </c>
      <c r="L399" s="48">
        <v>692.7</v>
      </c>
      <c r="M399" s="48">
        <v>11761.9</v>
      </c>
      <c r="N399" s="48">
        <v>849.6</v>
      </c>
    </row>
    <row r="400" spans="1:14" ht="10.050000000000001" customHeight="1">
      <c r="A400" s="45" t="s">
        <v>83</v>
      </c>
      <c r="B400" s="46">
        <v>2008</v>
      </c>
      <c r="C400" s="45" t="s">
        <v>115</v>
      </c>
      <c r="D400" s="47">
        <v>6</v>
      </c>
      <c r="E400" s="48">
        <v>556.29999999999995</v>
      </c>
      <c r="F400" s="48">
        <v>58.9</v>
      </c>
      <c r="G400" s="48">
        <v>615.20000000000005</v>
      </c>
      <c r="H400" s="48">
        <v>796.7</v>
      </c>
      <c r="I400" s="48">
        <v>261</v>
      </c>
      <c r="J400" s="48">
        <v>1057.7</v>
      </c>
      <c r="K400" s="48">
        <v>2.8</v>
      </c>
      <c r="L400" s="48">
        <v>0</v>
      </c>
      <c r="M400" s="48">
        <v>21.7</v>
      </c>
      <c r="N400" s="48">
        <v>0</v>
      </c>
    </row>
    <row r="401" spans="1:14" ht="10.050000000000001" customHeight="1">
      <c r="A401" s="45" t="s">
        <v>82</v>
      </c>
      <c r="B401" s="46">
        <v>2008</v>
      </c>
      <c r="C401" s="45" t="s">
        <v>115</v>
      </c>
      <c r="D401" s="47">
        <v>6</v>
      </c>
      <c r="E401" s="48">
        <v>1400.6</v>
      </c>
      <c r="F401" s="48">
        <v>462.6</v>
      </c>
      <c r="G401" s="48">
        <v>1863.2</v>
      </c>
      <c r="H401" s="48">
        <v>18057</v>
      </c>
      <c r="I401" s="48">
        <v>2130</v>
      </c>
      <c r="J401" s="48">
        <v>20187</v>
      </c>
      <c r="K401" s="48">
        <v>56</v>
      </c>
      <c r="L401" s="48">
        <v>287.7</v>
      </c>
      <c r="M401" s="48">
        <v>906.6</v>
      </c>
      <c r="N401" s="48">
        <v>39.1</v>
      </c>
    </row>
    <row r="402" spans="1:14" ht="10.050000000000001" customHeight="1">
      <c r="A402" s="45" t="s">
        <v>81</v>
      </c>
      <c r="B402" s="46">
        <v>2008</v>
      </c>
      <c r="C402" s="45" t="s">
        <v>115</v>
      </c>
      <c r="D402" s="47">
        <v>6</v>
      </c>
      <c r="E402" s="48">
        <v>4575.8</v>
      </c>
      <c r="F402" s="48">
        <v>775</v>
      </c>
      <c r="G402" s="48">
        <v>5350.8</v>
      </c>
      <c r="H402" s="48">
        <v>99760.3</v>
      </c>
      <c r="I402" s="48">
        <v>1194</v>
      </c>
      <c r="J402" s="48">
        <v>100954.3</v>
      </c>
      <c r="K402" s="48">
        <v>808.5</v>
      </c>
      <c r="L402" s="48">
        <v>45.8</v>
      </c>
      <c r="M402" s="48">
        <v>1915.8</v>
      </c>
      <c r="N402" s="48">
        <v>1177.7</v>
      </c>
    </row>
    <row r="403" spans="1:14" ht="10.050000000000001" customHeight="1">
      <c r="A403" s="45" t="s">
        <v>80</v>
      </c>
      <c r="B403" s="46">
        <v>2008</v>
      </c>
      <c r="C403" s="45" t="s">
        <v>115</v>
      </c>
      <c r="D403" s="47">
        <v>7</v>
      </c>
      <c r="E403" s="48">
        <v>9573.5</v>
      </c>
      <c r="F403" s="48">
        <v>0</v>
      </c>
      <c r="G403" s="48">
        <v>9573.5</v>
      </c>
      <c r="H403" s="48">
        <v>9573.5</v>
      </c>
      <c r="I403" s="48">
        <v>0</v>
      </c>
      <c r="J403" s="48">
        <v>9573.5</v>
      </c>
      <c r="K403" s="48">
        <v>602.1</v>
      </c>
      <c r="L403" s="48">
        <v>602.1</v>
      </c>
      <c r="M403" s="48">
        <v>0</v>
      </c>
      <c r="N403" s="48">
        <v>0</v>
      </c>
    </row>
    <row r="404" spans="1:14" ht="10.050000000000001" customHeight="1">
      <c r="A404" s="45" t="s">
        <v>81</v>
      </c>
      <c r="B404" s="46">
        <v>2008</v>
      </c>
      <c r="C404" s="45" t="s">
        <v>115</v>
      </c>
      <c r="D404" s="47">
        <v>7</v>
      </c>
      <c r="E404" s="48">
        <v>0</v>
      </c>
      <c r="F404" s="48">
        <v>0</v>
      </c>
      <c r="G404" s="48">
        <v>0</v>
      </c>
      <c r="H404" s="48">
        <v>42.8</v>
      </c>
      <c r="I404" s="48">
        <v>0</v>
      </c>
      <c r="J404" s="48">
        <v>42.8</v>
      </c>
      <c r="K404" s="48">
        <v>0</v>
      </c>
      <c r="L404" s="48">
        <v>0</v>
      </c>
      <c r="M404" s="48">
        <v>0</v>
      </c>
      <c r="N404" s="48">
        <v>0</v>
      </c>
    </row>
    <row r="405" spans="1:14" ht="10.050000000000001" customHeight="1">
      <c r="A405" s="45" t="s">
        <v>80</v>
      </c>
      <c r="B405" s="46">
        <v>2008</v>
      </c>
      <c r="C405" s="45" t="s">
        <v>109</v>
      </c>
      <c r="D405" s="47">
        <v>7</v>
      </c>
      <c r="E405" s="48">
        <v>2620309.6</v>
      </c>
      <c r="F405" s="48">
        <v>12742.8</v>
      </c>
      <c r="G405" s="48">
        <v>2633052.4</v>
      </c>
      <c r="H405" s="48">
        <v>2509559</v>
      </c>
      <c r="I405" s="48">
        <v>12872.4</v>
      </c>
      <c r="J405" s="48">
        <v>2522431.4</v>
      </c>
      <c r="K405" s="48">
        <v>968588.10000000102</v>
      </c>
      <c r="L405" s="48">
        <v>1030714.1</v>
      </c>
      <c r="M405" s="48">
        <v>63074.3</v>
      </c>
      <c r="N405" s="48">
        <v>1245.5999999999999</v>
      </c>
    </row>
    <row r="406" spans="1:14" ht="10.050000000000001" customHeight="1">
      <c r="A406" s="45" t="s">
        <v>83</v>
      </c>
      <c r="B406" s="46">
        <v>2008</v>
      </c>
      <c r="C406" s="45" t="s">
        <v>109</v>
      </c>
      <c r="D406" s="47">
        <v>7</v>
      </c>
      <c r="E406" s="48">
        <v>2729</v>
      </c>
      <c r="F406" s="48">
        <v>0</v>
      </c>
      <c r="G406" s="48">
        <v>2729</v>
      </c>
      <c r="H406" s="48">
        <v>2175.5</v>
      </c>
      <c r="I406" s="48">
        <v>258</v>
      </c>
      <c r="J406" s="48">
        <v>2433.5</v>
      </c>
      <c r="K406" s="48">
        <v>301.89999999999998</v>
      </c>
      <c r="L406" s="48">
        <v>393.6</v>
      </c>
      <c r="M406" s="48">
        <v>94.5</v>
      </c>
      <c r="N406" s="48">
        <v>0</v>
      </c>
    </row>
    <row r="407" spans="1:14" ht="10.050000000000001" customHeight="1">
      <c r="A407" s="45" t="s">
        <v>82</v>
      </c>
      <c r="B407" s="46">
        <v>2008</v>
      </c>
      <c r="C407" s="45" t="s">
        <v>109</v>
      </c>
      <c r="D407" s="47">
        <v>7</v>
      </c>
      <c r="E407" s="48">
        <v>670.6</v>
      </c>
      <c r="F407" s="48">
        <v>0</v>
      </c>
      <c r="G407" s="48">
        <v>670.6</v>
      </c>
      <c r="H407" s="48">
        <v>13293.6</v>
      </c>
      <c r="I407" s="48">
        <v>1873</v>
      </c>
      <c r="J407" s="48">
        <v>15166.6</v>
      </c>
      <c r="K407" s="48">
        <v>24.7</v>
      </c>
      <c r="L407" s="48">
        <v>0</v>
      </c>
      <c r="M407" s="48">
        <v>31.1</v>
      </c>
      <c r="N407" s="48">
        <v>0.2</v>
      </c>
    </row>
    <row r="408" spans="1:14" ht="10.050000000000001" customHeight="1">
      <c r="A408" s="45" t="s">
        <v>81</v>
      </c>
      <c r="B408" s="46">
        <v>2008</v>
      </c>
      <c r="C408" s="45" t="s">
        <v>109</v>
      </c>
      <c r="D408" s="47">
        <v>7</v>
      </c>
      <c r="E408" s="48">
        <v>532.5</v>
      </c>
      <c r="F408" s="48">
        <v>0</v>
      </c>
      <c r="G408" s="48">
        <v>532.5</v>
      </c>
      <c r="H408" s="48">
        <v>45677.8</v>
      </c>
      <c r="I408" s="48">
        <v>1193.4000000000001</v>
      </c>
      <c r="J408" s="48">
        <v>46871.199999999997</v>
      </c>
      <c r="K408" s="48">
        <v>982.2</v>
      </c>
      <c r="L408" s="48">
        <v>256.3</v>
      </c>
      <c r="M408" s="48">
        <v>72.8</v>
      </c>
      <c r="N408" s="48">
        <v>9.8000000000000007</v>
      </c>
    </row>
    <row r="409" spans="1:14" ht="10.050000000000001" customHeight="1">
      <c r="A409" s="45" t="s">
        <v>80</v>
      </c>
      <c r="B409" s="46">
        <v>2008</v>
      </c>
      <c r="C409" s="45" t="s">
        <v>109</v>
      </c>
      <c r="D409" s="47">
        <v>8</v>
      </c>
      <c r="E409" s="48">
        <v>431710.5</v>
      </c>
      <c r="F409" s="48">
        <v>3580.5</v>
      </c>
      <c r="G409" s="48">
        <v>435291</v>
      </c>
      <c r="H409" s="48">
        <v>2625376.6</v>
      </c>
      <c r="I409" s="48">
        <v>11726</v>
      </c>
      <c r="J409" s="48">
        <v>2637102.6</v>
      </c>
      <c r="K409" s="48">
        <v>858984.3</v>
      </c>
      <c r="L409" s="48">
        <v>158858.1</v>
      </c>
      <c r="M409" s="48">
        <v>261654</v>
      </c>
      <c r="N409" s="48">
        <v>7858.8</v>
      </c>
    </row>
    <row r="410" spans="1:14" ht="10.050000000000001" customHeight="1">
      <c r="A410" s="45" t="s">
        <v>83</v>
      </c>
      <c r="B410" s="46">
        <v>2008</v>
      </c>
      <c r="C410" s="45" t="s">
        <v>109</v>
      </c>
      <c r="D410" s="47">
        <v>8</v>
      </c>
      <c r="E410" s="48">
        <v>2064.3000000000002</v>
      </c>
      <c r="F410" s="48">
        <v>0</v>
      </c>
      <c r="G410" s="48">
        <v>2064.3000000000002</v>
      </c>
      <c r="H410" s="48">
        <v>2887.4</v>
      </c>
      <c r="I410" s="48">
        <v>234.1</v>
      </c>
      <c r="J410" s="48">
        <v>3121.5</v>
      </c>
      <c r="K410" s="48">
        <v>311.10000000000002</v>
      </c>
      <c r="L410" s="48">
        <v>190.1</v>
      </c>
      <c r="M410" s="48">
        <v>180.9</v>
      </c>
      <c r="N410" s="48">
        <v>0</v>
      </c>
    </row>
    <row r="411" spans="1:14" ht="10.050000000000001" customHeight="1">
      <c r="A411" s="45" t="s">
        <v>82</v>
      </c>
      <c r="B411" s="46">
        <v>2008</v>
      </c>
      <c r="C411" s="45" t="s">
        <v>109</v>
      </c>
      <c r="D411" s="47">
        <v>8</v>
      </c>
      <c r="E411" s="48">
        <v>735.6</v>
      </c>
      <c r="F411" s="48">
        <v>0</v>
      </c>
      <c r="G411" s="48">
        <v>735.6</v>
      </c>
      <c r="H411" s="48">
        <v>10034.6</v>
      </c>
      <c r="I411" s="48">
        <v>1766.5</v>
      </c>
      <c r="J411" s="48">
        <v>11801.1</v>
      </c>
      <c r="K411" s="48">
        <v>24.7</v>
      </c>
      <c r="L411" s="48">
        <v>0</v>
      </c>
      <c r="M411" s="48">
        <v>0</v>
      </c>
      <c r="N411" s="48">
        <v>0</v>
      </c>
    </row>
    <row r="412" spans="1:14" ht="10.050000000000001" customHeight="1">
      <c r="A412" s="45" t="s">
        <v>81</v>
      </c>
      <c r="B412" s="46">
        <v>2008</v>
      </c>
      <c r="C412" s="45" t="s">
        <v>109</v>
      </c>
      <c r="D412" s="47">
        <v>8</v>
      </c>
      <c r="E412" s="48">
        <v>6119</v>
      </c>
      <c r="F412" s="48">
        <v>23.6</v>
      </c>
      <c r="G412" s="48">
        <v>6142.6</v>
      </c>
      <c r="H412" s="48">
        <v>32864.300000000003</v>
      </c>
      <c r="I412" s="48">
        <v>1251.5999999999999</v>
      </c>
      <c r="J412" s="48">
        <v>34115.9</v>
      </c>
      <c r="K412" s="48">
        <v>2130.5</v>
      </c>
      <c r="L412" s="48">
        <v>1288.7</v>
      </c>
      <c r="M412" s="48">
        <v>67.3</v>
      </c>
      <c r="N412" s="48">
        <v>73.099999999999994</v>
      </c>
    </row>
    <row r="413" spans="1:14" ht="10.050000000000001" customHeight="1">
      <c r="A413" s="45" t="s">
        <v>80</v>
      </c>
      <c r="B413" s="46">
        <v>2008</v>
      </c>
      <c r="C413" s="45" t="s">
        <v>109</v>
      </c>
      <c r="D413" s="47">
        <v>9</v>
      </c>
      <c r="E413" s="48">
        <v>178269.4</v>
      </c>
      <c r="F413" s="48">
        <v>272.3</v>
      </c>
      <c r="G413" s="48">
        <v>178541.7</v>
      </c>
      <c r="H413" s="48">
        <v>2412489.9</v>
      </c>
      <c r="I413" s="48">
        <v>10120.1</v>
      </c>
      <c r="J413" s="48">
        <v>2422610</v>
      </c>
      <c r="K413" s="48">
        <v>736129.5</v>
      </c>
      <c r="L413" s="48">
        <v>15719.1</v>
      </c>
      <c r="M413" s="48">
        <v>132980.6</v>
      </c>
      <c r="N413" s="48">
        <v>5627.8</v>
      </c>
    </row>
    <row r="414" spans="1:14" ht="10.050000000000001" customHeight="1">
      <c r="A414" s="45" t="s">
        <v>83</v>
      </c>
      <c r="B414" s="46">
        <v>2008</v>
      </c>
      <c r="C414" s="45" t="s">
        <v>109</v>
      </c>
      <c r="D414" s="47">
        <v>9</v>
      </c>
      <c r="E414" s="48">
        <v>2044</v>
      </c>
      <c r="F414" s="48">
        <v>160.6</v>
      </c>
      <c r="G414" s="48">
        <v>2204.6</v>
      </c>
      <c r="H414" s="48">
        <v>3200.6</v>
      </c>
      <c r="I414" s="48">
        <v>204.8</v>
      </c>
      <c r="J414" s="48">
        <v>3405.4</v>
      </c>
      <c r="K414" s="48">
        <v>167.5</v>
      </c>
      <c r="L414" s="48">
        <v>35.799999999999997</v>
      </c>
      <c r="M414" s="48">
        <v>179.4</v>
      </c>
      <c r="N414" s="48">
        <v>0</v>
      </c>
    </row>
    <row r="415" spans="1:14" ht="10.050000000000001" customHeight="1">
      <c r="A415" s="45" t="s">
        <v>82</v>
      </c>
      <c r="B415" s="46">
        <v>2008</v>
      </c>
      <c r="C415" s="45" t="s">
        <v>109</v>
      </c>
      <c r="D415" s="47">
        <v>9</v>
      </c>
      <c r="E415" s="48">
        <v>12456.7</v>
      </c>
      <c r="F415" s="48">
        <v>617.70000000000005</v>
      </c>
      <c r="G415" s="48">
        <v>13074.4</v>
      </c>
      <c r="H415" s="48">
        <v>18656</v>
      </c>
      <c r="I415" s="48">
        <v>2319</v>
      </c>
      <c r="J415" s="48">
        <v>20975</v>
      </c>
      <c r="K415" s="48">
        <v>1987</v>
      </c>
      <c r="L415" s="48">
        <v>1991.8</v>
      </c>
      <c r="M415" s="48">
        <v>29.3</v>
      </c>
      <c r="N415" s="48">
        <v>0.2</v>
      </c>
    </row>
    <row r="416" spans="1:14" ht="10.050000000000001" customHeight="1">
      <c r="A416" s="45" t="s">
        <v>81</v>
      </c>
      <c r="B416" s="46">
        <v>2008</v>
      </c>
      <c r="C416" s="45" t="s">
        <v>109</v>
      </c>
      <c r="D416" s="47">
        <v>9</v>
      </c>
      <c r="E416" s="48">
        <v>583744.5</v>
      </c>
      <c r="F416" s="48">
        <v>2816</v>
      </c>
      <c r="G416" s="48">
        <v>586560.5</v>
      </c>
      <c r="H416" s="48">
        <v>521782.9</v>
      </c>
      <c r="I416" s="48">
        <v>3581.3</v>
      </c>
      <c r="J416" s="48">
        <v>525364.19999999995</v>
      </c>
      <c r="K416" s="48">
        <v>175443.20000000001</v>
      </c>
      <c r="L416" s="48">
        <v>175740.79999999999</v>
      </c>
      <c r="M416" s="48">
        <v>2278.6999999999998</v>
      </c>
      <c r="N416" s="48">
        <v>149.4</v>
      </c>
    </row>
    <row r="417" spans="1:14" ht="10.050000000000001" customHeight="1">
      <c r="A417" s="45" t="s">
        <v>80</v>
      </c>
      <c r="B417" s="46">
        <v>2008</v>
      </c>
      <c r="C417" s="45" t="s">
        <v>109</v>
      </c>
      <c r="D417" s="47">
        <v>10</v>
      </c>
      <c r="E417" s="48">
        <v>112647.3</v>
      </c>
      <c r="F417" s="48">
        <v>0</v>
      </c>
      <c r="G417" s="48">
        <v>112647.3</v>
      </c>
      <c r="H417" s="48">
        <v>2124799.4</v>
      </c>
      <c r="I417" s="48">
        <v>10119.700000000001</v>
      </c>
      <c r="J417" s="48">
        <v>2134919.1</v>
      </c>
      <c r="K417" s="48">
        <v>668409.59999999998</v>
      </c>
      <c r="L417" s="48">
        <v>11049.2</v>
      </c>
      <c r="M417" s="48">
        <v>75477.7</v>
      </c>
      <c r="N417" s="48">
        <v>3291.4</v>
      </c>
    </row>
    <row r="418" spans="1:14" ht="10.050000000000001" customHeight="1">
      <c r="A418" s="45" t="s">
        <v>83</v>
      </c>
      <c r="B418" s="46">
        <v>2008</v>
      </c>
      <c r="C418" s="45" t="s">
        <v>109</v>
      </c>
      <c r="D418" s="47">
        <v>10</v>
      </c>
      <c r="E418" s="48">
        <v>1029.3</v>
      </c>
      <c r="F418" s="48">
        <v>0</v>
      </c>
      <c r="G418" s="48">
        <v>1029.3</v>
      </c>
      <c r="H418" s="48">
        <v>3022.2</v>
      </c>
      <c r="I418" s="48">
        <v>199.3</v>
      </c>
      <c r="J418" s="48">
        <v>3221.5</v>
      </c>
      <c r="K418" s="48">
        <v>82.9</v>
      </c>
      <c r="L418" s="48">
        <v>0</v>
      </c>
      <c r="M418" s="48">
        <v>84.6</v>
      </c>
      <c r="N418" s="48">
        <v>0</v>
      </c>
    </row>
    <row r="419" spans="1:14" ht="10.050000000000001" customHeight="1">
      <c r="A419" s="45" t="s">
        <v>82</v>
      </c>
      <c r="B419" s="46">
        <v>2008</v>
      </c>
      <c r="C419" s="45" t="s">
        <v>109</v>
      </c>
      <c r="D419" s="47">
        <v>10</v>
      </c>
      <c r="E419" s="48">
        <v>19885.599999999999</v>
      </c>
      <c r="F419" s="48">
        <v>820.4</v>
      </c>
      <c r="G419" s="48">
        <v>20706</v>
      </c>
      <c r="H419" s="48">
        <v>35715.9</v>
      </c>
      <c r="I419" s="48">
        <v>3096.1</v>
      </c>
      <c r="J419" s="48">
        <v>38812</v>
      </c>
      <c r="K419" s="48">
        <v>4307.3</v>
      </c>
      <c r="L419" s="48">
        <v>2662.2</v>
      </c>
      <c r="M419" s="48">
        <v>197.9</v>
      </c>
      <c r="N419" s="48">
        <v>162.69999999999999</v>
      </c>
    </row>
    <row r="420" spans="1:14" ht="10.050000000000001" customHeight="1">
      <c r="A420" s="45" t="s">
        <v>81</v>
      </c>
      <c r="B420" s="46">
        <v>2008</v>
      </c>
      <c r="C420" s="45" t="s">
        <v>109</v>
      </c>
      <c r="D420" s="47">
        <v>10</v>
      </c>
      <c r="E420" s="48">
        <v>462748.4</v>
      </c>
      <c r="F420" s="48">
        <v>803.7</v>
      </c>
      <c r="G420" s="48">
        <v>463552.1</v>
      </c>
      <c r="H420" s="48">
        <v>802229.2</v>
      </c>
      <c r="I420" s="48">
        <v>4077.8</v>
      </c>
      <c r="J420" s="48">
        <v>806307</v>
      </c>
      <c r="K420" s="48">
        <v>246007.6</v>
      </c>
      <c r="L420" s="48">
        <v>105948.4</v>
      </c>
      <c r="M420" s="48">
        <v>33823.300000000003</v>
      </c>
      <c r="N420" s="48">
        <v>1570.3</v>
      </c>
    </row>
    <row r="421" spans="1:14" ht="10.050000000000001" customHeight="1">
      <c r="A421" s="45" t="s">
        <v>80</v>
      </c>
      <c r="B421" s="46">
        <v>2008</v>
      </c>
      <c r="C421" s="45" t="s">
        <v>109</v>
      </c>
      <c r="D421" s="47">
        <v>11</v>
      </c>
      <c r="E421" s="48">
        <v>157482.4</v>
      </c>
      <c r="F421" s="48">
        <v>689.5</v>
      </c>
      <c r="G421" s="48">
        <v>158171.9</v>
      </c>
      <c r="H421" s="48">
        <v>1991606.7</v>
      </c>
      <c r="I421" s="48">
        <v>10219.200000000001</v>
      </c>
      <c r="J421" s="48">
        <v>2001825.9</v>
      </c>
      <c r="K421" s="48">
        <v>578573.9</v>
      </c>
      <c r="L421" s="48">
        <v>13272.5</v>
      </c>
      <c r="M421" s="48">
        <v>100175</v>
      </c>
      <c r="N421" s="48">
        <v>2791.3</v>
      </c>
    </row>
    <row r="422" spans="1:14" ht="10.050000000000001" customHeight="1">
      <c r="A422" s="45" t="s">
        <v>83</v>
      </c>
      <c r="B422" s="46">
        <v>2008</v>
      </c>
      <c r="C422" s="45" t="s">
        <v>109</v>
      </c>
      <c r="D422" s="47">
        <v>11</v>
      </c>
      <c r="E422" s="48">
        <v>458.9</v>
      </c>
      <c r="F422" s="48">
        <v>22.8</v>
      </c>
      <c r="G422" s="48">
        <v>481.7</v>
      </c>
      <c r="H422" s="48">
        <v>2857.9</v>
      </c>
      <c r="I422" s="48">
        <v>208.3</v>
      </c>
      <c r="J422" s="48">
        <v>3066.2</v>
      </c>
      <c r="K422" s="48">
        <v>37.700000000000003</v>
      </c>
      <c r="L422" s="48">
        <v>0</v>
      </c>
      <c r="M422" s="48">
        <v>45.2</v>
      </c>
      <c r="N422" s="48">
        <v>0</v>
      </c>
    </row>
    <row r="423" spans="1:14" ht="10.050000000000001" customHeight="1">
      <c r="A423" s="45" t="s">
        <v>82</v>
      </c>
      <c r="B423" s="46">
        <v>2008</v>
      </c>
      <c r="C423" s="45" t="s">
        <v>109</v>
      </c>
      <c r="D423" s="47">
        <v>11</v>
      </c>
      <c r="E423" s="48">
        <v>4947</v>
      </c>
      <c r="F423" s="48">
        <v>363.1</v>
      </c>
      <c r="G423" s="48">
        <v>5310.1</v>
      </c>
      <c r="H423" s="48">
        <v>36298</v>
      </c>
      <c r="I423" s="48">
        <v>3269.6</v>
      </c>
      <c r="J423" s="48">
        <v>39567.599999999999</v>
      </c>
      <c r="K423" s="48">
        <v>2680.8</v>
      </c>
      <c r="L423" s="48">
        <v>130.30000000000001</v>
      </c>
      <c r="M423" s="48">
        <v>1338.1</v>
      </c>
      <c r="N423" s="48">
        <v>400</v>
      </c>
    </row>
    <row r="424" spans="1:14" ht="10.050000000000001" customHeight="1">
      <c r="A424" s="45" t="s">
        <v>81</v>
      </c>
      <c r="B424" s="46">
        <v>2008</v>
      </c>
      <c r="C424" s="45" t="s">
        <v>109</v>
      </c>
      <c r="D424" s="47">
        <v>11</v>
      </c>
      <c r="E424" s="48">
        <v>55558.8</v>
      </c>
      <c r="F424" s="48">
        <v>128.80000000000001</v>
      </c>
      <c r="G424" s="48">
        <v>55687.6</v>
      </c>
      <c r="H424" s="48">
        <v>768595.1</v>
      </c>
      <c r="I424" s="48">
        <v>3420.1</v>
      </c>
      <c r="J424" s="48">
        <v>772015.2</v>
      </c>
      <c r="K424" s="48">
        <v>221360.6</v>
      </c>
      <c r="L424" s="48">
        <v>6548.3</v>
      </c>
      <c r="M424" s="48">
        <v>30424.7</v>
      </c>
      <c r="N424" s="48">
        <v>761</v>
      </c>
    </row>
    <row r="425" spans="1:14" ht="10.050000000000001" customHeight="1">
      <c r="A425" s="45" t="s">
        <v>80</v>
      </c>
      <c r="B425" s="46">
        <v>2008</v>
      </c>
      <c r="C425" s="45" t="s">
        <v>109</v>
      </c>
      <c r="D425" s="47">
        <v>12</v>
      </c>
      <c r="E425" s="48">
        <v>82147.100000000006</v>
      </c>
      <c r="F425" s="48">
        <v>61.3</v>
      </c>
      <c r="G425" s="48">
        <v>82208.399999999994</v>
      </c>
      <c r="H425" s="48">
        <v>1719395.9</v>
      </c>
      <c r="I425" s="48">
        <v>8475.2999999999993</v>
      </c>
      <c r="J425" s="48">
        <v>1727871.2</v>
      </c>
      <c r="K425" s="48">
        <v>547621.69999999995</v>
      </c>
      <c r="L425" s="48">
        <v>12424.9</v>
      </c>
      <c r="M425" s="48">
        <v>41894.9</v>
      </c>
      <c r="N425" s="48">
        <v>1441.6</v>
      </c>
    </row>
    <row r="426" spans="1:14" ht="10.050000000000001" customHeight="1">
      <c r="A426" s="45" t="s">
        <v>83</v>
      </c>
      <c r="B426" s="46">
        <v>2008</v>
      </c>
      <c r="C426" s="45" t="s">
        <v>109</v>
      </c>
      <c r="D426" s="47">
        <v>12</v>
      </c>
      <c r="E426" s="48">
        <v>395.3</v>
      </c>
      <c r="F426" s="48">
        <v>0</v>
      </c>
      <c r="G426" s="48">
        <v>395.3</v>
      </c>
      <c r="H426" s="48">
        <v>2533.6999999999998</v>
      </c>
      <c r="I426" s="48">
        <v>204.8</v>
      </c>
      <c r="J426" s="48">
        <v>2738.5</v>
      </c>
      <c r="K426" s="48">
        <v>13.1</v>
      </c>
      <c r="L426" s="48">
        <v>0</v>
      </c>
      <c r="M426" s="48">
        <v>24.6</v>
      </c>
      <c r="N426" s="48">
        <v>0</v>
      </c>
    </row>
    <row r="427" spans="1:14" ht="10.050000000000001" customHeight="1">
      <c r="A427" s="45" t="s">
        <v>82</v>
      </c>
      <c r="B427" s="46">
        <v>2008</v>
      </c>
      <c r="C427" s="45" t="s">
        <v>109</v>
      </c>
      <c r="D427" s="47">
        <v>12</v>
      </c>
      <c r="E427" s="48">
        <v>2746.1</v>
      </c>
      <c r="F427" s="48">
        <v>0</v>
      </c>
      <c r="G427" s="48">
        <v>2746.1</v>
      </c>
      <c r="H427" s="48">
        <v>36283.5</v>
      </c>
      <c r="I427" s="48">
        <v>3229.9</v>
      </c>
      <c r="J427" s="48">
        <v>39513.4</v>
      </c>
      <c r="K427" s="48">
        <v>2347</v>
      </c>
      <c r="L427" s="48">
        <v>527.79999999999995</v>
      </c>
      <c r="M427" s="48">
        <v>742</v>
      </c>
      <c r="N427" s="48">
        <v>119.6</v>
      </c>
    </row>
    <row r="428" spans="1:14" ht="10.050000000000001" customHeight="1">
      <c r="A428" s="45" t="s">
        <v>81</v>
      </c>
      <c r="B428" s="46">
        <v>2008</v>
      </c>
      <c r="C428" s="45" t="s">
        <v>109</v>
      </c>
      <c r="D428" s="47">
        <v>12</v>
      </c>
      <c r="E428" s="48">
        <v>21360.5</v>
      </c>
      <c r="F428" s="48">
        <v>0.7</v>
      </c>
      <c r="G428" s="48">
        <v>21361.200000000001</v>
      </c>
      <c r="H428" s="48">
        <v>692010.8</v>
      </c>
      <c r="I428" s="48">
        <v>3015.5</v>
      </c>
      <c r="J428" s="48">
        <v>695026.3</v>
      </c>
      <c r="K428" s="48">
        <v>212344.6</v>
      </c>
      <c r="L428" s="48">
        <v>2076</v>
      </c>
      <c r="M428" s="48">
        <v>9945.1</v>
      </c>
      <c r="N428" s="48">
        <v>1146.9000000000001</v>
      </c>
    </row>
    <row r="429" spans="1:14" ht="10.050000000000001" customHeight="1">
      <c r="A429" s="45" t="s">
        <v>80</v>
      </c>
      <c r="B429" s="46">
        <v>2009</v>
      </c>
      <c r="C429" s="45" t="s">
        <v>109</v>
      </c>
      <c r="D429" s="47">
        <v>1</v>
      </c>
      <c r="E429" s="48">
        <v>101328.6</v>
      </c>
      <c r="F429" s="48">
        <v>0</v>
      </c>
      <c r="G429" s="48">
        <v>101328.6</v>
      </c>
      <c r="H429" s="48">
        <v>1416999.4</v>
      </c>
      <c r="I429" s="48">
        <v>7907.3</v>
      </c>
      <c r="J429" s="48">
        <v>1424906.7</v>
      </c>
      <c r="K429" s="48">
        <v>485129.2</v>
      </c>
      <c r="L429" s="48">
        <v>8796.4</v>
      </c>
      <c r="M429" s="48">
        <v>68243.8</v>
      </c>
      <c r="N429" s="48">
        <v>2536.6</v>
      </c>
    </row>
    <row r="430" spans="1:14" ht="10.050000000000001" customHeight="1">
      <c r="A430" s="45" t="s">
        <v>83</v>
      </c>
      <c r="B430" s="46">
        <v>2009</v>
      </c>
      <c r="C430" s="45" t="s">
        <v>109</v>
      </c>
      <c r="D430" s="47">
        <v>1</v>
      </c>
      <c r="E430" s="48">
        <v>259.60000000000002</v>
      </c>
      <c r="F430" s="48">
        <v>0</v>
      </c>
      <c r="G430" s="48">
        <v>259.60000000000002</v>
      </c>
      <c r="H430" s="48">
        <v>2525</v>
      </c>
      <c r="I430" s="48">
        <v>204.8</v>
      </c>
      <c r="J430" s="48">
        <v>2729.8</v>
      </c>
      <c r="K430" s="48">
        <v>6.7</v>
      </c>
      <c r="L430" s="48">
        <v>0</v>
      </c>
      <c r="M430" s="48">
        <v>6.4</v>
      </c>
      <c r="N430" s="48">
        <v>0</v>
      </c>
    </row>
    <row r="431" spans="1:14" ht="10.050000000000001" customHeight="1">
      <c r="A431" s="45" t="s">
        <v>82</v>
      </c>
      <c r="B431" s="46">
        <v>2009</v>
      </c>
      <c r="C431" s="45" t="s">
        <v>109</v>
      </c>
      <c r="D431" s="47">
        <v>1</v>
      </c>
      <c r="E431" s="48">
        <v>1684.6</v>
      </c>
      <c r="F431" s="48">
        <v>28.2</v>
      </c>
      <c r="G431" s="48">
        <v>1712.8</v>
      </c>
      <c r="H431" s="48">
        <v>33647.5</v>
      </c>
      <c r="I431" s="48">
        <v>3234.7</v>
      </c>
      <c r="J431" s="48">
        <v>36882.199999999997</v>
      </c>
      <c r="K431" s="48">
        <v>1952</v>
      </c>
      <c r="L431" s="48">
        <v>495.5</v>
      </c>
      <c r="M431" s="48">
        <v>763.4</v>
      </c>
      <c r="N431" s="48">
        <v>127.3</v>
      </c>
    </row>
    <row r="432" spans="1:14" ht="10.050000000000001" customHeight="1">
      <c r="A432" s="45" t="s">
        <v>81</v>
      </c>
      <c r="B432" s="46">
        <v>2009</v>
      </c>
      <c r="C432" s="45" t="s">
        <v>109</v>
      </c>
      <c r="D432" s="47">
        <v>1</v>
      </c>
      <c r="E432" s="48">
        <v>22330.400000000001</v>
      </c>
      <c r="F432" s="48">
        <v>415.3</v>
      </c>
      <c r="G432" s="48">
        <v>22745.7</v>
      </c>
      <c r="H432" s="48">
        <v>578227.9</v>
      </c>
      <c r="I432" s="48">
        <v>2728.4</v>
      </c>
      <c r="J432" s="48">
        <v>580956.30000000005</v>
      </c>
      <c r="K432" s="48">
        <v>195211.9</v>
      </c>
      <c r="L432" s="48">
        <v>4861.8999999999996</v>
      </c>
      <c r="M432" s="48">
        <v>17076.3</v>
      </c>
      <c r="N432" s="48">
        <v>3964.3</v>
      </c>
    </row>
    <row r="433" spans="1:14" ht="10.050000000000001" customHeight="1">
      <c r="A433" s="45" t="s">
        <v>80</v>
      </c>
      <c r="B433" s="46">
        <v>2009</v>
      </c>
      <c r="C433" s="45" t="s">
        <v>109</v>
      </c>
      <c r="D433" s="47">
        <v>2</v>
      </c>
      <c r="E433" s="48">
        <v>106580.9</v>
      </c>
      <c r="F433" s="48">
        <v>1965.2</v>
      </c>
      <c r="G433" s="48">
        <v>108546.1</v>
      </c>
      <c r="H433" s="48">
        <v>1121869.1000000001</v>
      </c>
      <c r="I433" s="48">
        <v>9850.7000000000007</v>
      </c>
      <c r="J433" s="48">
        <v>1131719.8</v>
      </c>
      <c r="K433" s="48">
        <v>419784.3</v>
      </c>
      <c r="L433" s="48">
        <v>10689.6</v>
      </c>
      <c r="M433" s="48">
        <v>69081.5</v>
      </c>
      <c r="N433" s="48">
        <v>3311.8</v>
      </c>
    </row>
    <row r="434" spans="1:14" ht="10.050000000000001" customHeight="1">
      <c r="A434" s="45" t="s">
        <v>83</v>
      </c>
      <c r="B434" s="46">
        <v>2009</v>
      </c>
      <c r="C434" s="45" t="s">
        <v>109</v>
      </c>
      <c r="D434" s="47">
        <v>2</v>
      </c>
      <c r="E434" s="48">
        <v>288.60000000000002</v>
      </c>
      <c r="F434" s="48">
        <v>0</v>
      </c>
      <c r="G434" s="48">
        <v>288.60000000000002</v>
      </c>
      <c r="H434" s="48">
        <v>2215.9</v>
      </c>
      <c r="I434" s="48">
        <v>416.8</v>
      </c>
      <c r="J434" s="48">
        <v>2632.7</v>
      </c>
      <c r="K434" s="48">
        <v>6.7</v>
      </c>
      <c r="L434" s="48">
        <v>0</v>
      </c>
      <c r="M434" s="48">
        <v>0</v>
      </c>
      <c r="N434" s="48">
        <v>0</v>
      </c>
    </row>
    <row r="435" spans="1:14" ht="10.050000000000001" customHeight="1">
      <c r="A435" s="45" t="s">
        <v>82</v>
      </c>
      <c r="B435" s="46">
        <v>2009</v>
      </c>
      <c r="C435" s="45" t="s">
        <v>109</v>
      </c>
      <c r="D435" s="47">
        <v>2</v>
      </c>
      <c r="E435" s="48">
        <v>1525.6</v>
      </c>
      <c r="F435" s="48">
        <v>15</v>
      </c>
      <c r="G435" s="48">
        <v>1540.6</v>
      </c>
      <c r="H435" s="48">
        <v>30477.200000000001</v>
      </c>
      <c r="I435" s="48">
        <v>3216.2</v>
      </c>
      <c r="J435" s="48">
        <v>33693.4</v>
      </c>
      <c r="K435" s="48">
        <v>1385.6</v>
      </c>
      <c r="L435" s="48">
        <v>378.5</v>
      </c>
      <c r="M435" s="48">
        <v>913.1</v>
      </c>
      <c r="N435" s="48">
        <v>43.5</v>
      </c>
    </row>
    <row r="436" spans="1:14" ht="10.050000000000001" customHeight="1">
      <c r="A436" s="45" t="s">
        <v>81</v>
      </c>
      <c r="B436" s="46">
        <v>2009</v>
      </c>
      <c r="C436" s="45" t="s">
        <v>109</v>
      </c>
      <c r="D436" s="47">
        <v>2</v>
      </c>
      <c r="E436" s="48">
        <v>42476.800000000003</v>
      </c>
      <c r="F436" s="48">
        <v>749.8</v>
      </c>
      <c r="G436" s="48">
        <v>43226.6</v>
      </c>
      <c r="H436" s="48">
        <v>517086.5</v>
      </c>
      <c r="I436" s="48">
        <v>2372.3000000000002</v>
      </c>
      <c r="J436" s="48">
        <v>519458.8</v>
      </c>
      <c r="K436" s="48">
        <v>155072.5</v>
      </c>
      <c r="L436" s="48">
        <v>4893.6000000000004</v>
      </c>
      <c r="M436" s="48">
        <v>37233.699999999997</v>
      </c>
      <c r="N436" s="48">
        <v>2070.4</v>
      </c>
    </row>
    <row r="437" spans="1:14" ht="10.050000000000001" customHeight="1">
      <c r="A437" s="45" t="s">
        <v>80</v>
      </c>
      <c r="B437" s="46">
        <v>2009</v>
      </c>
      <c r="C437" s="45" t="s">
        <v>109</v>
      </c>
      <c r="D437" s="47">
        <v>3</v>
      </c>
      <c r="E437" s="48">
        <v>119073.1</v>
      </c>
      <c r="F437" s="48">
        <v>153.4</v>
      </c>
      <c r="G437" s="48">
        <v>119226.5</v>
      </c>
      <c r="H437" s="48">
        <v>880582</v>
      </c>
      <c r="I437" s="48">
        <v>10002.4</v>
      </c>
      <c r="J437" s="48">
        <v>890584.4</v>
      </c>
      <c r="K437" s="48">
        <v>346335</v>
      </c>
      <c r="L437" s="48">
        <v>8136.6</v>
      </c>
      <c r="M437" s="48">
        <v>81428.600000000006</v>
      </c>
      <c r="N437" s="48">
        <v>2615.6999999999998</v>
      </c>
    </row>
    <row r="438" spans="1:14" ht="10.050000000000001" customHeight="1">
      <c r="A438" s="45" t="s">
        <v>83</v>
      </c>
      <c r="B438" s="46">
        <v>2009</v>
      </c>
      <c r="C438" s="45" t="s">
        <v>109</v>
      </c>
      <c r="D438" s="47">
        <v>3</v>
      </c>
      <c r="E438" s="48">
        <v>182</v>
      </c>
      <c r="F438" s="48">
        <v>291.3</v>
      </c>
      <c r="G438" s="48">
        <v>473.3</v>
      </c>
      <c r="H438" s="48">
        <v>2093.9</v>
      </c>
      <c r="I438" s="48">
        <v>398.5</v>
      </c>
      <c r="J438" s="48">
        <v>2492.4</v>
      </c>
      <c r="K438" s="48">
        <v>6.7</v>
      </c>
      <c r="L438" s="48">
        <v>0</v>
      </c>
      <c r="M438" s="48">
        <v>0</v>
      </c>
      <c r="N438" s="48">
        <v>0</v>
      </c>
    </row>
    <row r="439" spans="1:14" ht="10.050000000000001" customHeight="1">
      <c r="A439" s="45" t="s">
        <v>82</v>
      </c>
      <c r="B439" s="46">
        <v>2009</v>
      </c>
      <c r="C439" s="45" t="s">
        <v>109</v>
      </c>
      <c r="D439" s="47">
        <v>3</v>
      </c>
      <c r="E439" s="48">
        <v>1542.3</v>
      </c>
      <c r="F439" s="48">
        <v>186.3</v>
      </c>
      <c r="G439" s="48">
        <v>1728.6</v>
      </c>
      <c r="H439" s="48">
        <v>28078.2</v>
      </c>
      <c r="I439" s="48">
        <v>2584.4</v>
      </c>
      <c r="J439" s="48">
        <v>30662.6</v>
      </c>
      <c r="K439" s="48">
        <v>1057.3</v>
      </c>
      <c r="L439" s="48">
        <v>501.3</v>
      </c>
      <c r="M439" s="48">
        <v>827.8</v>
      </c>
      <c r="N439" s="48">
        <v>1.6</v>
      </c>
    </row>
    <row r="440" spans="1:14" ht="10.050000000000001" customHeight="1">
      <c r="A440" s="45" t="s">
        <v>81</v>
      </c>
      <c r="B440" s="46">
        <v>2009</v>
      </c>
      <c r="C440" s="45" t="s">
        <v>109</v>
      </c>
      <c r="D440" s="47">
        <v>3</v>
      </c>
      <c r="E440" s="48">
        <v>33116.400000000001</v>
      </c>
      <c r="F440" s="48">
        <v>596.70000000000005</v>
      </c>
      <c r="G440" s="48">
        <v>33713.1</v>
      </c>
      <c r="H440" s="48">
        <v>442103.9</v>
      </c>
      <c r="I440" s="48">
        <v>2791.5</v>
      </c>
      <c r="J440" s="48">
        <v>444895.4</v>
      </c>
      <c r="K440" s="48">
        <v>132059.1</v>
      </c>
      <c r="L440" s="48">
        <v>768.6</v>
      </c>
      <c r="M440" s="48">
        <v>26355.7</v>
      </c>
      <c r="N440" s="48">
        <v>554.6</v>
      </c>
    </row>
    <row r="441" spans="1:14" ht="10.050000000000001" customHeight="1">
      <c r="A441" s="45" t="s">
        <v>80</v>
      </c>
      <c r="B441" s="46">
        <v>2009</v>
      </c>
      <c r="C441" s="45" t="s">
        <v>109</v>
      </c>
      <c r="D441" s="47">
        <v>4</v>
      </c>
      <c r="E441" s="48">
        <v>222273.1</v>
      </c>
      <c r="F441" s="48">
        <v>33.1</v>
      </c>
      <c r="G441" s="48">
        <v>222306.2</v>
      </c>
      <c r="H441" s="48">
        <v>656589.9</v>
      </c>
      <c r="I441" s="48">
        <v>10011.5</v>
      </c>
      <c r="J441" s="48">
        <v>666601.4</v>
      </c>
      <c r="K441" s="48">
        <v>187277.1</v>
      </c>
      <c r="L441" s="48">
        <v>7764.4</v>
      </c>
      <c r="M441" s="48">
        <v>161147.79999999999</v>
      </c>
      <c r="N441" s="48">
        <v>5633.4</v>
      </c>
    </row>
    <row r="442" spans="1:14" ht="10.050000000000001" customHeight="1">
      <c r="A442" s="45" t="s">
        <v>83</v>
      </c>
      <c r="B442" s="46">
        <v>2009</v>
      </c>
      <c r="C442" s="45" t="s">
        <v>109</v>
      </c>
      <c r="D442" s="47">
        <v>4</v>
      </c>
      <c r="E442" s="48">
        <v>217.7</v>
      </c>
      <c r="F442" s="48">
        <v>0</v>
      </c>
      <c r="G442" s="48">
        <v>217.7</v>
      </c>
      <c r="H442" s="48">
        <v>1768</v>
      </c>
      <c r="I442" s="48">
        <v>360.6</v>
      </c>
      <c r="J442" s="48">
        <v>2128.6</v>
      </c>
      <c r="K442" s="48">
        <v>6.7</v>
      </c>
      <c r="L442" s="48">
        <v>0</v>
      </c>
      <c r="M442" s="48">
        <v>0</v>
      </c>
      <c r="N442" s="48">
        <v>0</v>
      </c>
    </row>
    <row r="443" spans="1:14" ht="10.050000000000001" customHeight="1">
      <c r="A443" s="45" t="s">
        <v>82</v>
      </c>
      <c r="B443" s="46">
        <v>2009</v>
      </c>
      <c r="C443" s="45" t="s">
        <v>109</v>
      </c>
      <c r="D443" s="47">
        <v>4</v>
      </c>
      <c r="E443" s="48">
        <v>1292.7</v>
      </c>
      <c r="F443" s="48">
        <v>0</v>
      </c>
      <c r="G443" s="48">
        <v>1292.7</v>
      </c>
      <c r="H443" s="48">
        <v>25354.6</v>
      </c>
      <c r="I443" s="48">
        <v>2137.4</v>
      </c>
      <c r="J443" s="48">
        <v>27492</v>
      </c>
      <c r="K443" s="48">
        <v>719.6</v>
      </c>
      <c r="L443" s="48">
        <v>328.3</v>
      </c>
      <c r="M443" s="48">
        <v>664</v>
      </c>
      <c r="N443" s="48">
        <v>2</v>
      </c>
    </row>
    <row r="444" spans="1:14" ht="10.050000000000001" customHeight="1">
      <c r="A444" s="45" t="s">
        <v>81</v>
      </c>
      <c r="B444" s="46">
        <v>2009</v>
      </c>
      <c r="C444" s="45" t="s">
        <v>109</v>
      </c>
      <c r="D444" s="47">
        <v>4</v>
      </c>
      <c r="E444" s="48">
        <v>68326.399999999994</v>
      </c>
      <c r="F444" s="48">
        <v>-15.6</v>
      </c>
      <c r="G444" s="48">
        <v>68310.8</v>
      </c>
      <c r="H444" s="48">
        <v>387882.5</v>
      </c>
      <c r="I444" s="48">
        <v>2807.5</v>
      </c>
      <c r="J444" s="48">
        <v>390690</v>
      </c>
      <c r="K444" s="48">
        <v>75380.399999999994</v>
      </c>
      <c r="L444" s="48">
        <v>618.5</v>
      </c>
      <c r="M444" s="48">
        <v>56405.9</v>
      </c>
      <c r="N444" s="48">
        <v>891.3</v>
      </c>
    </row>
    <row r="445" spans="1:14" ht="10.050000000000001" customHeight="1">
      <c r="A445" s="45" t="s">
        <v>80</v>
      </c>
      <c r="B445" s="46">
        <v>2009</v>
      </c>
      <c r="C445" s="45" t="s">
        <v>109</v>
      </c>
      <c r="D445" s="47">
        <v>5</v>
      </c>
      <c r="E445" s="48">
        <v>220262.7</v>
      </c>
      <c r="F445" s="48">
        <v>0</v>
      </c>
      <c r="G445" s="48">
        <v>220262.7</v>
      </c>
      <c r="H445" s="48">
        <v>483886.6</v>
      </c>
      <c r="I445" s="48">
        <v>9865.6</v>
      </c>
      <c r="J445" s="48">
        <v>493752.2</v>
      </c>
      <c r="K445" s="48">
        <v>55830.3</v>
      </c>
      <c r="L445" s="48">
        <v>9129.4</v>
      </c>
      <c r="M445" s="48">
        <v>134825.29999999999</v>
      </c>
      <c r="N445" s="48">
        <v>5750.9</v>
      </c>
    </row>
    <row r="446" spans="1:14" ht="10.050000000000001" customHeight="1">
      <c r="A446" s="45" t="s">
        <v>83</v>
      </c>
      <c r="B446" s="46">
        <v>2009</v>
      </c>
      <c r="C446" s="45" t="s">
        <v>109</v>
      </c>
      <c r="D446" s="47">
        <v>5</v>
      </c>
      <c r="E446" s="48">
        <v>294.3</v>
      </c>
      <c r="F446" s="48">
        <v>260.7</v>
      </c>
      <c r="G446" s="48">
        <v>555</v>
      </c>
      <c r="H446" s="48">
        <v>1539.7</v>
      </c>
      <c r="I446" s="48">
        <v>620.20000000000005</v>
      </c>
      <c r="J446" s="48">
        <v>2159.9</v>
      </c>
      <c r="K446" s="48">
        <v>2.8</v>
      </c>
      <c r="L446" s="48">
        <v>0</v>
      </c>
      <c r="M446" s="48">
        <v>3.9</v>
      </c>
      <c r="N446" s="48">
        <v>0</v>
      </c>
    </row>
    <row r="447" spans="1:14" ht="10.050000000000001" customHeight="1">
      <c r="A447" s="45" t="s">
        <v>82</v>
      </c>
      <c r="B447" s="46">
        <v>2009</v>
      </c>
      <c r="C447" s="45" t="s">
        <v>109</v>
      </c>
      <c r="D447" s="47">
        <v>5</v>
      </c>
      <c r="E447" s="48">
        <v>552.1</v>
      </c>
      <c r="F447" s="48">
        <v>0</v>
      </c>
      <c r="G447" s="48">
        <v>552.1</v>
      </c>
      <c r="H447" s="48">
        <v>21070.7</v>
      </c>
      <c r="I447" s="48">
        <v>1913.1</v>
      </c>
      <c r="J447" s="48">
        <v>22983.8</v>
      </c>
      <c r="K447" s="48">
        <v>609.79999999999995</v>
      </c>
      <c r="L447" s="48">
        <v>199.8</v>
      </c>
      <c r="M447" s="48">
        <v>117.8</v>
      </c>
      <c r="N447" s="48">
        <v>191.8</v>
      </c>
    </row>
    <row r="448" spans="1:14" ht="10.050000000000001" customHeight="1">
      <c r="A448" s="45" t="s">
        <v>81</v>
      </c>
      <c r="B448" s="46">
        <v>2009</v>
      </c>
      <c r="C448" s="45" t="s">
        <v>109</v>
      </c>
      <c r="D448" s="47">
        <v>5</v>
      </c>
      <c r="E448" s="48">
        <v>60572.1</v>
      </c>
      <c r="F448" s="48">
        <v>3.5</v>
      </c>
      <c r="G448" s="48">
        <v>60575.6</v>
      </c>
      <c r="H448" s="48">
        <v>318047.8</v>
      </c>
      <c r="I448" s="48">
        <v>2670.8</v>
      </c>
      <c r="J448" s="48">
        <v>320718.59999999998</v>
      </c>
      <c r="K448" s="48">
        <v>30431.1</v>
      </c>
      <c r="L448" s="48">
        <v>213.4</v>
      </c>
      <c r="M448" s="48">
        <v>42097.5</v>
      </c>
      <c r="N448" s="48">
        <v>3065.5</v>
      </c>
    </row>
    <row r="449" spans="1:14" ht="10.050000000000001" customHeight="1">
      <c r="A449" s="45" t="s">
        <v>80</v>
      </c>
      <c r="B449" s="46">
        <v>2009</v>
      </c>
      <c r="C449" s="45" t="s">
        <v>109</v>
      </c>
      <c r="D449" s="47">
        <v>6</v>
      </c>
      <c r="E449" s="48">
        <v>111000</v>
      </c>
      <c r="F449" s="48">
        <v>4532.7</v>
      </c>
      <c r="G449" s="48">
        <v>115532.7</v>
      </c>
      <c r="H449" s="48">
        <v>194385</v>
      </c>
      <c r="I449" s="48">
        <v>10617</v>
      </c>
      <c r="J449" s="48">
        <v>205002</v>
      </c>
      <c r="K449" s="48">
        <v>14637.9</v>
      </c>
      <c r="L449" s="48">
        <v>4109.8999999999996</v>
      </c>
      <c r="M449" s="48">
        <v>42269.4</v>
      </c>
      <c r="N449" s="48">
        <v>2762.9</v>
      </c>
    </row>
    <row r="450" spans="1:14" ht="10.050000000000001" customHeight="1">
      <c r="A450" s="45" t="s">
        <v>83</v>
      </c>
      <c r="B450" s="46">
        <v>2009</v>
      </c>
      <c r="C450" s="45" t="s">
        <v>109</v>
      </c>
      <c r="D450" s="47">
        <v>6</v>
      </c>
      <c r="E450" s="48">
        <v>357.2</v>
      </c>
      <c r="F450" s="48">
        <v>0</v>
      </c>
      <c r="G450" s="48">
        <v>357.2</v>
      </c>
      <c r="H450" s="48">
        <v>510.9</v>
      </c>
      <c r="I450" s="48">
        <v>610.1</v>
      </c>
      <c r="J450" s="48">
        <v>1121</v>
      </c>
      <c r="K450" s="48">
        <v>2.8</v>
      </c>
      <c r="L450" s="48">
        <v>0</v>
      </c>
      <c r="M450" s="48">
        <v>0</v>
      </c>
      <c r="N450" s="48">
        <v>0</v>
      </c>
    </row>
    <row r="451" spans="1:14" ht="10.050000000000001" customHeight="1">
      <c r="A451" s="45" t="s">
        <v>82</v>
      </c>
      <c r="B451" s="46">
        <v>2009</v>
      </c>
      <c r="C451" s="45" t="s">
        <v>109</v>
      </c>
      <c r="D451" s="47">
        <v>6</v>
      </c>
      <c r="E451" s="48">
        <v>1069.7</v>
      </c>
      <c r="F451" s="48">
        <v>447.5</v>
      </c>
      <c r="G451" s="48">
        <v>1517.2</v>
      </c>
      <c r="H451" s="48">
        <v>16068.9</v>
      </c>
      <c r="I451" s="48">
        <v>391.1</v>
      </c>
      <c r="J451" s="48">
        <v>16460</v>
      </c>
      <c r="K451" s="48">
        <v>212.3</v>
      </c>
      <c r="L451" s="48">
        <v>103.7</v>
      </c>
      <c r="M451" s="48">
        <v>488</v>
      </c>
      <c r="N451" s="48">
        <v>13.2</v>
      </c>
    </row>
    <row r="452" spans="1:14" ht="10.050000000000001" customHeight="1">
      <c r="A452" s="45" t="s">
        <v>81</v>
      </c>
      <c r="B452" s="46">
        <v>2009</v>
      </c>
      <c r="C452" s="45" t="s">
        <v>109</v>
      </c>
      <c r="D452" s="47">
        <v>6</v>
      </c>
      <c r="E452" s="48">
        <v>41251.9</v>
      </c>
      <c r="F452" s="48">
        <v>802.6</v>
      </c>
      <c r="G452" s="48">
        <v>42054.5</v>
      </c>
      <c r="H452" s="48">
        <v>187092.7</v>
      </c>
      <c r="I452" s="48">
        <v>1705.7</v>
      </c>
      <c r="J452" s="48">
        <v>188798.4</v>
      </c>
      <c r="K452" s="48">
        <v>9351.7000000000007</v>
      </c>
      <c r="L452" s="48">
        <v>370</v>
      </c>
      <c r="M452" s="48">
        <v>19789.8</v>
      </c>
      <c r="N452" s="48">
        <v>1659.3</v>
      </c>
    </row>
    <row r="453" spans="1:14" ht="10.050000000000001" customHeight="1">
      <c r="A453" s="45" t="s">
        <v>80</v>
      </c>
      <c r="B453" s="46">
        <v>2009</v>
      </c>
      <c r="C453" s="45" t="s">
        <v>109</v>
      </c>
      <c r="D453" s="47">
        <v>7</v>
      </c>
      <c r="E453" s="48">
        <v>1218.5999999999999</v>
      </c>
      <c r="F453" s="48">
        <v>0</v>
      </c>
      <c r="G453" s="48">
        <v>1218.5999999999999</v>
      </c>
      <c r="H453" s="48">
        <v>1008.2</v>
      </c>
      <c r="I453" s="48">
        <v>0</v>
      </c>
      <c r="J453" s="48">
        <v>1008.2</v>
      </c>
      <c r="K453" s="48">
        <v>0</v>
      </c>
      <c r="L453" s="48">
        <v>0</v>
      </c>
      <c r="M453" s="48">
        <v>0</v>
      </c>
      <c r="N453" s="48">
        <v>0</v>
      </c>
    </row>
    <row r="454" spans="1:14" ht="10.050000000000001" customHeight="1">
      <c r="A454" s="45" t="s">
        <v>81</v>
      </c>
      <c r="B454" s="46">
        <v>2009</v>
      </c>
      <c r="C454" s="45" t="s">
        <v>109</v>
      </c>
      <c r="D454" s="47">
        <v>7</v>
      </c>
      <c r="E454" s="48">
        <v>0</v>
      </c>
      <c r="F454" s="48">
        <v>0</v>
      </c>
      <c r="G454" s="48">
        <v>0</v>
      </c>
      <c r="H454" s="48">
        <v>1.3</v>
      </c>
      <c r="I454" s="48">
        <v>0</v>
      </c>
      <c r="J454" s="48">
        <v>1.3</v>
      </c>
      <c r="K454" s="48">
        <v>0</v>
      </c>
      <c r="L454" s="48">
        <v>0</v>
      </c>
      <c r="M454" s="48">
        <v>0</v>
      </c>
      <c r="N454" s="48">
        <v>0</v>
      </c>
    </row>
    <row r="455" spans="1:14" ht="10.050000000000001" customHeight="1">
      <c r="A455" s="45" t="s">
        <v>80</v>
      </c>
      <c r="B455" s="46">
        <v>2009</v>
      </c>
      <c r="C455" s="45" t="s">
        <v>109</v>
      </c>
      <c r="D455" s="47">
        <v>8</v>
      </c>
      <c r="E455" s="48">
        <v>0</v>
      </c>
      <c r="F455" s="48">
        <v>0</v>
      </c>
      <c r="G455" s="48">
        <v>0</v>
      </c>
      <c r="H455" s="48">
        <v>0</v>
      </c>
      <c r="I455" s="48">
        <v>0</v>
      </c>
      <c r="J455" s="48">
        <v>0</v>
      </c>
      <c r="K455" s="48">
        <v>83.2</v>
      </c>
      <c r="L455" s="48">
        <v>9.6</v>
      </c>
      <c r="M455" s="48">
        <v>0</v>
      </c>
      <c r="N455" s="48">
        <v>0</v>
      </c>
    </row>
    <row r="456" spans="1:14" ht="10.050000000000001" customHeight="1">
      <c r="A456" s="45" t="s">
        <v>80</v>
      </c>
      <c r="B456" s="46">
        <v>2009</v>
      </c>
      <c r="C456" s="45" t="s">
        <v>116</v>
      </c>
      <c r="D456" s="47">
        <v>2</v>
      </c>
      <c r="E456" s="48">
        <v>713.6</v>
      </c>
      <c r="F456" s="48">
        <v>0</v>
      </c>
      <c r="G456" s="48">
        <v>713.6</v>
      </c>
      <c r="H456" s="48">
        <v>6021.2</v>
      </c>
      <c r="I456" s="48">
        <v>0</v>
      </c>
      <c r="J456" s="48">
        <v>6021.2</v>
      </c>
      <c r="K456" s="48">
        <v>2458.4</v>
      </c>
      <c r="L456" s="48">
        <v>0</v>
      </c>
      <c r="M456" s="48">
        <v>642.4</v>
      </c>
      <c r="N456" s="48">
        <v>0</v>
      </c>
    </row>
    <row r="457" spans="1:14" ht="10.050000000000001" customHeight="1">
      <c r="A457" s="45" t="s">
        <v>82</v>
      </c>
      <c r="B457" s="46">
        <v>2009</v>
      </c>
      <c r="C457" s="45" t="s">
        <v>116</v>
      </c>
      <c r="D457" s="47">
        <v>2</v>
      </c>
      <c r="E457" s="48">
        <v>0.4</v>
      </c>
      <c r="F457" s="48">
        <v>0</v>
      </c>
      <c r="G457" s="48">
        <v>0.4</v>
      </c>
      <c r="H457" s="48">
        <v>195.3</v>
      </c>
      <c r="I457" s="48">
        <v>0</v>
      </c>
      <c r="J457" s="48">
        <v>195.3</v>
      </c>
      <c r="K457" s="48">
        <v>0</v>
      </c>
      <c r="L457" s="48">
        <v>0</v>
      </c>
      <c r="M457" s="48">
        <v>0.3</v>
      </c>
      <c r="N457" s="48">
        <v>0</v>
      </c>
    </row>
    <row r="458" spans="1:14" ht="10.050000000000001" customHeight="1">
      <c r="A458" s="45" t="s">
        <v>81</v>
      </c>
      <c r="B458" s="46">
        <v>2009</v>
      </c>
      <c r="C458" s="45" t="s">
        <v>116</v>
      </c>
      <c r="D458" s="47">
        <v>2</v>
      </c>
      <c r="E458" s="48">
        <v>325.8</v>
      </c>
      <c r="F458" s="48">
        <v>0</v>
      </c>
      <c r="G458" s="48">
        <v>325.8</v>
      </c>
      <c r="H458" s="48">
        <v>614.6</v>
      </c>
      <c r="I458" s="48">
        <v>0</v>
      </c>
      <c r="J458" s="48">
        <v>614.6</v>
      </c>
      <c r="K458" s="48">
        <v>3128.3</v>
      </c>
      <c r="L458" s="48">
        <v>0</v>
      </c>
      <c r="M458" s="48">
        <v>325.8</v>
      </c>
      <c r="N458" s="48">
        <v>0</v>
      </c>
    </row>
    <row r="459" spans="1:14" ht="10.050000000000001" customHeight="1">
      <c r="A459" s="45" t="s">
        <v>80</v>
      </c>
      <c r="B459" s="46">
        <v>2009</v>
      </c>
      <c r="C459" s="45" t="s">
        <v>116</v>
      </c>
      <c r="D459" s="47">
        <v>7</v>
      </c>
      <c r="E459" s="48">
        <v>3270352.2</v>
      </c>
      <c r="F459" s="48">
        <v>13862.3</v>
      </c>
      <c r="G459" s="48">
        <v>3284214.5</v>
      </c>
      <c r="H459" s="48">
        <v>3065758.1</v>
      </c>
      <c r="I459" s="48">
        <v>18403.5</v>
      </c>
      <c r="J459" s="48">
        <v>3084161.6</v>
      </c>
      <c r="K459" s="48">
        <v>1029339.5</v>
      </c>
      <c r="L459" s="48">
        <v>1126595.5</v>
      </c>
      <c r="M459" s="48">
        <v>107126</v>
      </c>
      <c r="N459" s="48">
        <v>4377</v>
      </c>
    </row>
    <row r="460" spans="1:14" ht="10.050000000000001" customHeight="1">
      <c r="A460" s="45" t="s">
        <v>83</v>
      </c>
      <c r="B460" s="46">
        <v>2009</v>
      </c>
      <c r="C460" s="45" t="s">
        <v>116</v>
      </c>
      <c r="D460" s="47">
        <v>7</v>
      </c>
      <c r="E460" s="48">
        <v>5146.6000000000004</v>
      </c>
      <c r="F460" s="48">
        <v>0</v>
      </c>
      <c r="G460" s="48">
        <v>5146.6000000000004</v>
      </c>
      <c r="H460" s="48">
        <v>5172.3999999999996</v>
      </c>
      <c r="I460" s="48">
        <v>610.1</v>
      </c>
      <c r="J460" s="48">
        <v>5782.5</v>
      </c>
      <c r="K460" s="48">
        <v>419</v>
      </c>
      <c r="L460" s="48">
        <v>416.2</v>
      </c>
      <c r="M460" s="48">
        <v>0</v>
      </c>
      <c r="N460" s="48">
        <v>0</v>
      </c>
    </row>
    <row r="461" spans="1:14" ht="10.050000000000001" customHeight="1">
      <c r="A461" s="45" t="s">
        <v>82</v>
      </c>
      <c r="B461" s="46">
        <v>2009</v>
      </c>
      <c r="C461" s="45" t="s">
        <v>116</v>
      </c>
      <c r="D461" s="47">
        <v>7</v>
      </c>
      <c r="E461" s="48">
        <v>20.6</v>
      </c>
      <c r="F461" s="48">
        <v>0</v>
      </c>
      <c r="G461" s="48">
        <v>20.6</v>
      </c>
      <c r="H461" s="48">
        <v>12573.4</v>
      </c>
      <c r="I461" s="48">
        <v>390</v>
      </c>
      <c r="J461" s="48">
        <v>12963.4</v>
      </c>
      <c r="K461" s="48">
        <v>212.3</v>
      </c>
      <c r="L461" s="48">
        <v>0</v>
      </c>
      <c r="M461" s="48">
        <v>0</v>
      </c>
      <c r="N461" s="48">
        <v>0</v>
      </c>
    </row>
    <row r="462" spans="1:14" ht="10.050000000000001" customHeight="1">
      <c r="A462" s="45" t="s">
        <v>81</v>
      </c>
      <c r="B462" s="46">
        <v>2009</v>
      </c>
      <c r="C462" s="45" t="s">
        <v>116</v>
      </c>
      <c r="D462" s="47">
        <v>7</v>
      </c>
      <c r="E462" s="48">
        <v>5462.6</v>
      </c>
      <c r="F462" s="48">
        <v>110.1</v>
      </c>
      <c r="G462" s="48">
        <v>5572.7</v>
      </c>
      <c r="H462" s="48">
        <v>105445.9</v>
      </c>
      <c r="I462" s="48">
        <v>1702.6</v>
      </c>
      <c r="J462" s="48">
        <v>107148.5</v>
      </c>
      <c r="K462" s="48">
        <v>6884.3</v>
      </c>
      <c r="L462" s="48">
        <v>674.3</v>
      </c>
      <c r="M462" s="48">
        <v>2993.8</v>
      </c>
      <c r="N462" s="48">
        <v>111.1</v>
      </c>
    </row>
    <row r="463" spans="1:14" ht="10.050000000000001" customHeight="1">
      <c r="A463" s="45" t="s">
        <v>80</v>
      </c>
      <c r="B463" s="46">
        <v>2009</v>
      </c>
      <c r="C463" s="45" t="s">
        <v>116</v>
      </c>
      <c r="D463" s="47">
        <v>8</v>
      </c>
      <c r="E463" s="48">
        <v>519055.3</v>
      </c>
      <c r="F463" s="48">
        <v>1074.2</v>
      </c>
      <c r="G463" s="48">
        <v>520129.5</v>
      </c>
      <c r="H463" s="48">
        <v>3182298.8</v>
      </c>
      <c r="I463" s="48">
        <v>15816.1</v>
      </c>
      <c r="J463" s="48">
        <v>3198114.9</v>
      </c>
      <c r="K463" s="48">
        <v>890722.9</v>
      </c>
      <c r="L463" s="48">
        <v>156076.79999999999</v>
      </c>
      <c r="M463" s="48">
        <v>291790</v>
      </c>
      <c r="N463" s="48">
        <v>2829.8</v>
      </c>
    </row>
    <row r="464" spans="1:14" ht="10.050000000000001" customHeight="1">
      <c r="A464" s="45" t="s">
        <v>83</v>
      </c>
      <c r="B464" s="46">
        <v>2009</v>
      </c>
      <c r="C464" s="45" t="s">
        <v>116</v>
      </c>
      <c r="D464" s="47">
        <v>8</v>
      </c>
      <c r="E464" s="48">
        <v>3450.1</v>
      </c>
      <c r="F464" s="48">
        <v>345.8</v>
      </c>
      <c r="G464" s="48">
        <v>3795.9</v>
      </c>
      <c r="H464" s="48">
        <v>7712.1</v>
      </c>
      <c r="I464" s="48">
        <v>955.9</v>
      </c>
      <c r="J464" s="48">
        <v>8668</v>
      </c>
      <c r="K464" s="48">
        <v>571.6</v>
      </c>
      <c r="L464" s="48">
        <v>217.8</v>
      </c>
      <c r="M464" s="48">
        <v>65.2</v>
      </c>
      <c r="N464" s="48">
        <v>0</v>
      </c>
    </row>
    <row r="465" spans="1:14" ht="10.050000000000001" customHeight="1">
      <c r="A465" s="45" t="s">
        <v>82</v>
      </c>
      <c r="B465" s="46">
        <v>2009</v>
      </c>
      <c r="C465" s="45" t="s">
        <v>116</v>
      </c>
      <c r="D465" s="47">
        <v>8</v>
      </c>
      <c r="E465" s="48">
        <v>3915.7</v>
      </c>
      <c r="F465" s="48">
        <v>485.3</v>
      </c>
      <c r="G465" s="48">
        <v>4401</v>
      </c>
      <c r="H465" s="48">
        <v>11863.9</v>
      </c>
      <c r="I465" s="48">
        <v>875.6</v>
      </c>
      <c r="J465" s="48">
        <v>12739.5</v>
      </c>
      <c r="K465" s="48">
        <v>618.70000000000005</v>
      </c>
      <c r="L465" s="48">
        <v>603.70000000000005</v>
      </c>
      <c r="M465" s="48">
        <v>188.1</v>
      </c>
      <c r="N465" s="48">
        <v>9.1999999999999993</v>
      </c>
    </row>
    <row r="466" spans="1:14" ht="10.050000000000001" customHeight="1">
      <c r="A466" s="45" t="s">
        <v>81</v>
      </c>
      <c r="B466" s="46">
        <v>2009</v>
      </c>
      <c r="C466" s="45" t="s">
        <v>116</v>
      </c>
      <c r="D466" s="47">
        <v>8</v>
      </c>
      <c r="E466" s="48">
        <v>127845.8</v>
      </c>
      <c r="F466" s="48">
        <v>620.79999999999995</v>
      </c>
      <c r="G466" s="48">
        <v>128466.6</v>
      </c>
      <c r="H466" s="48">
        <v>176778</v>
      </c>
      <c r="I466" s="48">
        <v>2224.3000000000002</v>
      </c>
      <c r="J466" s="48">
        <v>179002.3</v>
      </c>
      <c r="K466" s="48">
        <v>31735.9</v>
      </c>
      <c r="L466" s="48">
        <v>26881</v>
      </c>
      <c r="M466" s="48">
        <v>1946.7</v>
      </c>
      <c r="N466" s="48">
        <v>82.7</v>
      </c>
    </row>
    <row r="467" spans="1:14" ht="10.050000000000001" customHeight="1">
      <c r="A467" s="45" t="s">
        <v>80</v>
      </c>
      <c r="B467" s="46">
        <v>2009</v>
      </c>
      <c r="C467" s="45" t="s">
        <v>116</v>
      </c>
      <c r="D467" s="47">
        <v>9</v>
      </c>
      <c r="E467" s="48">
        <v>141300.79999999999</v>
      </c>
      <c r="F467" s="48">
        <v>51.5</v>
      </c>
      <c r="G467" s="48">
        <v>141352.29999999999</v>
      </c>
      <c r="H467" s="48">
        <v>2922932</v>
      </c>
      <c r="I467" s="48">
        <v>14728.3</v>
      </c>
      <c r="J467" s="48">
        <v>2937660.3</v>
      </c>
      <c r="K467" s="48">
        <v>800508</v>
      </c>
      <c r="L467" s="48">
        <v>36426.1</v>
      </c>
      <c r="M467" s="48">
        <v>124675.5</v>
      </c>
      <c r="N467" s="48">
        <v>1665.3</v>
      </c>
    </row>
    <row r="468" spans="1:14" ht="10.050000000000001" customHeight="1">
      <c r="A468" s="45" t="s">
        <v>83</v>
      </c>
      <c r="B468" s="46">
        <v>2009</v>
      </c>
      <c r="C468" s="45" t="s">
        <v>116</v>
      </c>
      <c r="D468" s="47">
        <v>9</v>
      </c>
      <c r="E468" s="48">
        <v>2647.7</v>
      </c>
      <c r="F468" s="48">
        <v>576</v>
      </c>
      <c r="G468" s="48">
        <v>3223.7</v>
      </c>
      <c r="H468" s="48">
        <v>7699</v>
      </c>
      <c r="I468" s="48">
        <v>676.7</v>
      </c>
      <c r="J468" s="48">
        <v>8375.7000000000007</v>
      </c>
      <c r="K468" s="48">
        <v>434</v>
      </c>
      <c r="L468" s="48">
        <v>30.6</v>
      </c>
      <c r="M468" s="48">
        <v>168</v>
      </c>
      <c r="N468" s="48">
        <v>0.2</v>
      </c>
    </row>
    <row r="469" spans="1:14" ht="10.050000000000001" customHeight="1">
      <c r="A469" s="45" t="s">
        <v>82</v>
      </c>
      <c r="B469" s="46">
        <v>2009</v>
      </c>
      <c r="C469" s="45" t="s">
        <v>116</v>
      </c>
      <c r="D469" s="47">
        <v>9</v>
      </c>
      <c r="E469" s="48">
        <v>35979.699999999997</v>
      </c>
      <c r="F469" s="48">
        <v>1451</v>
      </c>
      <c r="G469" s="48">
        <v>37430.699999999997</v>
      </c>
      <c r="H469" s="48">
        <v>40274.800000000003</v>
      </c>
      <c r="I469" s="48">
        <v>2193.4</v>
      </c>
      <c r="J469" s="48">
        <v>42468.2</v>
      </c>
      <c r="K469" s="48">
        <v>4487</v>
      </c>
      <c r="L469" s="48">
        <v>4301.3999999999996</v>
      </c>
      <c r="M469" s="48">
        <v>432</v>
      </c>
      <c r="N469" s="48">
        <v>1.1000000000000001</v>
      </c>
    </row>
    <row r="470" spans="1:14" ht="10.050000000000001" customHeight="1">
      <c r="A470" s="45" t="s">
        <v>81</v>
      </c>
      <c r="B470" s="46">
        <v>2009</v>
      </c>
      <c r="C470" s="45" t="s">
        <v>116</v>
      </c>
      <c r="D470" s="47">
        <v>9</v>
      </c>
      <c r="E470" s="48">
        <v>991565.5</v>
      </c>
      <c r="F470" s="48">
        <v>4258.2</v>
      </c>
      <c r="G470" s="48">
        <v>995823.7</v>
      </c>
      <c r="H470" s="48">
        <v>925389.1</v>
      </c>
      <c r="I470" s="48">
        <v>5779.3</v>
      </c>
      <c r="J470" s="48">
        <v>931168.4</v>
      </c>
      <c r="K470" s="48">
        <v>240804.3</v>
      </c>
      <c r="L470" s="48">
        <v>271250.7</v>
      </c>
      <c r="M470" s="48">
        <v>62105.2</v>
      </c>
      <c r="N470" s="48">
        <v>71.3</v>
      </c>
    </row>
    <row r="471" spans="1:14" ht="10.050000000000001" customHeight="1">
      <c r="A471" s="45" t="s">
        <v>80</v>
      </c>
      <c r="B471" s="46">
        <v>2009</v>
      </c>
      <c r="C471" s="45" t="s">
        <v>116</v>
      </c>
      <c r="D471" s="47">
        <v>10</v>
      </c>
      <c r="E471" s="48">
        <v>82557.3</v>
      </c>
      <c r="F471" s="48">
        <v>56.5</v>
      </c>
      <c r="G471" s="48">
        <v>82613.8</v>
      </c>
      <c r="H471" s="48">
        <v>2626303.6</v>
      </c>
      <c r="I471" s="48">
        <v>14664.4</v>
      </c>
      <c r="J471" s="48">
        <v>2640968</v>
      </c>
      <c r="K471" s="48">
        <v>755384</v>
      </c>
      <c r="L471" s="48">
        <v>6063</v>
      </c>
      <c r="M471" s="48">
        <v>48639.1</v>
      </c>
      <c r="N471" s="48">
        <v>2547.9</v>
      </c>
    </row>
    <row r="472" spans="1:14" ht="10.050000000000001" customHeight="1">
      <c r="A472" s="45" t="s">
        <v>83</v>
      </c>
      <c r="B472" s="46">
        <v>2009</v>
      </c>
      <c r="C472" s="45" t="s">
        <v>116</v>
      </c>
      <c r="D472" s="47">
        <v>10</v>
      </c>
      <c r="E472" s="48">
        <v>958.6</v>
      </c>
      <c r="F472" s="48">
        <v>161.6</v>
      </c>
      <c r="G472" s="48">
        <v>1120.2</v>
      </c>
      <c r="H472" s="48">
        <v>6496.3</v>
      </c>
      <c r="I472" s="48">
        <v>680.6</v>
      </c>
      <c r="J472" s="48">
        <v>7176.9</v>
      </c>
      <c r="K472" s="48">
        <v>227.1</v>
      </c>
      <c r="L472" s="48">
        <v>11.8</v>
      </c>
      <c r="M472" s="48">
        <v>214.2</v>
      </c>
      <c r="N472" s="48">
        <v>4.5</v>
      </c>
    </row>
    <row r="473" spans="1:14" ht="10.050000000000001" customHeight="1">
      <c r="A473" s="45" t="s">
        <v>82</v>
      </c>
      <c r="B473" s="46">
        <v>2009</v>
      </c>
      <c r="C473" s="45" t="s">
        <v>116</v>
      </c>
      <c r="D473" s="47">
        <v>10</v>
      </c>
      <c r="E473" s="48">
        <v>27653.200000000001</v>
      </c>
      <c r="F473" s="48">
        <v>1365.6</v>
      </c>
      <c r="G473" s="48">
        <v>29018.799999999999</v>
      </c>
      <c r="H473" s="48">
        <v>61552.2</v>
      </c>
      <c r="I473" s="48">
        <v>3562.4</v>
      </c>
      <c r="J473" s="48">
        <v>65114.6</v>
      </c>
      <c r="K473" s="48">
        <v>8596.2000000000007</v>
      </c>
      <c r="L473" s="48">
        <v>4570.7</v>
      </c>
      <c r="M473" s="48">
        <v>430</v>
      </c>
      <c r="N473" s="48">
        <v>31.5</v>
      </c>
    </row>
    <row r="474" spans="1:14" ht="10.050000000000001" customHeight="1">
      <c r="A474" s="45" t="s">
        <v>81</v>
      </c>
      <c r="B474" s="46">
        <v>2009</v>
      </c>
      <c r="C474" s="45" t="s">
        <v>116</v>
      </c>
      <c r="D474" s="47">
        <v>10</v>
      </c>
      <c r="E474" s="48">
        <v>144241</v>
      </c>
      <c r="F474" s="48">
        <v>186.7</v>
      </c>
      <c r="G474" s="48">
        <v>144427.70000000001</v>
      </c>
      <c r="H474" s="48">
        <v>1016444.8</v>
      </c>
      <c r="I474" s="48">
        <v>5496.7</v>
      </c>
      <c r="J474" s="48">
        <v>1021941.5</v>
      </c>
      <c r="K474" s="48">
        <v>225494.7</v>
      </c>
      <c r="L474" s="48">
        <v>26838.400000000001</v>
      </c>
      <c r="M474" s="48">
        <v>37144.6</v>
      </c>
      <c r="N474" s="48">
        <v>5003.3999999999996</v>
      </c>
    </row>
    <row r="475" spans="1:14" ht="10.050000000000001" customHeight="1">
      <c r="A475" s="45" t="s">
        <v>80</v>
      </c>
      <c r="B475" s="46">
        <v>2009</v>
      </c>
      <c r="C475" s="45" t="s">
        <v>116</v>
      </c>
      <c r="D475" s="47">
        <v>11</v>
      </c>
      <c r="E475" s="48">
        <v>163934.20000000001</v>
      </c>
      <c r="F475" s="48">
        <v>505.3</v>
      </c>
      <c r="G475" s="48">
        <v>164439.5</v>
      </c>
      <c r="H475" s="48">
        <v>2407208.2000000002</v>
      </c>
      <c r="I475" s="48">
        <v>13565.6</v>
      </c>
      <c r="J475" s="48">
        <v>2420773.7999999998</v>
      </c>
      <c r="K475" s="48">
        <v>667512.19999999995</v>
      </c>
      <c r="L475" s="48">
        <v>6295.7</v>
      </c>
      <c r="M475" s="48">
        <v>86457.9</v>
      </c>
      <c r="N475" s="48">
        <v>7709.6</v>
      </c>
    </row>
    <row r="476" spans="1:14" ht="10.050000000000001" customHeight="1">
      <c r="A476" s="45" t="s">
        <v>83</v>
      </c>
      <c r="B476" s="46">
        <v>2009</v>
      </c>
      <c r="C476" s="45" t="s">
        <v>116</v>
      </c>
      <c r="D476" s="47">
        <v>11</v>
      </c>
      <c r="E476" s="48">
        <v>1324.9</v>
      </c>
      <c r="F476" s="48">
        <v>0</v>
      </c>
      <c r="G476" s="48">
        <v>1324.9</v>
      </c>
      <c r="H476" s="48">
        <v>5432.6</v>
      </c>
      <c r="I476" s="48">
        <v>680.6</v>
      </c>
      <c r="J476" s="48">
        <v>6113.2</v>
      </c>
      <c r="K476" s="48">
        <v>192.8</v>
      </c>
      <c r="L476" s="48">
        <v>18.2</v>
      </c>
      <c r="M476" s="48">
        <v>52.5</v>
      </c>
      <c r="N476" s="48">
        <v>0</v>
      </c>
    </row>
    <row r="477" spans="1:14" ht="10.050000000000001" customHeight="1">
      <c r="A477" s="45" t="s">
        <v>82</v>
      </c>
      <c r="B477" s="46">
        <v>2009</v>
      </c>
      <c r="C477" s="45" t="s">
        <v>116</v>
      </c>
      <c r="D477" s="47">
        <v>11</v>
      </c>
      <c r="E477" s="48">
        <v>5677.3</v>
      </c>
      <c r="F477" s="48">
        <v>65.3</v>
      </c>
      <c r="G477" s="48">
        <v>5742.6</v>
      </c>
      <c r="H477" s="48">
        <v>53466.3</v>
      </c>
      <c r="I477" s="48">
        <v>3326.6</v>
      </c>
      <c r="J477" s="48">
        <v>56792.9</v>
      </c>
      <c r="K477" s="48">
        <v>7890.5</v>
      </c>
      <c r="L477" s="48">
        <v>557.9</v>
      </c>
      <c r="M477" s="48">
        <v>1221.9000000000001</v>
      </c>
      <c r="N477" s="48">
        <v>41.7</v>
      </c>
    </row>
    <row r="478" spans="1:14" ht="10.050000000000001" customHeight="1">
      <c r="A478" s="45" t="s">
        <v>81</v>
      </c>
      <c r="B478" s="46">
        <v>2009</v>
      </c>
      <c r="C478" s="45" t="s">
        <v>116</v>
      </c>
      <c r="D478" s="47">
        <v>11</v>
      </c>
      <c r="E478" s="48">
        <v>45203</v>
      </c>
      <c r="F478" s="48">
        <v>0</v>
      </c>
      <c r="G478" s="48">
        <v>45203</v>
      </c>
      <c r="H478" s="48">
        <v>959590.8</v>
      </c>
      <c r="I478" s="48">
        <v>4750.7</v>
      </c>
      <c r="J478" s="48">
        <v>964341.5</v>
      </c>
      <c r="K478" s="48">
        <v>192239.8</v>
      </c>
      <c r="L478" s="48">
        <v>3224.1</v>
      </c>
      <c r="M478" s="48">
        <v>33560.5</v>
      </c>
      <c r="N478" s="48">
        <v>2818.5</v>
      </c>
    </row>
    <row r="479" spans="1:14" ht="10.050000000000001" customHeight="1">
      <c r="A479" s="45" t="s">
        <v>80</v>
      </c>
      <c r="B479" s="46">
        <v>2009</v>
      </c>
      <c r="C479" s="45" t="s">
        <v>116</v>
      </c>
      <c r="D479" s="47">
        <v>12</v>
      </c>
      <c r="E479" s="48">
        <v>117264.2</v>
      </c>
      <c r="F479" s="48">
        <v>260.10000000000002</v>
      </c>
      <c r="G479" s="48">
        <v>117524.3</v>
      </c>
      <c r="H479" s="48">
        <v>2156669.5</v>
      </c>
      <c r="I479" s="48">
        <v>13615.7</v>
      </c>
      <c r="J479" s="48">
        <v>2170285.2000000002</v>
      </c>
      <c r="K479" s="48">
        <v>607999.5</v>
      </c>
      <c r="L479" s="48">
        <v>21213.4</v>
      </c>
      <c r="M479" s="48">
        <v>76389.600000000006</v>
      </c>
      <c r="N479" s="48">
        <v>4337.5</v>
      </c>
    </row>
    <row r="480" spans="1:14" ht="10.050000000000001" customHeight="1">
      <c r="A480" s="45" t="s">
        <v>83</v>
      </c>
      <c r="B480" s="46">
        <v>2009</v>
      </c>
      <c r="C480" s="45" t="s">
        <v>116</v>
      </c>
      <c r="D480" s="47">
        <v>12</v>
      </c>
      <c r="E480" s="48">
        <v>698.6</v>
      </c>
      <c r="F480" s="48">
        <v>0</v>
      </c>
      <c r="G480" s="48">
        <v>698.6</v>
      </c>
      <c r="H480" s="48">
        <v>4802.7</v>
      </c>
      <c r="I480" s="48">
        <v>679.6</v>
      </c>
      <c r="J480" s="48">
        <v>5482.3</v>
      </c>
      <c r="K480" s="48">
        <v>63.4</v>
      </c>
      <c r="L480" s="48">
        <v>0</v>
      </c>
      <c r="M480" s="48">
        <v>129.4</v>
      </c>
      <c r="N480" s="48">
        <v>0</v>
      </c>
    </row>
    <row r="481" spans="1:14" ht="10.050000000000001" customHeight="1">
      <c r="A481" s="45" t="s">
        <v>82</v>
      </c>
      <c r="B481" s="46">
        <v>2009</v>
      </c>
      <c r="C481" s="45" t="s">
        <v>116</v>
      </c>
      <c r="D481" s="47">
        <v>12</v>
      </c>
      <c r="E481" s="48">
        <v>2932.1</v>
      </c>
      <c r="F481" s="48">
        <v>0</v>
      </c>
      <c r="G481" s="48">
        <v>2932.1</v>
      </c>
      <c r="H481" s="48">
        <v>47801.9</v>
      </c>
      <c r="I481" s="48">
        <v>3315.2</v>
      </c>
      <c r="J481" s="48">
        <v>51117.1</v>
      </c>
      <c r="K481" s="48">
        <v>7579.6</v>
      </c>
      <c r="L481" s="48">
        <v>511.9</v>
      </c>
      <c r="M481" s="48">
        <v>818.2</v>
      </c>
      <c r="N481" s="48">
        <v>4.5999999999999996</v>
      </c>
    </row>
    <row r="482" spans="1:14" ht="10.050000000000001" customHeight="1">
      <c r="A482" s="45" t="s">
        <v>81</v>
      </c>
      <c r="B482" s="46">
        <v>2009</v>
      </c>
      <c r="C482" s="45" t="s">
        <v>116</v>
      </c>
      <c r="D482" s="47">
        <v>12</v>
      </c>
      <c r="E482" s="48">
        <v>57946.3</v>
      </c>
      <c r="F482" s="48">
        <v>388.6</v>
      </c>
      <c r="G482" s="48">
        <v>58334.9</v>
      </c>
      <c r="H482" s="48">
        <v>922488</v>
      </c>
      <c r="I482" s="48">
        <v>4450.8</v>
      </c>
      <c r="J482" s="48">
        <v>926938.8</v>
      </c>
      <c r="K482" s="48">
        <v>153437</v>
      </c>
      <c r="L482" s="48">
        <v>2899.3</v>
      </c>
      <c r="M482" s="48">
        <v>42375.1</v>
      </c>
      <c r="N482" s="48">
        <v>-673</v>
      </c>
    </row>
    <row r="483" spans="1:14" ht="10.050000000000001" customHeight="1">
      <c r="A483" s="45" t="s">
        <v>80</v>
      </c>
      <c r="B483" s="46">
        <v>2010</v>
      </c>
      <c r="C483" s="45" t="s">
        <v>109</v>
      </c>
      <c r="D483" s="47">
        <v>6</v>
      </c>
      <c r="E483" s="48">
        <v>25.9</v>
      </c>
      <c r="F483" s="48">
        <v>0</v>
      </c>
      <c r="G483" s="48">
        <v>25.9</v>
      </c>
      <c r="H483" s="48">
        <v>25.9</v>
      </c>
      <c r="I483" s="48">
        <v>0</v>
      </c>
      <c r="J483" s="48">
        <v>25.9</v>
      </c>
      <c r="K483" s="48">
        <v>0</v>
      </c>
      <c r="L483" s="48">
        <v>0</v>
      </c>
      <c r="M483" s="48">
        <v>0</v>
      </c>
      <c r="N483" s="48">
        <v>0</v>
      </c>
    </row>
    <row r="484" spans="1:14" ht="10.050000000000001" customHeight="1">
      <c r="A484" s="45" t="s">
        <v>80</v>
      </c>
      <c r="B484" s="46">
        <v>2010</v>
      </c>
      <c r="C484" s="45" t="s">
        <v>116</v>
      </c>
      <c r="D484" s="47">
        <v>1</v>
      </c>
      <c r="E484" s="48">
        <v>204998</v>
      </c>
      <c r="F484" s="48">
        <v>2405.5</v>
      </c>
      <c r="G484" s="48">
        <v>207403.5</v>
      </c>
      <c r="H484" s="48">
        <v>1894157.1</v>
      </c>
      <c r="I484" s="48">
        <v>16016.6</v>
      </c>
      <c r="J484" s="48">
        <v>1910173.7</v>
      </c>
      <c r="K484" s="48">
        <v>481661.4</v>
      </c>
      <c r="L484" s="48">
        <v>17968.2</v>
      </c>
      <c r="M484" s="48">
        <v>141876</v>
      </c>
      <c r="N484" s="48">
        <v>8109.4</v>
      </c>
    </row>
    <row r="485" spans="1:14" ht="10.050000000000001" customHeight="1">
      <c r="A485" s="45" t="s">
        <v>83</v>
      </c>
      <c r="B485" s="46">
        <v>2010</v>
      </c>
      <c r="C485" s="45" t="s">
        <v>116</v>
      </c>
      <c r="D485" s="47">
        <v>1</v>
      </c>
      <c r="E485" s="48">
        <v>398.3</v>
      </c>
      <c r="F485" s="48">
        <v>0</v>
      </c>
      <c r="G485" s="48">
        <v>398.3</v>
      </c>
      <c r="H485" s="48">
        <v>4364.8</v>
      </c>
      <c r="I485" s="48">
        <v>679.6</v>
      </c>
      <c r="J485" s="48">
        <v>5044.3999999999996</v>
      </c>
      <c r="K485" s="48">
        <v>3.9</v>
      </c>
      <c r="L485" s="48">
        <v>0</v>
      </c>
      <c r="M485" s="48">
        <v>59.5</v>
      </c>
      <c r="N485" s="48">
        <v>0</v>
      </c>
    </row>
    <row r="486" spans="1:14" ht="10.050000000000001" customHeight="1">
      <c r="A486" s="45" t="s">
        <v>82</v>
      </c>
      <c r="B486" s="46">
        <v>2010</v>
      </c>
      <c r="C486" s="45" t="s">
        <v>116</v>
      </c>
      <c r="D486" s="47">
        <v>1</v>
      </c>
      <c r="E486" s="48">
        <v>4945</v>
      </c>
      <c r="F486" s="48">
        <v>0</v>
      </c>
      <c r="G486" s="48">
        <v>4945</v>
      </c>
      <c r="H486" s="48">
        <v>43569.7</v>
      </c>
      <c r="I486" s="48">
        <v>3265.2</v>
      </c>
      <c r="J486" s="48">
        <v>46834.9</v>
      </c>
      <c r="K486" s="48">
        <v>3860.6</v>
      </c>
      <c r="L486" s="48">
        <v>57.5</v>
      </c>
      <c r="M486" s="48">
        <v>3617.1</v>
      </c>
      <c r="N486" s="48">
        <v>159.4</v>
      </c>
    </row>
    <row r="487" spans="1:14" ht="10.050000000000001" customHeight="1">
      <c r="A487" s="45" t="s">
        <v>81</v>
      </c>
      <c r="B487" s="46">
        <v>2010</v>
      </c>
      <c r="C487" s="45" t="s">
        <v>116</v>
      </c>
      <c r="D487" s="47">
        <v>1</v>
      </c>
      <c r="E487" s="48">
        <v>54184.7</v>
      </c>
      <c r="F487" s="48">
        <v>28.6</v>
      </c>
      <c r="G487" s="48">
        <v>54213.3</v>
      </c>
      <c r="H487" s="48">
        <v>837929.200000001</v>
      </c>
      <c r="I487" s="48">
        <v>3917.7</v>
      </c>
      <c r="J487" s="48">
        <v>841846.90000000095</v>
      </c>
      <c r="K487" s="48">
        <v>115398.3</v>
      </c>
      <c r="L487" s="48">
        <v>2743.1</v>
      </c>
      <c r="M487" s="48">
        <v>40239.9</v>
      </c>
      <c r="N487" s="48">
        <v>1289</v>
      </c>
    </row>
    <row r="488" spans="1:14" ht="10.050000000000001" customHeight="1">
      <c r="A488" s="45" t="s">
        <v>80</v>
      </c>
      <c r="B488" s="46">
        <v>2010</v>
      </c>
      <c r="C488" s="45" t="s">
        <v>116</v>
      </c>
      <c r="D488" s="47">
        <v>2</v>
      </c>
      <c r="E488" s="48">
        <v>271263.3</v>
      </c>
      <c r="F488" s="48">
        <v>194</v>
      </c>
      <c r="G488" s="48">
        <v>271457.3</v>
      </c>
      <c r="H488" s="48">
        <v>1690884.7</v>
      </c>
      <c r="I488" s="48">
        <v>15754.5</v>
      </c>
      <c r="J488" s="48">
        <v>1706639.2</v>
      </c>
      <c r="K488" s="48">
        <v>317741</v>
      </c>
      <c r="L488" s="48">
        <v>18623.599999999999</v>
      </c>
      <c r="M488" s="48">
        <v>175835.4</v>
      </c>
      <c r="N488" s="48">
        <v>6708.6</v>
      </c>
    </row>
    <row r="489" spans="1:14" ht="10.050000000000001" customHeight="1">
      <c r="A489" s="45" t="s">
        <v>83</v>
      </c>
      <c r="B489" s="46">
        <v>2010</v>
      </c>
      <c r="C489" s="45" t="s">
        <v>116</v>
      </c>
      <c r="D489" s="47">
        <v>2</v>
      </c>
      <c r="E489" s="48">
        <v>381.2</v>
      </c>
      <c r="F489" s="48">
        <v>0</v>
      </c>
      <c r="G489" s="48">
        <v>381.2</v>
      </c>
      <c r="H489" s="48">
        <v>3436.1</v>
      </c>
      <c r="I489" s="48">
        <v>658.8</v>
      </c>
      <c r="J489" s="48">
        <v>4094.9</v>
      </c>
      <c r="K489" s="48">
        <v>34</v>
      </c>
      <c r="L489" s="48">
        <v>30.1</v>
      </c>
      <c r="M489" s="48">
        <v>0</v>
      </c>
      <c r="N489" s="48">
        <v>0</v>
      </c>
    </row>
    <row r="490" spans="1:14" ht="10.050000000000001" customHeight="1">
      <c r="A490" s="45" t="s">
        <v>82</v>
      </c>
      <c r="B490" s="46">
        <v>2010</v>
      </c>
      <c r="C490" s="45" t="s">
        <v>116</v>
      </c>
      <c r="D490" s="47">
        <v>2</v>
      </c>
      <c r="E490" s="48">
        <v>3206.6</v>
      </c>
      <c r="F490" s="48">
        <v>0</v>
      </c>
      <c r="G490" s="48">
        <v>3206.6</v>
      </c>
      <c r="H490" s="48">
        <v>37668.699999999997</v>
      </c>
      <c r="I490" s="48">
        <v>2811.8</v>
      </c>
      <c r="J490" s="48">
        <v>40480.5</v>
      </c>
      <c r="K490" s="48">
        <v>2764.8</v>
      </c>
      <c r="L490" s="48">
        <v>422.9</v>
      </c>
      <c r="M490" s="48">
        <v>1476</v>
      </c>
      <c r="N490" s="48">
        <v>42.7</v>
      </c>
    </row>
    <row r="491" spans="1:14" ht="10.050000000000001" customHeight="1">
      <c r="A491" s="45" t="s">
        <v>81</v>
      </c>
      <c r="B491" s="46">
        <v>2010</v>
      </c>
      <c r="C491" s="45" t="s">
        <v>116</v>
      </c>
      <c r="D491" s="47">
        <v>2</v>
      </c>
      <c r="E491" s="48">
        <v>43770.9</v>
      </c>
      <c r="F491" s="48">
        <v>2436.5</v>
      </c>
      <c r="G491" s="48">
        <v>46207.4</v>
      </c>
      <c r="H491" s="48">
        <v>727351.5</v>
      </c>
      <c r="I491" s="48">
        <v>4509.1000000000004</v>
      </c>
      <c r="J491" s="48">
        <v>731860.6</v>
      </c>
      <c r="K491" s="48">
        <v>89215.3</v>
      </c>
      <c r="L491" s="48">
        <v>2686.9</v>
      </c>
      <c r="M491" s="48">
        <v>28301.1</v>
      </c>
      <c r="N491" s="48">
        <v>494.3</v>
      </c>
    </row>
    <row r="492" spans="1:14" ht="10.050000000000001" customHeight="1">
      <c r="A492" s="45" t="s">
        <v>80</v>
      </c>
      <c r="B492" s="46">
        <v>2010</v>
      </c>
      <c r="C492" s="45" t="s">
        <v>116</v>
      </c>
      <c r="D492" s="47">
        <v>3</v>
      </c>
      <c r="E492" s="48">
        <v>218939.6</v>
      </c>
      <c r="F492" s="48">
        <v>1974.8</v>
      </c>
      <c r="G492" s="48">
        <v>220914.4</v>
      </c>
      <c r="H492" s="48">
        <v>1330568.3</v>
      </c>
      <c r="I492" s="48">
        <v>14637.2</v>
      </c>
      <c r="J492" s="48">
        <v>1345205.5</v>
      </c>
      <c r="K492" s="48">
        <v>213969.3</v>
      </c>
      <c r="L492" s="48">
        <v>17016.2</v>
      </c>
      <c r="M492" s="48">
        <v>118028.2</v>
      </c>
      <c r="N492" s="48">
        <v>2759.7</v>
      </c>
    </row>
    <row r="493" spans="1:14" ht="10.050000000000001" customHeight="1">
      <c r="A493" s="45" t="s">
        <v>83</v>
      </c>
      <c r="B493" s="46">
        <v>2010</v>
      </c>
      <c r="C493" s="45" t="s">
        <v>116</v>
      </c>
      <c r="D493" s="47">
        <v>3</v>
      </c>
      <c r="E493" s="48">
        <v>708.8</v>
      </c>
      <c r="F493" s="48">
        <v>444.5</v>
      </c>
      <c r="G493" s="48">
        <v>1153.3</v>
      </c>
      <c r="H493" s="48">
        <v>2562.6</v>
      </c>
      <c r="I493" s="48">
        <v>604.1</v>
      </c>
      <c r="J493" s="48">
        <v>3166.7</v>
      </c>
      <c r="K493" s="48">
        <v>31.1</v>
      </c>
      <c r="L493" s="48">
        <v>27.8</v>
      </c>
      <c r="M493" s="48">
        <v>30.7</v>
      </c>
      <c r="N493" s="48">
        <v>0</v>
      </c>
    </row>
    <row r="494" spans="1:14" ht="10.050000000000001" customHeight="1">
      <c r="A494" s="45" t="s">
        <v>82</v>
      </c>
      <c r="B494" s="46">
        <v>2010</v>
      </c>
      <c r="C494" s="45" t="s">
        <v>116</v>
      </c>
      <c r="D494" s="47">
        <v>3</v>
      </c>
      <c r="E494" s="48">
        <v>2237.6</v>
      </c>
      <c r="F494" s="48">
        <v>665.3</v>
      </c>
      <c r="G494" s="48">
        <v>2902.9</v>
      </c>
      <c r="H494" s="48">
        <v>31567.5</v>
      </c>
      <c r="I494" s="48">
        <v>2164.5</v>
      </c>
      <c r="J494" s="48">
        <v>33732</v>
      </c>
      <c r="K494" s="48">
        <v>2163.6999999999998</v>
      </c>
      <c r="L494" s="48">
        <v>592.20000000000005</v>
      </c>
      <c r="M494" s="48">
        <v>1085.7</v>
      </c>
      <c r="N494" s="48">
        <v>148</v>
      </c>
    </row>
    <row r="495" spans="1:14" ht="10.050000000000001" customHeight="1">
      <c r="A495" s="45" t="s">
        <v>81</v>
      </c>
      <c r="B495" s="46">
        <v>2010</v>
      </c>
      <c r="C495" s="45" t="s">
        <v>116</v>
      </c>
      <c r="D495" s="47">
        <v>3</v>
      </c>
      <c r="E495" s="48">
        <v>51337.4</v>
      </c>
      <c r="F495" s="48">
        <v>687.6</v>
      </c>
      <c r="G495" s="48">
        <v>52025</v>
      </c>
      <c r="H495" s="48">
        <v>602694.6</v>
      </c>
      <c r="I495" s="48">
        <v>3532.3</v>
      </c>
      <c r="J495" s="48">
        <v>606226.9</v>
      </c>
      <c r="K495" s="48">
        <v>54402.3</v>
      </c>
      <c r="L495" s="48">
        <v>1319.8</v>
      </c>
      <c r="M495" s="48">
        <v>34381.599999999999</v>
      </c>
      <c r="N495" s="48">
        <v>1755.4</v>
      </c>
    </row>
    <row r="496" spans="1:14" ht="10.050000000000001" customHeight="1">
      <c r="A496" s="45" t="s">
        <v>80</v>
      </c>
      <c r="B496" s="46">
        <v>2010</v>
      </c>
      <c r="C496" s="45" t="s">
        <v>116</v>
      </c>
      <c r="D496" s="47">
        <v>4</v>
      </c>
      <c r="E496" s="48">
        <v>167875.5</v>
      </c>
      <c r="F496" s="48">
        <v>10</v>
      </c>
      <c r="G496" s="48">
        <v>167885.5</v>
      </c>
      <c r="H496" s="48">
        <v>938628.5</v>
      </c>
      <c r="I496" s="48">
        <v>14478.3</v>
      </c>
      <c r="J496" s="48">
        <v>953106.8</v>
      </c>
      <c r="K496" s="48">
        <v>136746.1</v>
      </c>
      <c r="L496" s="48">
        <v>15263.8</v>
      </c>
      <c r="M496" s="48">
        <v>86794.7</v>
      </c>
      <c r="N496" s="48">
        <v>5692.3</v>
      </c>
    </row>
    <row r="497" spans="1:14" ht="10.050000000000001" customHeight="1">
      <c r="A497" s="45" t="s">
        <v>83</v>
      </c>
      <c r="B497" s="46">
        <v>2010</v>
      </c>
      <c r="C497" s="45" t="s">
        <v>116</v>
      </c>
      <c r="D497" s="47">
        <v>4</v>
      </c>
      <c r="E497" s="48">
        <v>496.9</v>
      </c>
      <c r="F497" s="48">
        <v>132.19999999999999</v>
      </c>
      <c r="G497" s="48">
        <v>629.1</v>
      </c>
      <c r="H497" s="48">
        <v>1936.2</v>
      </c>
      <c r="I497" s="48">
        <v>642.6</v>
      </c>
      <c r="J497" s="48">
        <v>2578.8000000000002</v>
      </c>
      <c r="K497" s="48">
        <v>19.2</v>
      </c>
      <c r="L497" s="48">
        <v>0</v>
      </c>
      <c r="M497" s="48">
        <v>11.9</v>
      </c>
      <c r="N497" s="48">
        <v>0</v>
      </c>
    </row>
    <row r="498" spans="1:14" ht="10.050000000000001" customHeight="1">
      <c r="A498" s="45" t="s">
        <v>82</v>
      </c>
      <c r="B498" s="46">
        <v>2010</v>
      </c>
      <c r="C498" s="45" t="s">
        <v>116</v>
      </c>
      <c r="D498" s="47">
        <v>4</v>
      </c>
      <c r="E498" s="48">
        <v>2061.6999999999998</v>
      </c>
      <c r="F498" s="48">
        <v>0</v>
      </c>
      <c r="G498" s="48">
        <v>2061.6999999999998</v>
      </c>
      <c r="H498" s="48">
        <v>25851</v>
      </c>
      <c r="I498" s="48">
        <v>1423.3</v>
      </c>
      <c r="J498" s="48">
        <v>27274.3</v>
      </c>
      <c r="K498" s="48">
        <v>1191.7</v>
      </c>
      <c r="L498" s="48">
        <v>243.7</v>
      </c>
      <c r="M498" s="48">
        <v>1188</v>
      </c>
      <c r="N498" s="48">
        <v>27.7</v>
      </c>
    </row>
    <row r="499" spans="1:14" ht="10.050000000000001" customHeight="1">
      <c r="A499" s="45" t="s">
        <v>81</v>
      </c>
      <c r="B499" s="46">
        <v>2010</v>
      </c>
      <c r="C499" s="45" t="s">
        <v>116</v>
      </c>
      <c r="D499" s="47">
        <v>4</v>
      </c>
      <c r="E499" s="48">
        <v>39228.1</v>
      </c>
      <c r="F499" s="48">
        <v>0</v>
      </c>
      <c r="G499" s="48">
        <v>39228.1</v>
      </c>
      <c r="H499" s="48">
        <v>491792.1</v>
      </c>
      <c r="I499" s="48">
        <v>3424.8</v>
      </c>
      <c r="J499" s="48">
        <v>495216.9</v>
      </c>
      <c r="K499" s="48">
        <v>28592.1</v>
      </c>
      <c r="L499" s="48">
        <v>821.2</v>
      </c>
      <c r="M499" s="48">
        <v>24652.6</v>
      </c>
      <c r="N499" s="48">
        <v>1978.8</v>
      </c>
    </row>
    <row r="500" spans="1:14" ht="10.050000000000001" customHeight="1">
      <c r="A500" s="45" t="s">
        <v>80</v>
      </c>
      <c r="B500" s="46">
        <v>2010</v>
      </c>
      <c r="C500" s="45" t="s">
        <v>116</v>
      </c>
      <c r="D500" s="47">
        <v>5</v>
      </c>
      <c r="E500" s="48">
        <v>205193.8</v>
      </c>
      <c r="F500" s="48">
        <v>0</v>
      </c>
      <c r="G500" s="48">
        <v>205193.8</v>
      </c>
      <c r="H500" s="48">
        <v>608587.6</v>
      </c>
      <c r="I500" s="48">
        <v>14185</v>
      </c>
      <c r="J500" s="48">
        <v>622772.6</v>
      </c>
      <c r="K500" s="48">
        <v>28780.6</v>
      </c>
      <c r="L500" s="48">
        <v>5900.1</v>
      </c>
      <c r="M500" s="48">
        <v>111090.3</v>
      </c>
      <c r="N500" s="48">
        <v>2787.3</v>
      </c>
    </row>
    <row r="501" spans="1:14" ht="10.050000000000001" customHeight="1">
      <c r="A501" s="45" t="s">
        <v>83</v>
      </c>
      <c r="B501" s="46">
        <v>2010</v>
      </c>
      <c r="C501" s="45" t="s">
        <v>116</v>
      </c>
      <c r="D501" s="47">
        <v>5</v>
      </c>
      <c r="E501" s="48">
        <v>172.4</v>
      </c>
      <c r="F501" s="48">
        <v>215.7</v>
      </c>
      <c r="G501" s="48">
        <v>388.1</v>
      </c>
      <c r="H501" s="48">
        <v>1390.4</v>
      </c>
      <c r="I501" s="48">
        <v>830.3</v>
      </c>
      <c r="J501" s="48">
        <v>2220.6999999999998</v>
      </c>
      <c r="K501" s="48">
        <v>16.399999999999999</v>
      </c>
      <c r="L501" s="48">
        <v>0</v>
      </c>
      <c r="M501" s="48">
        <v>0</v>
      </c>
      <c r="N501" s="48">
        <v>2.8</v>
      </c>
    </row>
    <row r="502" spans="1:14" ht="10.050000000000001" customHeight="1">
      <c r="A502" s="45" t="s">
        <v>82</v>
      </c>
      <c r="B502" s="46">
        <v>2010</v>
      </c>
      <c r="C502" s="45" t="s">
        <v>116</v>
      </c>
      <c r="D502" s="47">
        <v>5</v>
      </c>
      <c r="E502" s="48">
        <v>1560.6</v>
      </c>
      <c r="F502" s="48">
        <v>0</v>
      </c>
      <c r="G502" s="48">
        <v>1560.6</v>
      </c>
      <c r="H502" s="48">
        <v>20435.5</v>
      </c>
      <c r="I502" s="48">
        <v>983.6</v>
      </c>
      <c r="J502" s="48">
        <v>21419.1</v>
      </c>
      <c r="K502" s="48">
        <v>1155.5</v>
      </c>
      <c r="L502" s="48">
        <v>306.60000000000002</v>
      </c>
      <c r="M502" s="48">
        <v>340.8</v>
      </c>
      <c r="N502" s="48">
        <v>2</v>
      </c>
    </row>
    <row r="503" spans="1:14" ht="10.050000000000001" customHeight="1">
      <c r="A503" s="45" t="s">
        <v>81</v>
      </c>
      <c r="B503" s="46">
        <v>2010</v>
      </c>
      <c r="C503" s="45" t="s">
        <v>116</v>
      </c>
      <c r="D503" s="47">
        <v>5</v>
      </c>
      <c r="E503" s="48">
        <v>31485.4</v>
      </c>
      <c r="F503" s="48">
        <v>-0.4</v>
      </c>
      <c r="G503" s="48">
        <v>31485</v>
      </c>
      <c r="H503" s="48">
        <v>367276.9</v>
      </c>
      <c r="I503" s="48">
        <v>3103.5</v>
      </c>
      <c r="J503" s="48">
        <v>370380.4</v>
      </c>
      <c r="K503" s="48">
        <v>11925.8</v>
      </c>
      <c r="L503" s="48">
        <v>530.79999999999995</v>
      </c>
      <c r="M503" s="48">
        <v>16063.2</v>
      </c>
      <c r="N503" s="48">
        <v>1133.9000000000001</v>
      </c>
    </row>
    <row r="504" spans="1:14" ht="10.050000000000001" customHeight="1">
      <c r="A504" s="45" t="s">
        <v>80</v>
      </c>
      <c r="B504" s="46">
        <v>2010</v>
      </c>
      <c r="C504" s="45" t="s">
        <v>116</v>
      </c>
      <c r="D504" s="47">
        <v>6</v>
      </c>
      <c r="E504" s="48">
        <v>77317.100000000006</v>
      </c>
      <c r="F504" s="48">
        <v>430.8</v>
      </c>
      <c r="G504" s="48">
        <v>77747.899999999994</v>
      </c>
      <c r="H504" s="48">
        <v>239991.4</v>
      </c>
      <c r="I504" s="48">
        <v>10143.9</v>
      </c>
      <c r="J504" s="48">
        <v>250135.3</v>
      </c>
      <c r="K504" s="48">
        <v>3862.9</v>
      </c>
      <c r="L504" s="48">
        <v>886.10000000000105</v>
      </c>
      <c r="M504" s="48">
        <v>25120.1</v>
      </c>
      <c r="N504" s="48">
        <v>682.7</v>
      </c>
    </row>
    <row r="505" spans="1:14" ht="10.050000000000001" customHeight="1">
      <c r="A505" s="45" t="s">
        <v>83</v>
      </c>
      <c r="B505" s="46">
        <v>2010</v>
      </c>
      <c r="C505" s="45" t="s">
        <v>116</v>
      </c>
      <c r="D505" s="47">
        <v>6</v>
      </c>
      <c r="E505" s="48">
        <v>1047.0999999999999</v>
      </c>
      <c r="F505" s="48">
        <v>-146.9</v>
      </c>
      <c r="G505" s="48">
        <v>900.2</v>
      </c>
      <c r="H505" s="48">
        <v>449</v>
      </c>
      <c r="I505" s="48">
        <v>412.8</v>
      </c>
      <c r="J505" s="48">
        <v>861.8</v>
      </c>
      <c r="K505" s="48">
        <v>0</v>
      </c>
      <c r="L505" s="48">
        <v>0</v>
      </c>
      <c r="M505" s="48">
        <v>16.399999999999999</v>
      </c>
      <c r="N505" s="48">
        <v>0</v>
      </c>
    </row>
    <row r="506" spans="1:14" ht="10.050000000000001" customHeight="1">
      <c r="A506" s="45" t="s">
        <v>82</v>
      </c>
      <c r="B506" s="46">
        <v>2010</v>
      </c>
      <c r="C506" s="45" t="s">
        <v>116</v>
      </c>
      <c r="D506" s="47">
        <v>6</v>
      </c>
      <c r="E506" s="48">
        <v>2239.6</v>
      </c>
      <c r="F506" s="48">
        <v>577.70000000000005</v>
      </c>
      <c r="G506" s="48">
        <v>2817.3</v>
      </c>
      <c r="H506" s="48">
        <v>13680.6</v>
      </c>
      <c r="I506" s="48">
        <v>424.7</v>
      </c>
      <c r="J506" s="48">
        <v>14105.3</v>
      </c>
      <c r="K506" s="48">
        <v>385.3</v>
      </c>
      <c r="L506" s="48">
        <v>0</v>
      </c>
      <c r="M506" s="48">
        <v>753.5</v>
      </c>
      <c r="N506" s="48">
        <v>16.7</v>
      </c>
    </row>
    <row r="507" spans="1:14" ht="10.050000000000001" customHeight="1">
      <c r="A507" s="45" t="s">
        <v>81</v>
      </c>
      <c r="B507" s="46">
        <v>2010</v>
      </c>
      <c r="C507" s="45" t="s">
        <v>116</v>
      </c>
      <c r="D507" s="47">
        <v>6</v>
      </c>
      <c r="E507" s="48">
        <v>25222.2</v>
      </c>
      <c r="F507" s="48">
        <v>-104.8</v>
      </c>
      <c r="G507" s="48">
        <v>25117.4</v>
      </c>
      <c r="H507" s="48">
        <v>188599.4</v>
      </c>
      <c r="I507" s="48">
        <v>732.6</v>
      </c>
      <c r="J507" s="48">
        <v>189332</v>
      </c>
      <c r="K507" s="48">
        <v>2586.8000000000002</v>
      </c>
      <c r="L507" s="48">
        <v>68.900000000000006</v>
      </c>
      <c r="M507" s="48">
        <v>8522.1</v>
      </c>
      <c r="N507" s="48">
        <v>887.7</v>
      </c>
    </row>
    <row r="508" spans="1:14" ht="10.050000000000001" customHeight="1">
      <c r="A508" s="45" t="s">
        <v>80</v>
      </c>
      <c r="B508" s="46">
        <v>2010</v>
      </c>
      <c r="C508" s="45" t="s">
        <v>117</v>
      </c>
      <c r="D508" s="47">
        <v>7</v>
      </c>
      <c r="E508" s="48">
        <v>2427872.2000000002</v>
      </c>
      <c r="F508" s="48">
        <v>7678.5</v>
      </c>
      <c r="G508" s="48">
        <v>2435550.7000000002</v>
      </c>
      <c r="H508" s="48">
        <v>2233680.9</v>
      </c>
      <c r="I508" s="48">
        <v>15180.7</v>
      </c>
      <c r="J508" s="48">
        <v>2248861.6</v>
      </c>
      <c r="K508" s="48">
        <v>777068.5</v>
      </c>
      <c r="L508" s="48">
        <v>827665.1</v>
      </c>
      <c r="M508" s="48">
        <v>51165.599999999999</v>
      </c>
      <c r="N508" s="48">
        <v>3294.9</v>
      </c>
    </row>
    <row r="509" spans="1:14" ht="10.050000000000001" customHeight="1">
      <c r="A509" s="45" t="s">
        <v>83</v>
      </c>
      <c r="B509" s="46">
        <v>2010</v>
      </c>
      <c r="C509" s="45" t="s">
        <v>117</v>
      </c>
      <c r="D509" s="47">
        <v>7</v>
      </c>
      <c r="E509" s="48">
        <v>9118</v>
      </c>
      <c r="F509" s="48">
        <v>0</v>
      </c>
      <c r="G509" s="48">
        <v>9118</v>
      </c>
      <c r="H509" s="48">
        <v>6996.6</v>
      </c>
      <c r="I509" s="48">
        <v>412.8</v>
      </c>
      <c r="J509" s="48">
        <v>7409.4</v>
      </c>
      <c r="K509" s="48">
        <v>703.2</v>
      </c>
      <c r="L509" s="48">
        <v>703.2</v>
      </c>
      <c r="M509" s="48">
        <v>0</v>
      </c>
      <c r="N509" s="48">
        <v>0</v>
      </c>
    </row>
    <row r="510" spans="1:14" ht="10.050000000000001" customHeight="1">
      <c r="A510" s="45" t="s">
        <v>82</v>
      </c>
      <c r="B510" s="46">
        <v>2010</v>
      </c>
      <c r="C510" s="45" t="s">
        <v>117</v>
      </c>
      <c r="D510" s="47">
        <v>7</v>
      </c>
      <c r="E510" s="48">
        <v>484.8</v>
      </c>
      <c r="F510" s="48">
        <v>0</v>
      </c>
      <c r="G510" s="48">
        <v>484.8</v>
      </c>
      <c r="H510" s="48">
        <v>10684.5</v>
      </c>
      <c r="I510" s="48">
        <v>423</v>
      </c>
      <c r="J510" s="48">
        <v>11107.5</v>
      </c>
      <c r="K510" s="48">
        <v>331.4</v>
      </c>
      <c r="L510" s="48">
        <v>0</v>
      </c>
      <c r="M510" s="48">
        <v>53.9</v>
      </c>
      <c r="N510" s="48">
        <v>0</v>
      </c>
    </row>
    <row r="511" spans="1:14" ht="10.050000000000001" customHeight="1">
      <c r="A511" s="45" t="s">
        <v>81</v>
      </c>
      <c r="B511" s="46">
        <v>2010</v>
      </c>
      <c r="C511" s="45" t="s">
        <v>117</v>
      </c>
      <c r="D511" s="47">
        <v>7</v>
      </c>
      <c r="E511" s="48">
        <v>2205.6</v>
      </c>
      <c r="F511" s="48">
        <v>0</v>
      </c>
      <c r="G511" s="48">
        <v>2205.6</v>
      </c>
      <c r="H511" s="48">
        <v>122328.4</v>
      </c>
      <c r="I511" s="48">
        <v>730.8</v>
      </c>
      <c r="J511" s="48">
        <v>123059.2</v>
      </c>
      <c r="K511" s="48">
        <v>2135.5</v>
      </c>
      <c r="L511" s="48">
        <v>240.1</v>
      </c>
      <c r="M511" s="48">
        <v>688.3</v>
      </c>
      <c r="N511" s="48">
        <v>3.3</v>
      </c>
    </row>
    <row r="512" spans="1:14" ht="10.050000000000001" customHeight="1">
      <c r="A512" s="45" t="s">
        <v>80</v>
      </c>
      <c r="B512" s="46">
        <v>2010</v>
      </c>
      <c r="C512" s="45" t="s">
        <v>117</v>
      </c>
      <c r="D512" s="47">
        <v>8</v>
      </c>
      <c r="E512" s="48">
        <v>717468.4</v>
      </c>
      <c r="F512" s="48">
        <v>1933.7</v>
      </c>
      <c r="G512" s="48">
        <v>719402.1</v>
      </c>
      <c r="H512" s="48">
        <v>2642639.1</v>
      </c>
      <c r="I512" s="48">
        <v>12874.3</v>
      </c>
      <c r="J512" s="48">
        <v>2655513.4</v>
      </c>
      <c r="K512" s="48">
        <v>799439.2</v>
      </c>
      <c r="L512" s="48">
        <v>274072.3</v>
      </c>
      <c r="M512" s="48">
        <v>248791.3</v>
      </c>
      <c r="N512" s="48">
        <v>2910.3</v>
      </c>
    </row>
    <row r="513" spans="1:14" ht="10.050000000000001" customHeight="1">
      <c r="A513" s="45" t="s">
        <v>83</v>
      </c>
      <c r="B513" s="46">
        <v>2010</v>
      </c>
      <c r="C513" s="45" t="s">
        <v>117</v>
      </c>
      <c r="D513" s="47">
        <v>8</v>
      </c>
      <c r="E513" s="48">
        <v>6412.3</v>
      </c>
      <c r="F513" s="48">
        <v>396</v>
      </c>
      <c r="G513" s="48">
        <v>6808.3</v>
      </c>
      <c r="H513" s="48">
        <v>8000.5</v>
      </c>
      <c r="I513" s="48">
        <v>799.7</v>
      </c>
      <c r="J513" s="48">
        <v>8800.2000000000007</v>
      </c>
      <c r="K513" s="48">
        <v>994.1</v>
      </c>
      <c r="L513" s="48">
        <v>451.1</v>
      </c>
      <c r="M513" s="48">
        <v>160.19999999999999</v>
      </c>
      <c r="N513" s="48">
        <v>0</v>
      </c>
    </row>
    <row r="514" spans="1:14" ht="10.050000000000001" customHeight="1">
      <c r="A514" s="45" t="s">
        <v>82</v>
      </c>
      <c r="B514" s="46">
        <v>2010</v>
      </c>
      <c r="C514" s="45" t="s">
        <v>117</v>
      </c>
      <c r="D514" s="47">
        <v>8</v>
      </c>
      <c r="E514" s="48">
        <v>781.5</v>
      </c>
      <c r="F514" s="48">
        <v>59.8</v>
      </c>
      <c r="G514" s="48">
        <v>841.3</v>
      </c>
      <c r="H514" s="48">
        <v>8047.9</v>
      </c>
      <c r="I514" s="48">
        <v>482.8</v>
      </c>
      <c r="J514" s="48">
        <v>8530.7000000000007</v>
      </c>
      <c r="K514" s="48">
        <v>316.39999999999998</v>
      </c>
      <c r="L514" s="48">
        <v>0</v>
      </c>
      <c r="M514" s="48">
        <v>13</v>
      </c>
      <c r="N514" s="48">
        <v>2</v>
      </c>
    </row>
    <row r="515" spans="1:14" ht="10.050000000000001" customHeight="1">
      <c r="A515" s="45" t="s">
        <v>81</v>
      </c>
      <c r="B515" s="46">
        <v>2010</v>
      </c>
      <c r="C515" s="45" t="s">
        <v>117</v>
      </c>
      <c r="D515" s="47">
        <v>8</v>
      </c>
      <c r="E515" s="48">
        <v>31970.3</v>
      </c>
      <c r="F515" s="48">
        <v>267.89999999999998</v>
      </c>
      <c r="G515" s="48">
        <v>32238.2</v>
      </c>
      <c r="H515" s="48">
        <v>96608.3</v>
      </c>
      <c r="I515" s="48">
        <v>777.2</v>
      </c>
      <c r="J515" s="48">
        <v>97385.5</v>
      </c>
      <c r="K515" s="48">
        <v>8789</v>
      </c>
      <c r="L515" s="48">
        <v>7189.8</v>
      </c>
      <c r="M515" s="48">
        <v>577.29999999999995</v>
      </c>
      <c r="N515" s="48">
        <v>-46.2</v>
      </c>
    </row>
    <row r="516" spans="1:14" ht="10.050000000000001" customHeight="1">
      <c r="A516" s="45" t="s">
        <v>80</v>
      </c>
      <c r="B516" s="46">
        <v>2010</v>
      </c>
      <c r="C516" s="45" t="s">
        <v>117</v>
      </c>
      <c r="D516" s="47">
        <v>9</v>
      </c>
      <c r="E516" s="48">
        <v>206244.6</v>
      </c>
      <c r="F516" s="48">
        <v>27.4</v>
      </c>
      <c r="G516" s="48">
        <v>206272</v>
      </c>
      <c r="H516" s="48">
        <v>2515321.9</v>
      </c>
      <c r="I516" s="48">
        <v>12464.4</v>
      </c>
      <c r="J516" s="48">
        <v>2527786.2999999998</v>
      </c>
      <c r="K516" s="48">
        <v>658309.69999999995</v>
      </c>
      <c r="L516" s="48">
        <v>19831</v>
      </c>
      <c r="M516" s="48">
        <v>157830.79999999999</v>
      </c>
      <c r="N516" s="48">
        <v>2114.5</v>
      </c>
    </row>
    <row r="517" spans="1:14" ht="10.050000000000001" customHeight="1">
      <c r="A517" s="45" t="s">
        <v>83</v>
      </c>
      <c r="B517" s="46">
        <v>2010</v>
      </c>
      <c r="C517" s="45" t="s">
        <v>117</v>
      </c>
      <c r="D517" s="47">
        <v>9</v>
      </c>
      <c r="E517" s="48">
        <v>3605.8</v>
      </c>
      <c r="F517" s="48">
        <v>0</v>
      </c>
      <c r="G517" s="48">
        <v>3605.8</v>
      </c>
      <c r="H517" s="48">
        <v>6557.2</v>
      </c>
      <c r="I517" s="48">
        <v>427.1</v>
      </c>
      <c r="J517" s="48">
        <v>6984.3</v>
      </c>
      <c r="K517" s="48">
        <v>755</v>
      </c>
      <c r="L517" s="48">
        <v>135.6</v>
      </c>
      <c r="M517" s="48">
        <v>374.7</v>
      </c>
      <c r="N517" s="48">
        <v>0</v>
      </c>
    </row>
    <row r="518" spans="1:14" ht="10.050000000000001" customHeight="1">
      <c r="A518" s="45" t="s">
        <v>82</v>
      </c>
      <c r="B518" s="46">
        <v>2010</v>
      </c>
      <c r="C518" s="45" t="s">
        <v>117</v>
      </c>
      <c r="D518" s="47">
        <v>9</v>
      </c>
      <c r="E518" s="48">
        <v>31098.400000000001</v>
      </c>
      <c r="F518" s="48">
        <v>2167.4</v>
      </c>
      <c r="G518" s="48">
        <v>33265.800000000003</v>
      </c>
      <c r="H518" s="48">
        <v>34815.599999999999</v>
      </c>
      <c r="I518" s="48">
        <v>2653.4</v>
      </c>
      <c r="J518" s="48">
        <v>37469</v>
      </c>
      <c r="K518" s="48">
        <v>4511.3999999999996</v>
      </c>
      <c r="L518" s="48">
        <v>5290.2</v>
      </c>
      <c r="M518" s="48">
        <v>1085.3</v>
      </c>
      <c r="N518" s="48">
        <v>9.9</v>
      </c>
    </row>
    <row r="519" spans="1:14" ht="10.050000000000001" customHeight="1">
      <c r="A519" s="45" t="s">
        <v>81</v>
      </c>
      <c r="B519" s="46">
        <v>2010</v>
      </c>
      <c r="C519" s="45" t="s">
        <v>117</v>
      </c>
      <c r="D519" s="47">
        <v>9</v>
      </c>
      <c r="E519" s="48">
        <v>786757.3</v>
      </c>
      <c r="F519" s="48">
        <v>4870.3999999999996</v>
      </c>
      <c r="G519" s="48">
        <v>791627.7</v>
      </c>
      <c r="H519" s="48">
        <v>773947.4</v>
      </c>
      <c r="I519" s="48">
        <v>5146.8</v>
      </c>
      <c r="J519" s="48">
        <v>779094.2</v>
      </c>
      <c r="K519" s="48">
        <v>286335.40000000002</v>
      </c>
      <c r="L519" s="48">
        <v>292710.59999999998</v>
      </c>
      <c r="M519" s="48">
        <v>13494.7</v>
      </c>
      <c r="N519" s="48">
        <v>1668.8</v>
      </c>
    </row>
    <row r="520" spans="1:14" ht="10.050000000000001" customHeight="1">
      <c r="A520" s="45" t="s">
        <v>80</v>
      </c>
      <c r="B520" s="46">
        <v>2010</v>
      </c>
      <c r="C520" s="45" t="s">
        <v>117</v>
      </c>
      <c r="D520" s="47">
        <v>10</v>
      </c>
      <c r="E520" s="48">
        <v>111092.5</v>
      </c>
      <c r="F520" s="48">
        <v>74</v>
      </c>
      <c r="G520" s="48">
        <v>111166.5</v>
      </c>
      <c r="H520" s="48">
        <v>2345534.9</v>
      </c>
      <c r="I520" s="48">
        <v>12339.9</v>
      </c>
      <c r="J520" s="48">
        <v>2357874.7999999998</v>
      </c>
      <c r="K520" s="48">
        <v>586362.6</v>
      </c>
      <c r="L520" s="48">
        <v>7544.6</v>
      </c>
      <c r="M520" s="48">
        <v>78389.7</v>
      </c>
      <c r="N520" s="48">
        <v>2272.1</v>
      </c>
    </row>
    <row r="521" spans="1:14" ht="10.050000000000001" customHeight="1">
      <c r="A521" s="45" t="s">
        <v>83</v>
      </c>
      <c r="B521" s="46">
        <v>2010</v>
      </c>
      <c r="C521" s="45" t="s">
        <v>117</v>
      </c>
      <c r="D521" s="47">
        <v>10</v>
      </c>
      <c r="E521" s="48">
        <v>1292.7</v>
      </c>
      <c r="F521" s="48">
        <v>0</v>
      </c>
      <c r="G521" s="48">
        <v>1292.7</v>
      </c>
      <c r="H521" s="48">
        <v>6025.4</v>
      </c>
      <c r="I521" s="48">
        <v>404</v>
      </c>
      <c r="J521" s="48">
        <v>6429.4</v>
      </c>
      <c r="K521" s="48">
        <v>264.5</v>
      </c>
      <c r="L521" s="48">
        <v>0.7</v>
      </c>
      <c r="M521" s="48">
        <v>491.2</v>
      </c>
      <c r="N521" s="48">
        <v>0</v>
      </c>
    </row>
    <row r="522" spans="1:14" ht="10.050000000000001" customHeight="1">
      <c r="A522" s="45" t="s">
        <v>82</v>
      </c>
      <c r="B522" s="46">
        <v>2010</v>
      </c>
      <c r="C522" s="45" t="s">
        <v>117</v>
      </c>
      <c r="D522" s="47">
        <v>10</v>
      </c>
      <c r="E522" s="48">
        <v>51632</v>
      </c>
      <c r="F522" s="48">
        <v>2222.3000000000002</v>
      </c>
      <c r="G522" s="48">
        <v>53854.3</v>
      </c>
      <c r="H522" s="48">
        <v>82613.399999999994</v>
      </c>
      <c r="I522" s="48">
        <v>4856.3999999999996</v>
      </c>
      <c r="J522" s="48">
        <v>87469.8</v>
      </c>
      <c r="K522" s="48">
        <v>12438.7</v>
      </c>
      <c r="L522" s="48">
        <v>9164.5</v>
      </c>
      <c r="M522" s="48">
        <v>1486.8</v>
      </c>
      <c r="N522" s="48">
        <v>127</v>
      </c>
    </row>
    <row r="523" spans="1:14" ht="10.050000000000001" customHeight="1">
      <c r="A523" s="45" t="s">
        <v>81</v>
      </c>
      <c r="B523" s="46">
        <v>2010</v>
      </c>
      <c r="C523" s="45" t="s">
        <v>117</v>
      </c>
      <c r="D523" s="47">
        <v>10</v>
      </c>
      <c r="E523" s="48">
        <v>284306.90000000002</v>
      </c>
      <c r="F523" s="48">
        <v>762.6</v>
      </c>
      <c r="G523" s="48">
        <v>285069.5</v>
      </c>
      <c r="H523" s="48">
        <v>904067</v>
      </c>
      <c r="I523" s="48">
        <v>5926.5</v>
      </c>
      <c r="J523" s="48">
        <v>909993.5</v>
      </c>
      <c r="K523" s="48">
        <v>292787.09999999998</v>
      </c>
      <c r="L523" s="48">
        <v>79461.5</v>
      </c>
      <c r="M523" s="48">
        <v>80111.3</v>
      </c>
      <c r="N523" s="48">
        <v>1988.8</v>
      </c>
    </row>
    <row r="524" spans="1:14" ht="10.050000000000001" customHeight="1">
      <c r="A524" s="45" t="s">
        <v>80</v>
      </c>
      <c r="B524" s="46">
        <v>2010</v>
      </c>
      <c r="C524" s="45" t="s">
        <v>117</v>
      </c>
      <c r="D524" s="47">
        <v>11</v>
      </c>
      <c r="E524" s="48">
        <v>257334.1</v>
      </c>
      <c r="F524" s="48">
        <v>104.6</v>
      </c>
      <c r="G524" s="48">
        <v>257438.7</v>
      </c>
      <c r="H524" s="48">
        <v>2247706.9</v>
      </c>
      <c r="I524" s="48">
        <v>12423.5</v>
      </c>
      <c r="J524" s="48">
        <v>2260130.4</v>
      </c>
      <c r="K524" s="48">
        <v>415974.5</v>
      </c>
      <c r="L524" s="48">
        <v>14353.7</v>
      </c>
      <c r="M524" s="48">
        <v>178626.3</v>
      </c>
      <c r="N524" s="48">
        <v>4880.6000000000004</v>
      </c>
    </row>
    <row r="525" spans="1:14" ht="10.050000000000001" customHeight="1">
      <c r="A525" s="45" t="s">
        <v>83</v>
      </c>
      <c r="B525" s="46">
        <v>2010</v>
      </c>
      <c r="C525" s="45" t="s">
        <v>117</v>
      </c>
      <c r="D525" s="47">
        <v>11</v>
      </c>
      <c r="E525" s="48">
        <v>1454.8</v>
      </c>
      <c r="F525" s="48">
        <v>17.7</v>
      </c>
      <c r="G525" s="48">
        <v>1472.5</v>
      </c>
      <c r="H525" s="48">
        <v>4819.7</v>
      </c>
      <c r="I525" s="48">
        <v>421.7</v>
      </c>
      <c r="J525" s="48">
        <v>5241.3999999999996</v>
      </c>
      <c r="K525" s="48">
        <v>253.7</v>
      </c>
      <c r="L525" s="48">
        <v>32.5</v>
      </c>
      <c r="M525" s="48">
        <v>43.3</v>
      </c>
      <c r="N525" s="48">
        <v>0</v>
      </c>
    </row>
    <row r="526" spans="1:14" ht="10.050000000000001" customHeight="1">
      <c r="A526" s="45" t="s">
        <v>82</v>
      </c>
      <c r="B526" s="46">
        <v>2010</v>
      </c>
      <c r="C526" s="45" t="s">
        <v>117</v>
      </c>
      <c r="D526" s="47">
        <v>11</v>
      </c>
      <c r="E526" s="48">
        <v>8680.4</v>
      </c>
      <c r="F526" s="48">
        <v>662.2</v>
      </c>
      <c r="G526" s="48">
        <v>9342.6</v>
      </c>
      <c r="H526" s="48">
        <v>78630.7</v>
      </c>
      <c r="I526" s="48">
        <v>5431.3</v>
      </c>
      <c r="J526" s="48">
        <v>84062</v>
      </c>
      <c r="K526" s="48">
        <v>10940.6</v>
      </c>
      <c r="L526" s="48">
        <v>953.2</v>
      </c>
      <c r="M526" s="48">
        <v>2283.4</v>
      </c>
      <c r="N526" s="48">
        <v>194.9</v>
      </c>
    </row>
    <row r="527" spans="1:14" ht="10.050000000000001" customHeight="1">
      <c r="A527" s="45" t="s">
        <v>81</v>
      </c>
      <c r="B527" s="46">
        <v>2010</v>
      </c>
      <c r="C527" s="45" t="s">
        <v>117</v>
      </c>
      <c r="D527" s="47">
        <v>11</v>
      </c>
      <c r="E527" s="48">
        <v>111947.9</v>
      </c>
      <c r="F527" s="48">
        <v>44.7</v>
      </c>
      <c r="G527" s="48">
        <v>111992.6</v>
      </c>
      <c r="H527" s="48">
        <v>881800.8</v>
      </c>
      <c r="I527" s="48">
        <v>4957.2</v>
      </c>
      <c r="J527" s="48">
        <v>886758</v>
      </c>
      <c r="K527" s="48">
        <v>202930.5</v>
      </c>
      <c r="L527" s="48">
        <v>4619.8999999999996</v>
      </c>
      <c r="M527" s="48">
        <v>93564.800000000003</v>
      </c>
      <c r="N527" s="48">
        <v>911.7</v>
      </c>
    </row>
    <row r="528" spans="1:14" ht="10.050000000000001" customHeight="1">
      <c r="A528" s="45" t="s">
        <v>80</v>
      </c>
      <c r="B528" s="46">
        <v>2010</v>
      </c>
      <c r="C528" s="45" t="s">
        <v>117</v>
      </c>
      <c r="D528" s="47">
        <v>12</v>
      </c>
      <c r="E528" s="48">
        <v>152607.5</v>
      </c>
      <c r="F528" s="48">
        <v>2051.9</v>
      </c>
      <c r="G528" s="48">
        <v>154659.4</v>
      </c>
      <c r="H528" s="48">
        <v>2016641.7</v>
      </c>
      <c r="I528" s="48">
        <v>12281.4</v>
      </c>
      <c r="J528" s="48">
        <v>2028923.1</v>
      </c>
      <c r="K528" s="48">
        <v>338199.3</v>
      </c>
      <c r="L528" s="48">
        <v>18917.7</v>
      </c>
      <c r="M528" s="48">
        <v>93113.9</v>
      </c>
      <c r="N528" s="48">
        <v>4518.2</v>
      </c>
    </row>
    <row r="529" spans="1:14" ht="10.050000000000001" customHeight="1">
      <c r="A529" s="45" t="s">
        <v>83</v>
      </c>
      <c r="B529" s="46">
        <v>2010</v>
      </c>
      <c r="C529" s="45" t="s">
        <v>117</v>
      </c>
      <c r="D529" s="47">
        <v>12</v>
      </c>
      <c r="E529" s="48">
        <v>640.1</v>
      </c>
      <c r="F529" s="48">
        <v>0</v>
      </c>
      <c r="G529" s="48">
        <v>640.1</v>
      </c>
      <c r="H529" s="48">
        <v>4139.1000000000004</v>
      </c>
      <c r="I529" s="48">
        <v>421.7</v>
      </c>
      <c r="J529" s="48">
        <v>4560.8</v>
      </c>
      <c r="K529" s="48">
        <v>320.10000000000002</v>
      </c>
      <c r="L529" s="48">
        <v>71.400000000000006</v>
      </c>
      <c r="M529" s="48">
        <v>5</v>
      </c>
      <c r="N529" s="48">
        <v>0</v>
      </c>
    </row>
    <row r="530" spans="1:14" ht="10.050000000000001" customHeight="1">
      <c r="A530" s="45" t="s">
        <v>82</v>
      </c>
      <c r="B530" s="46">
        <v>2010</v>
      </c>
      <c r="C530" s="45" t="s">
        <v>117</v>
      </c>
      <c r="D530" s="47">
        <v>12</v>
      </c>
      <c r="E530" s="48">
        <v>4359.8999999999996</v>
      </c>
      <c r="F530" s="48">
        <v>0.2</v>
      </c>
      <c r="G530" s="48">
        <v>4360.1000000000004</v>
      </c>
      <c r="H530" s="48">
        <v>76804.100000000006</v>
      </c>
      <c r="I530" s="48">
        <v>5418.7</v>
      </c>
      <c r="J530" s="48">
        <v>82222.8</v>
      </c>
      <c r="K530" s="48">
        <v>8818.1</v>
      </c>
      <c r="L530" s="48">
        <v>440.5</v>
      </c>
      <c r="M530" s="48">
        <v>2509.5</v>
      </c>
      <c r="N530" s="48">
        <v>53.5</v>
      </c>
    </row>
    <row r="531" spans="1:14" ht="10.050000000000001" customHeight="1">
      <c r="A531" s="45" t="s">
        <v>81</v>
      </c>
      <c r="B531" s="46">
        <v>2010</v>
      </c>
      <c r="C531" s="45" t="s">
        <v>117</v>
      </c>
      <c r="D531" s="47">
        <v>12</v>
      </c>
      <c r="E531" s="48">
        <v>65102.2</v>
      </c>
      <c r="F531" s="48">
        <v>10.6</v>
      </c>
      <c r="G531" s="48">
        <v>65112.800000000003</v>
      </c>
      <c r="H531" s="48">
        <v>811147.9</v>
      </c>
      <c r="I531" s="48">
        <v>3818</v>
      </c>
      <c r="J531" s="48">
        <v>814965.9</v>
      </c>
      <c r="K531" s="48">
        <v>149517.6</v>
      </c>
      <c r="L531" s="48">
        <v>3199.6</v>
      </c>
      <c r="M531" s="48">
        <v>52488.9</v>
      </c>
      <c r="N531" s="48">
        <v>4123.2</v>
      </c>
    </row>
    <row r="532" spans="1:14" ht="10.050000000000001" customHeight="1">
      <c r="A532" s="45" t="s">
        <v>80</v>
      </c>
      <c r="B532" s="46">
        <v>2011</v>
      </c>
      <c r="C532" s="45" t="s">
        <v>117</v>
      </c>
      <c r="D532" s="47">
        <v>1</v>
      </c>
      <c r="E532" s="48">
        <v>205044.2</v>
      </c>
      <c r="F532" s="48">
        <v>0</v>
      </c>
      <c r="G532" s="48">
        <v>205044.2</v>
      </c>
      <c r="H532" s="48">
        <v>1754817.8</v>
      </c>
      <c r="I532" s="48">
        <v>11966.4</v>
      </c>
      <c r="J532" s="48">
        <v>1766784.2</v>
      </c>
      <c r="K532" s="48">
        <v>262808.90000000002</v>
      </c>
      <c r="L532" s="48">
        <v>40629.599999999999</v>
      </c>
      <c r="M532" s="48">
        <v>113112</v>
      </c>
      <c r="N532" s="48">
        <v>2695.7</v>
      </c>
    </row>
    <row r="533" spans="1:14" ht="10.050000000000001" customHeight="1">
      <c r="A533" s="45" t="s">
        <v>83</v>
      </c>
      <c r="B533" s="46">
        <v>2011</v>
      </c>
      <c r="C533" s="45" t="s">
        <v>117</v>
      </c>
      <c r="D533" s="47">
        <v>1</v>
      </c>
      <c r="E533" s="48">
        <v>682.1</v>
      </c>
      <c r="F533" s="48">
        <v>183.1</v>
      </c>
      <c r="G533" s="48">
        <v>865.2</v>
      </c>
      <c r="H533" s="48">
        <v>3484.8</v>
      </c>
      <c r="I533" s="48">
        <v>594.79999999999995</v>
      </c>
      <c r="J533" s="48">
        <v>4079.6</v>
      </c>
      <c r="K533" s="48">
        <v>197.3</v>
      </c>
      <c r="L533" s="48">
        <v>0</v>
      </c>
      <c r="M533" s="48">
        <v>120.9</v>
      </c>
      <c r="N533" s="48">
        <v>1.9</v>
      </c>
    </row>
    <row r="534" spans="1:14" ht="10.050000000000001" customHeight="1">
      <c r="A534" s="45" t="s">
        <v>82</v>
      </c>
      <c r="B534" s="46">
        <v>2011</v>
      </c>
      <c r="C534" s="45" t="s">
        <v>117</v>
      </c>
      <c r="D534" s="47">
        <v>1</v>
      </c>
      <c r="E534" s="48">
        <v>4851.8</v>
      </c>
      <c r="F534" s="48">
        <v>1.1000000000000001</v>
      </c>
      <c r="G534" s="48">
        <v>4852.8999999999996</v>
      </c>
      <c r="H534" s="48">
        <v>72087</v>
      </c>
      <c r="I534" s="48">
        <v>4923.8</v>
      </c>
      <c r="J534" s="48">
        <v>77010.8</v>
      </c>
      <c r="K534" s="48">
        <v>6300.9</v>
      </c>
      <c r="L534" s="48">
        <v>5.0999999999999996</v>
      </c>
      <c r="M534" s="48">
        <v>2423</v>
      </c>
      <c r="N534" s="48">
        <v>56.4</v>
      </c>
    </row>
    <row r="535" spans="1:14" ht="10.050000000000001" customHeight="1">
      <c r="A535" s="45" t="s">
        <v>81</v>
      </c>
      <c r="B535" s="46">
        <v>2011</v>
      </c>
      <c r="C535" s="45" t="s">
        <v>117</v>
      </c>
      <c r="D535" s="47">
        <v>1</v>
      </c>
      <c r="E535" s="48">
        <v>63528.7</v>
      </c>
      <c r="F535" s="48">
        <v>10.8</v>
      </c>
      <c r="G535" s="48">
        <v>63539.5</v>
      </c>
      <c r="H535" s="48">
        <v>709076.2</v>
      </c>
      <c r="I535" s="48">
        <v>2930.2</v>
      </c>
      <c r="J535" s="48">
        <v>712006.4</v>
      </c>
      <c r="K535" s="48">
        <v>107282.8</v>
      </c>
      <c r="L535" s="48">
        <v>3333.5</v>
      </c>
      <c r="M535" s="48">
        <v>42953.2</v>
      </c>
      <c r="N535" s="48">
        <v>822.5</v>
      </c>
    </row>
    <row r="536" spans="1:14" ht="10.050000000000001" customHeight="1">
      <c r="A536" s="45" t="s">
        <v>80</v>
      </c>
      <c r="B536" s="46">
        <v>2011</v>
      </c>
      <c r="C536" s="45" t="s">
        <v>117</v>
      </c>
      <c r="D536" s="47">
        <v>2</v>
      </c>
      <c r="E536" s="48">
        <v>222405</v>
      </c>
      <c r="F536" s="48">
        <v>23.1</v>
      </c>
      <c r="G536" s="48">
        <v>222428.1</v>
      </c>
      <c r="H536" s="48">
        <v>1509983</v>
      </c>
      <c r="I536" s="48">
        <v>11867.3</v>
      </c>
      <c r="J536" s="48">
        <v>1521850.3</v>
      </c>
      <c r="K536" s="48">
        <v>166271.20000000001</v>
      </c>
      <c r="L536" s="48">
        <v>24596</v>
      </c>
      <c r="M536" s="48">
        <v>117511.4</v>
      </c>
      <c r="N536" s="48">
        <v>3622.3</v>
      </c>
    </row>
    <row r="537" spans="1:14" ht="10.050000000000001" customHeight="1">
      <c r="A537" s="45" t="s">
        <v>83</v>
      </c>
      <c r="B537" s="46">
        <v>2011</v>
      </c>
      <c r="C537" s="45" t="s">
        <v>117</v>
      </c>
      <c r="D537" s="47">
        <v>2</v>
      </c>
      <c r="E537" s="48">
        <v>690.4</v>
      </c>
      <c r="F537" s="48">
        <v>159.4</v>
      </c>
      <c r="G537" s="48">
        <v>849.8</v>
      </c>
      <c r="H537" s="48">
        <v>2128.1999999999998</v>
      </c>
      <c r="I537" s="48">
        <v>594.70000000000005</v>
      </c>
      <c r="J537" s="48">
        <v>2722.9</v>
      </c>
      <c r="K537" s="48">
        <v>120.2</v>
      </c>
      <c r="L537" s="48">
        <v>0</v>
      </c>
      <c r="M537" s="48">
        <v>77.099999999999994</v>
      </c>
      <c r="N537" s="48">
        <v>0</v>
      </c>
    </row>
    <row r="538" spans="1:14" ht="10.050000000000001" customHeight="1">
      <c r="A538" s="45" t="s">
        <v>82</v>
      </c>
      <c r="B538" s="46">
        <v>2011</v>
      </c>
      <c r="C538" s="45" t="s">
        <v>117</v>
      </c>
      <c r="D538" s="47">
        <v>2</v>
      </c>
      <c r="E538" s="48">
        <v>3273</v>
      </c>
      <c r="F538" s="48">
        <v>0</v>
      </c>
      <c r="G538" s="48">
        <v>3273</v>
      </c>
      <c r="H538" s="48">
        <v>65131.4</v>
      </c>
      <c r="I538" s="48">
        <v>4691.8</v>
      </c>
      <c r="J538" s="48">
        <v>69823.199999999997</v>
      </c>
      <c r="K538" s="48">
        <v>4356.8</v>
      </c>
      <c r="L538" s="48">
        <v>281.2</v>
      </c>
      <c r="M538" s="48">
        <v>2014.4</v>
      </c>
      <c r="N538" s="48">
        <v>236.9</v>
      </c>
    </row>
    <row r="539" spans="1:14" ht="10.050000000000001" customHeight="1">
      <c r="A539" s="45" t="s">
        <v>81</v>
      </c>
      <c r="B539" s="46">
        <v>2011</v>
      </c>
      <c r="C539" s="45" t="s">
        <v>117</v>
      </c>
      <c r="D539" s="47">
        <v>2</v>
      </c>
      <c r="E539" s="48">
        <v>56098.7</v>
      </c>
      <c r="F539" s="48">
        <v>1169.9000000000001</v>
      </c>
      <c r="G539" s="48">
        <v>57268.6</v>
      </c>
      <c r="H539" s="48">
        <v>607539</v>
      </c>
      <c r="I539" s="48">
        <v>2912.5</v>
      </c>
      <c r="J539" s="48">
        <v>610451.5</v>
      </c>
      <c r="K539" s="48">
        <v>76898.899999999994</v>
      </c>
      <c r="L539" s="48">
        <v>1825.8</v>
      </c>
      <c r="M539" s="48">
        <v>30669.3</v>
      </c>
      <c r="N539" s="48">
        <v>1540.4</v>
      </c>
    </row>
    <row r="540" spans="1:14" ht="10.050000000000001" customHeight="1">
      <c r="A540" s="45" t="s">
        <v>80</v>
      </c>
      <c r="B540" s="46">
        <v>2011</v>
      </c>
      <c r="C540" s="45" t="s">
        <v>117</v>
      </c>
      <c r="D540" s="47">
        <v>3</v>
      </c>
      <c r="E540" s="48">
        <v>141506.9</v>
      </c>
      <c r="F540" s="48">
        <v>10.1</v>
      </c>
      <c r="G540" s="48">
        <v>141517</v>
      </c>
      <c r="H540" s="48">
        <v>1154357.7</v>
      </c>
      <c r="I540" s="48">
        <v>11845.5</v>
      </c>
      <c r="J540" s="48">
        <v>1166203.2</v>
      </c>
      <c r="K540" s="48">
        <v>111814</v>
      </c>
      <c r="L540" s="48">
        <v>11428.9</v>
      </c>
      <c r="M540" s="48">
        <v>64357.8</v>
      </c>
      <c r="N540" s="48">
        <v>1527.3</v>
      </c>
    </row>
    <row r="541" spans="1:14" ht="10.050000000000001" customHeight="1">
      <c r="A541" s="45" t="s">
        <v>83</v>
      </c>
      <c r="B541" s="46">
        <v>2011</v>
      </c>
      <c r="C541" s="45" t="s">
        <v>117</v>
      </c>
      <c r="D541" s="47">
        <v>3</v>
      </c>
      <c r="E541" s="48">
        <v>504.1</v>
      </c>
      <c r="F541" s="48">
        <v>126.6</v>
      </c>
      <c r="G541" s="48">
        <v>630.70000000000005</v>
      </c>
      <c r="H541" s="48">
        <v>1852.8</v>
      </c>
      <c r="I541" s="48">
        <v>480.4</v>
      </c>
      <c r="J541" s="48">
        <v>2333.1999999999998</v>
      </c>
      <c r="K541" s="48">
        <v>84</v>
      </c>
      <c r="L541" s="48">
        <v>1.3</v>
      </c>
      <c r="M541" s="48">
        <v>37.4</v>
      </c>
      <c r="N541" s="48">
        <v>0.1</v>
      </c>
    </row>
    <row r="542" spans="1:14" ht="10.050000000000001" customHeight="1">
      <c r="A542" s="45" t="s">
        <v>82</v>
      </c>
      <c r="B542" s="46">
        <v>2011</v>
      </c>
      <c r="C542" s="45" t="s">
        <v>117</v>
      </c>
      <c r="D542" s="47">
        <v>3</v>
      </c>
      <c r="E542" s="48">
        <v>2303.4</v>
      </c>
      <c r="F542" s="48">
        <v>233.8</v>
      </c>
      <c r="G542" s="48">
        <v>2537.1999999999998</v>
      </c>
      <c r="H542" s="48">
        <v>56779.199999999997</v>
      </c>
      <c r="I542" s="48">
        <v>3984.6</v>
      </c>
      <c r="J542" s="48">
        <v>60763.8</v>
      </c>
      <c r="K542" s="48">
        <v>3541.5</v>
      </c>
      <c r="L542" s="48">
        <v>308.60000000000002</v>
      </c>
      <c r="M542" s="48">
        <v>1114.0999999999999</v>
      </c>
      <c r="N542" s="48">
        <v>9.8000000000000007</v>
      </c>
    </row>
    <row r="543" spans="1:14" ht="10.050000000000001" customHeight="1">
      <c r="A543" s="45" t="s">
        <v>81</v>
      </c>
      <c r="B543" s="46">
        <v>2011</v>
      </c>
      <c r="C543" s="45" t="s">
        <v>117</v>
      </c>
      <c r="D543" s="47">
        <v>3</v>
      </c>
      <c r="E543" s="48">
        <v>35941.199999999997</v>
      </c>
      <c r="F543" s="48">
        <v>840.2</v>
      </c>
      <c r="G543" s="48">
        <v>36781.4</v>
      </c>
      <c r="H543" s="48">
        <v>493704.1</v>
      </c>
      <c r="I543" s="48">
        <v>3006</v>
      </c>
      <c r="J543" s="48">
        <v>496710.1</v>
      </c>
      <c r="K543" s="48">
        <v>61499.199999999997</v>
      </c>
      <c r="L543" s="48">
        <v>1760.6</v>
      </c>
      <c r="M543" s="48">
        <v>16373.1</v>
      </c>
      <c r="N543" s="48">
        <v>817.2</v>
      </c>
    </row>
    <row r="544" spans="1:14" ht="10.050000000000001" customHeight="1">
      <c r="A544" s="45" t="s">
        <v>80</v>
      </c>
      <c r="B544" s="46">
        <v>2011</v>
      </c>
      <c r="C544" s="45" t="s">
        <v>117</v>
      </c>
      <c r="D544" s="47">
        <v>4</v>
      </c>
      <c r="E544" s="48">
        <v>113366.6</v>
      </c>
      <c r="F544" s="48">
        <v>0</v>
      </c>
      <c r="G544" s="48">
        <v>113366.6</v>
      </c>
      <c r="H544" s="48">
        <v>775358.9</v>
      </c>
      <c r="I544" s="48">
        <v>11803.9</v>
      </c>
      <c r="J544" s="48">
        <v>787162.8</v>
      </c>
      <c r="K544" s="48">
        <v>70127.600000000006</v>
      </c>
      <c r="L544" s="48">
        <v>9014.7999999999993</v>
      </c>
      <c r="M544" s="48">
        <v>50193.8</v>
      </c>
      <c r="N544" s="48">
        <v>512.70000000000005</v>
      </c>
    </row>
    <row r="545" spans="1:14" ht="10.050000000000001" customHeight="1">
      <c r="A545" s="45" t="s">
        <v>83</v>
      </c>
      <c r="B545" s="46">
        <v>2011</v>
      </c>
      <c r="C545" s="45" t="s">
        <v>117</v>
      </c>
      <c r="D545" s="47">
        <v>4</v>
      </c>
      <c r="E545" s="48">
        <v>450</v>
      </c>
      <c r="F545" s="48">
        <v>0</v>
      </c>
      <c r="G545" s="48">
        <v>450</v>
      </c>
      <c r="H545" s="48">
        <v>1468.7</v>
      </c>
      <c r="I545" s="48">
        <v>457.4</v>
      </c>
      <c r="J545" s="48">
        <v>1926.1</v>
      </c>
      <c r="K545" s="48">
        <v>68.900000000000006</v>
      </c>
      <c r="L545" s="48">
        <v>0.1</v>
      </c>
      <c r="M545" s="48">
        <v>15.2</v>
      </c>
      <c r="N545" s="48">
        <v>0</v>
      </c>
    </row>
    <row r="546" spans="1:14" ht="10.050000000000001" customHeight="1">
      <c r="A546" s="45" t="s">
        <v>82</v>
      </c>
      <c r="B546" s="46">
        <v>2011</v>
      </c>
      <c r="C546" s="45" t="s">
        <v>117</v>
      </c>
      <c r="D546" s="47">
        <v>4</v>
      </c>
      <c r="E546" s="48">
        <v>3116.4</v>
      </c>
      <c r="F546" s="48">
        <v>0</v>
      </c>
      <c r="G546" s="48">
        <v>3116.4</v>
      </c>
      <c r="H546" s="48">
        <v>48158</v>
      </c>
      <c r="I546" s="48">
        <v>3231</v>
      </c>
      <c r="J546" s="48">
        <v>51389</v>
      </c>
      <c r="K546" s="48">
        <v>2825.9</v>
      </c>
      <c r="L546" s="48">
        <v>534.9</v>
      </c>
      <c r="M546" s="48">
        <v>1239.2</v>
      </c>
      <c r="N546" s="48">
        <v>11.3</v>
      </c>
    </row>
    <row r="547" spans="1:14" ht="10.050000000000001" customHeight="1">
      <c r="A547" s="45" t="s">
        <v>81</v>
      </c>
      <c r="B547" s="46">
        <v>2011</v>
      </c>
      <c r="C547" s="45" t="s">
        <v>117</v>
      </c>
      <c r="D547" s="47">
        <v>4</v>
      </c>
      <c r="E547" s="48">
        <v>30339.9</v>
      </c>
      <c r="F547" s="48">
        <v>-37.4</v>
      </c>
      <c r="G547" s="48">
        <v>30302.5</v>
      </c>
      <c r="H547" s="48">
        <v>377318.9</v>
      </c>
      <c r="I547" s="48">
        <v>2924</v>
      </c>
      <c r="J547" s="48">
        <v>380242.9</v>
      </c>
      <c r="K547" s="48">
        <v>44695.1</v>
      </c>
      <c r="L547" s="48">
        <v>724</v>
      </c>
      <c r="M547" s="48">
        <v>16606.2</v>
      </c>
      <c r="N547" s="48">
        <v>921.9</v>
      </c>
    </row>
    <row r="548" spans="1:14" ht="10.050000000000001" customHeight="1">
      <c r="A548" s="45" t="s">
        <v>80</v>
      </c>
      <c r="B548" s="46">
        <v>2011</v>
      </c>
      <c r="C548" s="45" t="s">
        <v>117</v>
      </c>
      <c r="D548" s="47">
        <v>5</v>
      </c>
      <c r="E548" s="48">
        <v>106366.8</v>
      </c>
      <c r="F548" s="48">
        <v>3.2</v>
      </c>
      <c r="G548" s="48">
        <v>106370</v>
      </c>
      <c r="H548" s="48">
        <v>475592.5</v>
      </c>
      <c r="I548" s="48">
        <v>11539.7</v>
      </c>
      <c r="J548" s="48">
        <v>487132.2</v>
      </c>
      <c r="K548" s="48">
        <v>17937.099999999999</v>
      </c>
      <c r="L548" s="48">
        <v>4027.4</v>
      </c>
      <c r="M548" s="48">
        <v>54327.6</v>
      </c>
      <c r="N548" s="48">
        <v>1890.3</v>
      </c>
    </row>
    <row r="549" spans="1:14" ht="10.050000000000001" customHeight="1">
      <c r="A549" s="45" t="s">
        <v>83</v>
      </c>
      <c r="B549" s="46">
        <v>2011</v>
      </c>
      <c r="C549" s="45" t="s">
        <v>117</v>
      </c>
      <c r="D549" s="47">
        <v>5</v>
      </c>
      <c r="E549" s="48">
        <v>532.29999999999995</v>
      </c>
      <c r="F549" s="48">
        <v>154.30000000000001</v>
      </c>
      <c r="G549" s="48">
        <v>686.6</v>
      </c>
      <c r="H549" s="48">
        <v>935.9</v>
      </c>
      <c r="I549" s="48">
        <v>578.5</v>
      </c>
      <c r="J549" s="48">
        <v>1514.4</v>
      </c>
      <c r="K549" s="48">
        <v>0</v>
      </c>
      <c r="L549" s="48">
        <v>0</v>
      </c>
      <c r="M549" s="48">
        <v>68.900000000000006</v>
      </c>
      <c r="N549" s="48">
        <v>0</v>
      </c>
    </row>
    <row r="550" spans="1:14" ht="10.050000000000001" customHeight="1">
      <c r="A550" s="45" t="s">
        <v>82</v>
      </c>
      <c r="B550" s="46">
        <v>2011</v>
      </c>
      <c r="C550" s="45" t="s">
        <v>117</v>
      </c>
      <c r="D550" s="47">
        <v>5</v>
      </c>
      <c r="E550" s="48">
        <v>2972.5</v>
      </c>
      <c r="F550" s="48">
        <v>541.1</v>
      </c>
      <c r="G550" s="48">
        <v>3513.6</v>
      </c>
      <c r="H550" s="48">
        <v>41724.1</v>
      </c>
      <c r="I550" s="48">
        <v>2655.9</v>
      </c>
      <c r="J550" s="48">
        <v>44380</v>
      </c>
      <c r="K550" s="48">
        <v>1932.8</v>
      </c>
      <c r="L550" s="48">
        <v>864</v>
      </c>
      <c r="M550" s="48">
        <v>1714.9</v>
      </c>
      <c r="N550" s="48">
        <v>42.2</v>
      </c>
    </row>
    <row r="551" spans="1:14" ht="10.050000000000001" customHeight="1">
      <c r="A551" s="45" t="s">
        <v>81</v>
      </c>
      <c r="B551" s="46">
        <v>2011</v>
      </c>
      <c r="C551" s="45" t="s">
        <v>117</v>
      </c>
      <c r="D551" s="47">
        <v>5</v>
      </c>
      <c r="E551" s="48">
        <v>31095.7</v>
      </c>
      <c r="F551" s="48">
        <v>936.6</v>
      </c>
      <c r="G551" s="48">
        <v>32032.3</v>
      </c>
      <c r="H551" s="48">
        <v>261240.2</v>
      </c>
      <c r="I551" s="48">
        <v>2022.8</v>
      </c>
      <c r="J551" s="48">
        <v>263263</v>
      </c>
      <c r="K551" s="48">
        <v>24943.8</v>
      </c>
      <c r="L551" s="48">
        <v>1160.2</v>
      </c>
      <c r="M551" s="48">
        <v>19774</v>
      </c>
      <c r="N551" s="48">
        <v>1137.5</v>
      </c>
    </row>
    <row r="552" spans="1:14" ht="10.050000000000001" customHeight="1">
      <c r="A552" s="45" t="s">
        <v>80</v>
      </c>
      <c r="B552" s="46">
        <v>2011</v>
      </c>
      <c r="C552" s="45" t="s">
        <v>117</v>
      </c>
      <c r="D552" s="47">
        <v>6</v>
      </c>
      <c r="E552" s="48">
        <v>38547.1</v>
      </c>
      <c r="F552" s="48">
        <v>23</v>
      </c>
      <c r="G552" s="48">
        <v>38570.1</v>
      </c>
      <c r="H552" s="48">
        <v>182960.3</v>
      </c>
      <c r="I552" s="48">
        <v>8860.6</v>
      </c>
      <c r="J552" s="48">
        <v>191820.9</v>
      </c>
      <c r="K552" s="48">
        <v>21887.599999999999</v>
      </c>
      <c r="L552" s="48">
        <v>16262.4</v>
      </c>
      <c r="M552" s="48">
        <v>11748.9</v>
      </c>
      <c r="N552" s="48">
        <v>563</v>
      </c>
    </row>
    <row r="553" spans="1:14" ht="10.050000000000001" customHeight="1">
      <c r="A553" s="45" t="s">
        <v>83</v>
      </c>
      <c r="B553" s="46">
        <v>2011</v>
      </c>
      <c r="C553" s="45" t="s">
        <v>117</v>
      </c>
      <c r="D553" s="47">
        <v>6</v>
      </c>
      <c r="E553" s="48">
        <v>656.4</v>
      </c>
      <c r="F553" s="48">
        <v>926.6</v>
      </c>
      <c r="G553" s="48">
        <v>1583</v>
      </c>
      <c r="H553" s="48">
        <v>369.1</v>
      </c>
      <c r="I553" s="48">
        <v>566</v>
      </c>
      <c r="J553" s="48">
        <v>935.1</v>
      </c>
      <c r="K553" s="48">
        <v>0</v>
      </c>
      <c r="L553" s="48">
        <v>0</v>
      </c>
      <c r="M553" s="48">
        <v>0</v>
      </c>
      <c r="N553" s="48">
        <v>0</v>
      </c>
    </row>
    <row r="554" spans="1:14" ht="10.050000000000001" customHeight="1">
      <c r="A554" s="45" t="s">
        <v>82</v>
      </c>
      <c r="B554" s="46">
        <v>2011</v>
      </c>
      <c r="C554" s="45" t="s">
        <v>117</v>
      </c>
      <c r="D554" s="47">
        <v>6</v>
      </c>
      <c r="E554" s="48">
        <v>2021.5</v>
      </c>
      <c r="F554" s="48">
        <v>649.5</v>
      </c>
      <c r="G554" s="48">
        <v>2671</v>
      </c>
      <c r="H554" s="48">
        <v>31330.3</v>
      </c>
      <c r="I554" s="48">
        <v>1787.4</v>
      </c>
      <c r="J554" s="48">
        <v>33117.699999999997</v>
      </c>
      <c r="K554" s="48">
        <v>1722.5</v>
      </c>
      <c r="L554" s="48">
        <v>459.3</v>
      </c>
      <c r="M554" s="48">
        <v>663.1</v>
      </c>
      <c r="N554" s="48">
        <v>6.5</v>
      </c>
    </row>
    <row r="555" spans="1:14" ht="10.050000000000001" customHeight="1">
      <c r="A555" s="45" t="s">
        <v>81</v>
      </c>
      <c r="B555" s="46">
        <v>2011</v>
      </c>
      <c r="C555" s="45" t="s">
        <v>117</v>
      </c>
      <c r="D555" s="47">
        <v>6</v>
      </c>
      <c r="E555" s="48">
        <v>22490.3</v>
      </c>
      <c r="F555" s="48">
        <v>-128.6</v>
      </c>
      <c r="G555" s="48">
        <v>22361.7</v>
      </c>
      <c r="H555" s="48">
        <v>125102</v>
      </c>
      <c r="I555" s="48">
        <v>817.5</v>
      </c>
      <c r="J555" s="48">
        <v>125919.5</v>
      </c>
      <c r="K555" s="48">
        <v>14349.3</v>
      </c>
      <c r="L555" s="48">
        <v>273.7</v>
      </c>
      <c r="M555" s="48">
        <v>9405.2999999999993</v>
      </c>
      <c r="N555" s="48">
        <v>1462.9</v>
      </c>
    </row>
    <row r="556" spans="1:14" ht="10.050000000000001" customHeight="1">
      <c r="A556" s="45" t="s">
        <v>83</v>
      </c>
      <c r="B556" s="46">
        <v>2011</v>
      </c>
      <c r="C556" s="45" t="s">
        <v>118</v>
      </c>
      <c r="D556" s="47">
        <v>4</v>
      </c>
      <c r="E556" s="48">
        <v>0</v>
      </c>
      <c r="F556" s="48">
        <v>0</v>
      </c>
      <c r="G556" s="48">
        <v>0</v>
      </c>
      <c r="H556" s="48">
        <v>41.1</v>
      </c>
      <c r="I556" s="48">
        <v>0</v>
      </c>
      <c r="J556" s="48">
        <v>41.1</v>
      </c>
      <c r="K556" s="48">
        <v>0</v>
      </c>
      <c r="L556" s="48">
        <v>0</v>
      </c>
      <c r="M556" s="48">
        <v>0</v>
      </c>
      <c r="N556" s="48">
        <v>0</v>
      </c>
    </row>
    <row r="557" spans="1:14" ht="10.050000000000001" customHeight="1">
      <c r="A557" s="45" t="s">
        <v>82</v>
      </c>
      <c r="B557" s="46">
        <v>2011</v>
      </c>
      <c r="C557" s="45" t="s">
        <v>118</v>
      </c>
      <c r="D557" s="47">
        <v>4</v>
      </c>
      <c r="E557" s="48">
        <v>0</v>
      </c>
      <c r="F557" s="48">
        <v>0</v>
      </c>
      <c r="G557" s="48">
        <v>0</v>
      </c>
      <c r="H557" s="48">
        <v>18.8</v>
      </c>
      <c r="I557" s="48">
        <v>0</v>
      </c>
      <c r="J557" s="48">
        <v>18.8</v>
      </c>
      <c r="K557" s="48">
        <v>0</v>
      </c>
      <c r="L557" s="48">
        <v>0</v>
      </c>
      <c r="M557" s="48">
        <v>0</v>
      </c>
      <c r="N557" s="48">
        <v>0</v>
      </c>
    </row>
    <row r="558" spans="1:14" ht="10.050000000000001" customHeight="1">
      <c r="A558" s="45" t="s">
        <v>81</v>
      </c>
      <c r="B558" s="46">
        <v>2011</v>
      </c>
      <c r="C558" s="45" t="s">
        <v>118</v>
      </c>
      <c r="D558" s="47">
        <v>4</v>
      </c>
      <c r="E558" s="48">
        <v>273.3</v>
      </c>
      <c r="F558" s="48">
        <v>0</v>
      </c>
      <c r="G558" s="48">
        <v>273.3</v>
      </c>
      <c r="H558" s="48">
        <v>373.8</v>
      </c>
      <c r="I558" s="48">
        <v>0</v>
      </c>
      <c r="J558" s="48">
        <v>373.8</v>
      </c>
      <c r="K558" s="48">
        <v>0</v>
      </c>
      <c r="L558" s="48">
        <v>0</v>
      </c>
      <c r="M558" s="48">
        <v>0</v>
      </c>
      <c r="N558" s="48">
        <v>0</v>
      </c>
    </row>
    <row r="559" spans="1:14" ht="10.050000000000001" customHeight="1">
      <c r="A559" s="45" t="s">
        <v>81</v>
      </c>
      <c r="B559" s="46">
        <v>2011</v>
      </c>
      <c r="C559" s="45" t="s">
        <v>118</v>
      </c>
      <c r="D559" s="47">
        <v>5</v>
      </c>
      <c r="E559" s="48">
        <v>267.5</v>
      </c>
      <c r="F559" s="48">
        <v>0</v>
      </c>
      <c r="G559" s="48">
        <v>267.5</v>
      </c>
      <c r="H559" s="48">
        <v>0</v>
      </c>
      <c r="I559" s="48">
        <v>0</v>
      </c>
      <c r="J559" s="48">
        <v>0</v>
      </c>
      <c r="K559" s="48">
        <v>0</v>
      </c>
      <c r="L559" s="48">
        <v>0</v>
      </c>
      <c r="M559" s="48">
        <v>0</v>
      </c>
      <c r="N559" s="48">
        <v>0</v>
      </c>
    </row>
    <row r="560" spans="1:14" ht="10.050000000000001" customHeight="1">
      <c r="A560" s="45" t="s">
        <v>80</v>
      </c>
      <c r="B560" s="46">
        <v>2011</v>
      </c>
      <c r="C560" s="45" t="s">
        <v>118</v>
      </c>
      <c r="D560" s="47">
        <v>7</v>
      </c>
      <c r="E560" s="48">
        <v>3067917.2</v>
      </c>
      <c r="F560" s="48">
        <v>9021.4</v>
      </c>
      <c r="G560" s="48">
        <v>3076938.6</v>
      </c>
      <c r="H560" s="48">
        <v>2838676.6</v>
      </c>
      <c r="I560" s="48">
        <v>14230.8</v>
      </c>
      <c r="J560" s="48">
        <v>2852907.4</v>
      </c>
      <c r="K560" s="48">
        <v>1198418.5</v>
      </c>
      <c r="L560" s="48">
        <v>1566115.3</v>
      </c>
      <c r="M560" s="48">
        <v>384195</v>
      </c>
      <c r="N560" s="48">
        <v>5384.6</v>
      </c>
    </row>
    <row r="561" spans="1:14" ht="10.050000000000001" customHeight="1">
      <c r="A561" s="45" t="s">
        <v>83</v>
      </c>
      <c r="B561" s="46">
        <v>2011</v>
      </c>
      <c r="C561" s="45" t="s">
        <v>118</v>
      </c>
      <c r="D561" s="47">
        <v>7</v>
      </c>
      <c r="E561" s="48">
        <v>10014.4</v>
      </c>
      <c r="F561" s="48">
        <v>16.7</v>
      </c>
      <c r="G561" s="48">
        <v>10031.1</v>
      </c>
      <c r="H561" s="48">
        <v>7910</v>
      </c>
      <c r="I561" s="48">
        <v>566</v>
      </c>
      <c r="J561" s="48">
        <v>8476</v>
      </c>
      <c r="K561" s="48">
        <v>2010.2</v>
      </c>
      <c r="L561" s="48">
        <v>2338.9</v>
      </c>
      <c r="M561" s="48">
        <v>328.6</v>
      </c>
      <c r="N561" s="48">
        <v>0.1</v>
      </c>
    </row>
    <row r="562" spans="1:14" ht="10.050000000000001" customHeight="1">
      <c r="A562" s="45" t="s">
        <v>82</v>
      </c>
      <c r="B562" s="46">
        <v>2011</v>
      </c>
      <c r="C562" s="45" t="s">
        <v>118</v>
      </c>
      <c r="D562" s="47">
        <v>7</v>
      </c>
      <c r="E562" s="48">
        <v>671.1</v>
      </c>
      <c r="F562" s="48">
        <v>0</v>
      </c>
      <c r="G562" s="48">
        <v>671.1</v>
      </c>
      <c r="H562" s="48">
        <v>25949.1</v>
      </c>
      <c r="I562" s="48">
        <v>1496</v>
      </c>
      <c r="J562" s="48">
        <v>27445.1</v>
      </c>
      <c r="K562" s="48">
        <v>1532.2</v>
      </c>
      <c r="L562" s="48">
        <v>441.5</v>
      </c>
      <c r="M562" s="48">
        <v>369</v>
      </c>
      <c r="N562" s="48">
        <v>262.8</v>
      </c>
    </row>
    <row r="563" spans="1:14" ht="10.050000000000001" customHeight="1">
      <c r="A563" s="45" t="s">
        <v>81</v>
      </c>
      <c r="B563" s="46">
        <v>2011</v>
      </c>
      <c r="C563" s="45" t="s">
        <v>118</v>
      </c>
      <c r="D563" s="47">
        <v>7</v>
      </c>
      <c r="E563" s="48">
        <v>3800.6</v>
      </c>
      <c r="F563" s="48">
        <v>29.9</v>
      </c>
      <c r="G563" s="48">
        <v>3830.5</v>
      </c>
      <c r="H563" s="48">
        <v>73329.399999999994</v>
      </c>
      <c r="I563" s="48">
        <v>815.2</v>
      </c>
      <c r="J563" s="48">
        <v>74144.600000000006</v>
      </c>
      <c r="K563" s="48">
        <v>13916.4</v>
      </c>
      <c r="L563" s="48">
        <v>938.9</v>
      </c>
      <c r="M563" s="48">
        <v>1254.5999999999999</v>
      </c>
      <c r="N563" s="48">
        <v>117.2</v>
      </c>
    </row>
    <row r="564" spans="1:14" ht="10.050000000000001" customHeight="1">
      <c r="A564" s="45" t="s">
        <v>80</v>
      </c>
      <c r="B564" s="46">
        <v>2011</v>
      </c>
      <c r="C564" s="45" t="s">
        <v>118</v>
      </c>
      <c r="D564" s="47">
        <v>8</v>
      </c>
      <c r="E564" s="48">
        <v>581254.6</v>
      </c>
      <c r="F564" s="48">
        <v>2283.6</v>
      </c>
      <c r="G564" s="48">
        <v>583538.19999999995</v>
      </c>
      <c r="H564" s="48">
        <v>2926067.7</v>
      </c>
      <c r="I564" s="48">
        <v>12899.1</v>
      </c>
      <c r="J564" s="48">
        <v>2938966.8</v>
      </c>
      <c r="K564" s="48">
        <v>842403.1</v>
      </c>
      <c r="L564" s="48">
        <v>72343.8</v>
      </c>
      <c r="M564" s="48">
        <v>424719.6</v>
      </c>
      <c r="N564" s="48">
        <v>3548.1</v>
      </c>
    </row>
    <row r="565" spans="1:14" ht="10.050000000000001" customHeight="1">
      <c r="A565" s="45" t="s">
        <v>83</v>
      </c>
      <c r="B565" s="46">
        <v>2011</v>
      </c>
      <c r="C565" s="45" t="s">
        <v>118</v>
      </c>
      <c r="D565" s="47">
        <v>8</v>
      </c>
      <c r="E565" s="48">
        <v>4537.6000000000004</v>
      </c>
      <c r="F565" s="48">
        <v>144.1</v>
      </c>
      <c r="G565" s="48">
        <v>4681.7</v>
      </c>
      <c r="H565" s="48">
        <v>9568.7999999999993</v>
      </c>
      <c r="I565" s="48">
        <v>684.2</v>
      </c>
      <c r="J565" s="48">
        <v>10253</v>
      </c>
      <c r="K565" s="48">
        <v>1762.6</v>
      </c>
      <c r="L565" s="48">
        <v>480.2</v>
      </c>
      <c r="M565" s="48">
        <v>726.4</v>
      </c>
      <c r="N565" s="48">
        <v>1.4</v>
      </c>
    </row>
    <row r="566" spans="1:14" ht="10.050000000000001" customHeight="1">
      <c r="A566" s="45" t="s">
        <v>82</v>
      </c>
      <c r="B566" s="46">
        <v>2011</v>
      </c>
      <c r="C566" s="45" t="s">
        <v>118</v>
      </c>
      <c r="D566" s="47">
        <v>8</v>
      </c>
      <c r="E566" s="48">
        <v>2017.2</v>
      </c>
      <c r="F566" s="48">
        <v>0</v>
      </c>
      <c r="G566" s="48">
        <v>2017.2</v>
      </c>
      <c r="H566" s="48">
        <v>20689.400000000001</v>
      </c>
      <c r="I566" s="48">
        <v>1057</v>
      </c>
      <c r="J566" s="48">
        <v>21746.400000000001</v>
      </c>
      <c r="K566" s="48">
        <v>1016.4</v>
      </c>
      <c r="L566" s="48">
        <v>232</v>
      </c>
      <c r="M566" s="48">
        <v>720.4</v>
      </c>
      <c r="N566" s="48">
        <v>27.4</v>
      </c>
    </row>
    <row r="567" spans="1:14" ht="10.050000000000001" customHeight="1">
      <c r="A567" s="45" t="s">
        <v>81</v>
      </c>
      <c r="B567" s="46">
        <v>2011</v>
      </c>
      <c r="C567" s="45" t="s">
        <v>118</v>
      </c>
      <c r="D567" s="47">
        <v>8</v>
      </c>
      <c r="E567" s="48">
        <v>172542.2</v>
      </c>
      <c r="F567" s="48">
        <v>1306.5999999999999</v>
      </c>
      <c r="G567" s="48">
        <v>173848.8</v>
      </c>
      <c r="H567" s="48">
        <v>202218</v>
      </c>
      <c r="I567" s="48">
        <v>1162.8</v>
      </c>
      <c r="J567" s="48">
        <v>203380.8</v>
      </c>
      <c r="K567" s="48">
        <v>75146.2</v>
      </c>
      <c r="L567" s="48">
        <v>62669.8</v>
      </c>
      <c r="M567" s="48">
        <v>1316.1</v>
      </c>
      <c r="N567" s="48">
        <v>124.1</v>
      </c>
    </row>
    <row r="568" spans="1:14" ht="10.050000000000001" customHeight="1">
      <c r="A568" s="45" t="s">
        <v>80</v>
      </c>
      <c r="B568" s="46">
        <v>2011</v>
      </c>
      <c r="C568" s="45" t="s">
        <v>118</v>
      </c>
      <c r="D568" s="47">
        <v>9</v>
      </c>
      <c r="E568" s="48">
        <v>246981.6</v>
      </c>
      <c r="F568" s="48">
        <v>20.8</v>
      </c>
      <c r="G568" s="48">
        <v>247002.4</v>
      </c>
      <c r="H568" s="48">
        <v>2723052.9</v>
      </c>
      <c r="I568" s="48">
        <v>12303.9</v>
      </c>
      <c r="J568" s="48">
        <v>2735356.8</v>
      </c>
      <c r="K568" s="48">
        <v>674837.8</v>
      </c>
      <c r="L568" s="48">
        <v>8254.1</v>
      </c>
      <c r="M568" s="48">
        <v>168776.2</v>
      </c>
      <c r="N568" s="48">
        <v>7138.9</v>
      </c>
    </row>
    <row r="569" spans="1:14" ht="10.050000000000001" customHeight="1">
      <c r="A569" s="45" t="s">
        <v>83</v>
      </c>
      <c r="B569" s="46">
        <v>2011</v>
      </c>
      <c r="C569" s="45" t="s">
        <v>118</v>
      </c>
      <c r="D569" s="47">
        <v>9</v>
      </c>
      <c r="E569" s="48">
        <v>1942.1</v>
      </c>
      <c r="F569" s="48">
        <v>0</v>
      </c>
      <c r="G569" s="48">
        <v>1942.1</v>
      </c>
      <c r="H569" s="48">
        <v>8221.6</v>
      </c>
      <c r="I569" s="48">
        <v>462.2</v>
      </c>
      <c r="J569" s="48">
        <v>8683.7999999999993</v>
      </c>
      <c r="K569" s="48">
        <v>1742.3</v>
      </c>
      <c r="L569" s="48">
        <v>90.9</v>
      </c>
      <c r="M569" s="48">
        <v>86.6</v>
      </c>
      <c r="N569" s="48">
        <v>24.6</v>
      </c>
    </row>
    <row r="570" spans="1:14" ht="10.050000000000001" customHeight="1">
      <c r="A570" s="45" t="s">
        <v>82</v>
      </c>
      <c r="B570" s="46">
        <v>2011</v>
      </c>
      <c r="C570" s="45" t="s">
        <v>118</v>
      </c>
      <c r="D570" s="47">
        <v>9</v>
      </c>
      <c r="E570" s="48">
        <v>36590.6</v>
      </c>
      <c r="F570" s="48">
        <v>2370.3000000000002</v>
      </c>
      <c r="G570" s="48">
        <v>38960.9</v>
      </c>
      <c r="H570" s="48">
        <v>50223.5</v>
      </c>
      <c r="I570" s="48">
        <v>3410.2</v>
      </c>
      <c r="J570" s="48">
        <v>53633.7</v>
      </c>
      <c r="K570" s="48">
        <v>4396.8999999999996</v>
      </c>
      <c r="L570" s="48">
        <v>4559</v>
      </c>
      <c r="M570" s="48">
        <v>919.6</v>
      </c>
      <c r="N570" s="48">
        <v>28.1</v>
      </c>
    </row>
    <row r="571" spans="1:14" ht="10.050000000000001" customHeight="1">
      <c r="A571" s="45" t="s">
        <v>81</v>
      </c>
      <c r="B571" s="46">
        <v>2011</v>
      </c>
      <c r="C571" s="45" t="s">
        <v>118</v>
      </c>
      <c r="D571" s="47">
        <v>9</v>
      </c>
      <c r="E571" s="48">
        <v>926181</v>
      </c>
      <c r="F571" s="48">
        <v>3132.9</v>
      </c>
      <c r="G571" s="48">
        <v>929313.9</v>
      </c>
      <c r="H571" s="48">
        <v>971487.2</v>
      </c>
      <c r="I571" s="48">
        <v>5634.7</v>
      </c>
      <c r="J571" s="48">
        <v>977121.9</v>
      </c>
      <c r="K571" s="48">
        <v>342399.6</v>
      </c>
      <c r="L571" s="48">
        <v>300511.2</v>
      </c>
      <c r="M571" s="48">
        <v>31121.599999999999</v>
      </c>
      <c r="N571" s="48">
        <v>2136</v>
      </c>
    </row>
    <row r="572" spans="1:14" ht="10.050000000000001" customHeight="1">
      <c r="A572" s="45" t="s">
        <v>80</v>
      </c>
      <c r="B572" s="46">
        <v>2011</v>
      </c>
      <c r="C572" s="45" t="s">
        <v>118</v>
      </c>
      <c r="D572" s="47">
        <v>10</v>
      </c>
      <c r="E572" s="48">
        <v>125719.3</v>
      </c>
      <c r="F572" s="48">
        <v>122.3</v>
      </c>
      <c r="G572" s="48">
        <v>125841.60000000001</v>
      </c>
      <c r="H572" s="48">
        <v>2430286.7999999998</v>
      </c>
      <c r="I572" s="48">
        <v>12136.7</v>
      </c>
      <c r="J572" s="48">
        <v>2442423.5</v>
      </c>
      <c r="K572" s="48">
        <v>606949.80000000005</v>
      </c>
      <c r="L572" s="48">
        <v>9731.2000000000007</v>
      </c>
      <c r="M572" s="48">
        <v>73959.8</v>
      </c>
      <c r="N572" s="48">
        <v>3654.3</v>
      </c>
    </row>
    <row r="573" spans="1:14" ht="10.050000000000001" customHeight="1">
      <c r="A573" s="45" t="s">
        <v>83</v>
      </c>
      <c r="B573" s="46">
        <v>2011</v>
      </c>
      <c r="C573" s="45" t="s">
        <v>118</v>
      </c>
      <c r="D573" s="47">
        <v>10</v>
      </c>
      <c r="E573" s="48">
        <v>1034.0999999999999</v>
      </c>
      <c r="F573" s="48">
        <v>0</v>
      </c>
      <c r="G573" s="48">
        <v>1034.0999999999999</v>
      </c>
      <c r="H573" s="48">
        <v>7014.8</v>
      </c>
      <c r="I573" s="48">
        <v>452.8</v>
      </c>
      <c r="J573" s="48">
        <v>7467.6</v>
      </c>
      <c r="K573" s="48">
        <v>1172.3</v>
      </c>
      <c r="L573" s="48">
        <v>2.6</v>
      </c>
      <c r="M573" s="48">
        <v>455.7</v>
      </c>
      <c r="N573" s="48">
        <v>116.9</v>
      </c>
    </row>
    <row r="574" spans="1:14" ht="10.050000000000001" customHeight="1">
      <c r="A574" s="45" t="s">
        <v>82</v>
      </c>
      <c r="B574" s="46">
        <v>2011</v>
      </c>
      <c r="C574" s="45" t="s">
        <v>118</v>
      </c>
      <c r="D574" s="47">
        <v>10</v>
      </c>
      <c r="E574" s="48">
        <v>40046.300000000003</v>
      </c>
      <c r="F574" s="48">
        <v>1427.7</v>
      </c>
      <c r="G574" s="48">
        <v>41474</v>
      </c>
      <c r="H574" s="48">
        <v>82874.5</v>
      </c>
      <c r="I574" s="48">
        <v>4689.5</v>
      </c>
      <c r="J574" s="48">
        <v>87564</v>
      </c>
      <c r="K574" s="48">
        <v>7938.6</v>
      </c>
      <c r="L574" s="48">
        <v>6165.4</v>
      </c>
      <c r="M574" s="48">
        <v>2587.1</v>
      </c>
      <c r="N574" s="48">
        <v>36.200000000000003</v>
      </c>
    </row>
    <row r="575" spans="1:14" ht="10.050000000000001" customHeight="1">
      <c r="A575" s="45" t="s">
        <v>81</v>
      </c>
      <c r="B575" s="46">
        <v>2011</v>
      </c>
      <c r="C575" s="45" t="s">
        <v>118</v>
      </c>
      <c r="D575" s="47">
        <v>10</v>
      </c>
      <c r="E575" s="48">
        <v>163470.20000000001</v>
      </c>
      <c r="F575" s="48">
        <v>1835.4</v>
      </c>
      <c r="G575" s="48">
        <v>165305.60000000001</v>
      </c>
      <c r="H575" s="48">
        <v>958320.3</v>
      </c>
      <c r="I575" s="48">
        <v>5599.4</v>
      </c>
      <c r="J575" s="48">
        <v>963919.700000001</v>
      </c>
      <c r="K575" s="48">
        <v>307933.8</v>
      </c>
      <c r="L575" s="48">
        <v>35713.5</v>
      </c>
      <c r="M575" s="48">
        <v>68711.3</v>
      </c>
      <c r="N575" s="48">
        <v>1438.1</v>
      </c>
    </row>
    <row r="576" spans="1:14" ht="10.050000000000001" customHeight="1">
      <c r="A576" s="45" t="s">
        <v>80</v>
      </c>
      <c r="B576" s="46">
        <v>2011</v>
      </c>
      <c r="C576" s="45" t="s">
        <v>118</v>
      </c>
      <c r="D576" s="47">
        <v>11</v>
      </c>
      <c r="E576" s="48">
        <v>292267.5</v>
      </c>
      <c r="F576" s="48">
        <v>591</v>
      </c>
      <c r="G576" s="48">
        <v>292858.5</v>
      </c>
      <c r="H576" s="48">
        <v>2321150.7999999998</v>
      </c>
      <c r="I576" s="48">
        <v>11935</v>
      </c>
      <c r="J576" s="48">
        <v>2333085.7999999998</v>
      </c>
      <c r="K576" s="48">
        <v>437958.3</v>
      </c>
      <c r="L576" s="48">
        <v>28567.7</v>
      </c>
      <c r="M576" s="48">
        <v>193684.8</v>
      </c>
      <c r="N576" s="48">
        <v>3798.1</v>
      </c>
    </row>
    <row r="577" spans="1:14" ht="10.050000000000001" customHeight="1">
      <c r="A577" s="45" t="s">
        <v>83</v>
      </c>
      <c r="B577" s="46">
        <v>2011</v>
      </c>
      <c r="C577" s="45" t="s">
        <v>118</v>
      </c>
      <c r="D577" s="47">
        <v>11</v>
      </c>
      <c r="E577" s="48">
        <v>1248.3</v>
      </c>
      <c r="F577" s="48">
        <v>105</v>
      </c>
      <c r="G577" s="48">
        <v>1353.3</v>
      </c>
      <c r="H577" s="48">
        <v>6424.5</v>
      </c>
      <c r="I577" s="48">
        <v>553.6</v>
      </c>
      <c r="J577" s="48">
        <v>6978.1</v>
      </c>
      <c r="K577" s="48">
        <v>889.5</v>
      </c>
      <c r="L577" s="48">
        <v>31.9</v>
      </c>
      <c r="M577" s="48">
        <v>314.7</v>
      </c>
      <c r="N577" s="48">
        <v>0</v>
      </c>
    </row>
    <row r="578" spans="1:14" ht="10.050000000000001" customHeight="1">
      <c r="A578" s="45" t="s">
        <v>82</v>
      </c>
      <c r="B578" s="46">
        <v>2011</v>
      </c>
      <c r="C578" s="45" t="s">
        <v>118</v>
      </c>
      <c r="D578" s="47">
        <v>11</v>
      </c>
      <c r="E578" s="48">
        <v>6672.3</v>
      </c>
      <c r="F578" s="48">
        <v>402.2</v>
      </c>
      <c r="G578" s="48">
        <v>7074.5</v>
      </c>
      <c r="H578" s="48">
        <v>80666.7</v>
      </c>
      <c r="I578" s="48">
        <v>4543.8999999999996</v>
      </c>
      <c r="J578" s="48">
        <v>85210.6</v>
      </c>
      <c r="K578" s="48">
        <v>7275.5</v>
      </c>
      <c r="L578" s="48">
        <v>581.9</v>
      </c>
      <c r="M578" s="48">
        <v>1262.9000000000001</v>
      </c>
      <c r="N578" s="48">
        <v>17.8</v>
      </c>
    </row>
    <row r="579" spans="1:14" ht="10.050000000000001" customHeight="1">
      <c r="A579" s="45" t="s">
        <v>81</v>
      </c>
      <c r="B579" s="46">
        <v>2011</v>
      </c>
      <c r="C579" s="45" t="s">
        <v>118</v>
      </c>
      <c r="D579" s="47">
        <v>11</v>
      </c>
      <c r="E579" s="48">
        <v>89996.7</v>
      </c>
      <c r="F579" s="48">
        <v>1028.7</v>
      </c>
      <c r="G579" s="48">
        <v>91025.4</v>
      </c>
      <c r="H579" s="48">
        <v>907732.8</v>
      </c>
      <c r="I579" s="48">
        <v>5780</v>
      </c>
      <c r="J579" s="48">
        <v>913512.8</v>
      </c>
      <c r="K579" s="48">
        <v>242842.2</v>
      </c>
      <c r="L579" s="48">
        <v>4055.6</v>
      </c>
      <c r="M579" s="48">
        <v>67397.8</v>
      </c>
      <c r="N579" s="48">
        <v>1749.2</v>
      </c>
    </row>
    <row r="580" spans="1:14" ht="10.050000000000001" customHeight="1">
      <c r="A580" s="45" t="s">
        <v>80</v>
      </c>
      <c r="B580" s="46">
        <v>2011</v>
      </c>
      <c r="C580" s="45" t="s">
        <v>118</v>
      </c>
      <c r="D580" s="47">
        <v>12</v>
      </c>
      <c r="E580" s="48">
        <v>138223.70000000001</v>
      </c>
      <c r="F580" s="48">
        <v>92.5</v>
      </c>
      <c r="G580" s="48">
        <v>138316.20000000001</v>
      </c>
      <c r="H580" s="48">
        <v>2028145.9</v>
      </c>
      <c r="I580" s="48">
        <v>10205.4</v>
      </c>
      <c r="J580" s="48">
        <v>2038351.3</v>
      </c>
      <c r="K580" s="48">
        <v>404442.5</v>
      </c>
      <c r="L580" s="48">
        <v>28705.4</v>
      </c>
      <c r="M580" s="48">
        <v>59031.5</v>
      </c>
      <c r="N580" s="48">
        <v>3190.9</v>
      </c>
    </row>
    <row r="581" spans="1:14" ht="10.050000000000001" customHeight="1">
      <c r="A581" s="45" t="s">
        <v>83</v>
      </c>
      <c r="B581" s="46">
        <v>2011</v>
      </c>
      <c r="C581" s="45" t="s">
        <v>118</v>
      </c>
      <c r="D581" s="47">
        <v>12</v>
      </c>
      <c r="E581" s="48">
        <v>823.8</v>
      </c>
      <c r="F581" s="48">
        <v>75</v>
      </c>
      <c r="G581" s="48">
        <v>898.8</v>
      </c>
      <c r="H581" s="48">
        <v>5775.3</v>
      </c>
      <c r="I581" s="48">
        <v>628.5</v>
      </c>
      <c r="J581" s="48">
        <v>6403.8</v>
      </c>
      <c r="K581" s="48">
        <v>722</v>
      </c>
      <c r="L581" s="48">
        <v>0</v>
      </c>
      <c r="M581" s="48">
        <v>152.6</v>
      </c>
      <c r="N581" s="48">
        <v>14.9</v>
      </c>
    </row>
    <row r="582" spans="1:14" ht="10.050000000000001" customHeight="1">
      <c r="A582" s="45" t="s">
        <v>82</v>
      </c>
      <c r="B582" s="46">
        <v>2011</v>
      </c>
      <c r="C582" s="45" t="s">
        <v>118</v>
      </c>
      <c r="D582" s="47">
        <v>12</v>
      </c>
      <c r="E582" s="48">
        <v>2104.3000000000002</v>
      </c>
      <c r="F582" s="48">
        <v>0</v>
      </c>
      <c r="G582" s="48">
        <v>2104.3000000000002</v>
      </c>
      <c r="H582" s="48">
        <v>75224.600000000006</v>
      </c>
      <c r="I582" s="48">
        <v>4523.3999999999996</v>
      </c>
      <c r="J582" s="48">
        <v>79748</v>
      </c>
      <c r="K582" s="48">
        <v>6488.3</v>
      </c>
      <c r="L582" s="48">
        <v>313.10000000000002</v>
      </c>
      <c r="M582" s="48">
        <v>965.3</v>
      </c>
      <c r="N582" s="48">
        <v>99.400000000000105</v>
      </c>
    </row>
    <row r="583" spans="1:14" ht="10.050000000000001" customHeight="1">
      <c r="A583" s="45" t="s">
        <v>81</v>
      </c>
      <c r="B583" s="46">
        <v>2011</v>
      </c>
      <c r="C583" s="45" t="s">
        <v>118</v>
      </c>
      <c r="D583" s="47">
        <v>12</v>
      </c>
      <c r="E583" s="48">
        <v>42062.8</v>
      </c>
      <c r="F583" s="48">
        <v>-1.3</v>
      </c>
      <c r="G583" s="48">
        <v>42061.5</v>
      </c>
      <c r="H583" s="48">
        <v>823490.7</v>
      </c>
      <c r="I583" s="48">
        <v>4070.2</v>
      </c>
      <c r="J583" s="48">
        <v>827560.9</v>
      </c>
      <c r="K583" s="48">
        <v>210424.2</v>
      </c>
      <c r="L583" s="48">
        <v>1606.1</v>
      </c>
      <c r="M583" s="48">
        <v>30784.2</v>
      </c>
      <c r="N583" s="48">
        <v>3239.9</v>
      </c>
    </row>
    <row r="584" spans="1:14" ht="10.050000000000001" customHeight="1">
      <c r="A584" s="45" t="s">
        <v>80</v>
      </c>
      <c r="B584" s="46">
        <v>2012</v>
      </c>
      <c r="C584" s="45" t="s">
        <v>118</v>
      </c>
      <c r="D584" s="47">
        <v>1</v>
      </c>
      <c r="E584" s="48">
        <v>230351</v>
      </c>
      <c r="F584" s="48">
        <v>1282.8</v>
      </c>
      <c r="G584" s="48">
        <v>231633.8</v>
      </c>
      <c r="H584" s="48">
        <v>1717678.7</v>
      </c>
      <c r="I584" s="48">
        <v>10147</v>
      </c>
      <c r="J584" s="48">
        <v>1727825.7</v>
      </c>
      <c r="K584" s="48">
        <v>288893.7</v>
      </c>
      <c r="L584" s="48">
        <v>28033.5</v>
      </c>
      <c r="M584" s="48">
        <v>138661</v>
      </c>
      <c r="N584" s="48">
        <v>4921</v>
      </c>
    </row>
    <row r="585" spans="1:14" ht="10.050000000000001" customHeight="1">
      <c r="A585" s="45" t="s">
        <v>83</v>
      </c>
      <c r="B585" s="46">
        <v>2012</v>
      </c>
      <c r="C585" s="45" t="s">
        <v>118</v>
      </c>
      <c r="D585" s="47">
        <v>1</v>
      </c>
      <c r="E585" s="48">
        <v>901.1</v>
      </c>
      <c r="F585" s="48">
        <v>0</v>
      </c>
      <c r="G585" s="48">
        <v>901.1</v>
      </c>
      <c r="H585" s="48">
        <v>5862.8</v>
      </c>
      <c r="I585" s="48">
        <v>611.9</v>
      </c>
      <c r="J585" s="48">
        <v>6474.7</v>
      </c>
      <c r="K585" s="48">
        <v>469.3</v>
      </c>
      <c r="L585" s="48">
        <v>0</v>
      </c>
      <c r="M585" s="48">
        <v>122.8</v>
      </c>
      <c r="N585" s="48">
        <v>129.9</v>
      </c>
    </row>
    <row r="586" spans="1:14" ht="10.050000000000001" customHeight="1">
      <c r="A586" s="45" t="s">
        <v>82</v>
      </c>
      <c r="B586" s="46">
        <v>2012</v>
      </c>
      <c r="C586" s="45" t="s">
        <v>118</v>
      </c>
      <c r="D586" s="47">
        <v>1</v>
      </c>
      <c r="E586" s="48">
        <v>2640.9</v>
      </c>
      <c r="F586" s="48">
        <v>245.7</v>
      </c>
      <c r="G586" s="48">
        <v>2886.6</v>
      </c>
      <c r="H586" s="48">
        <v>69521.3</v>
      </c>
      <c r="I586" s="48">
        <v>4451.6000000000004</v>
      </c>
      <c r="J586" s="48">
        <v>73972.899999999994</v>
      </c>
      <c r="K586" s="48">
        <v>5013.7</v>
      </c>
      <c r="L586" s="48">
        <v>831.8</v>
      </c>
      <c r="M586" s="48">
        <v>2008.8</v>
      </c>
      <c r="N586" s="48">
        <v>28.1</v>
      </c>
    </row>
    <row r="587" spans="1:14" ht="10.050000000000001" customHeight="1">
      <c r="A587" s="45" t="s">
        <v>81</v>
      </c>
      <c r="B587" s="46">
        <v>2012</v>
      </c>
      <c r="C587" s="45" t="s">
        <v>118</v>
      </c>
      <c r="D587" s="47">
        <v>1</v>
      </c>
      <c r="E587" s="48">
        <v>78665</v>
      </c>
      <c r="F587" s="48">
        <v>746</v>
      </c>
      <c r="G587" s="48">
        <v>79411</v>
      </c>
      <c r="H587" s="48">
        <v>710554.8</v>
      </c>
      <c r="I587" s="48">
        <v>3424.1</v>
      </c>
      <c r="J587" s="48">
        <v>713978.9</v>
      </c>
      <c r="K587" s="48">
        <v>154307.5</v>
      </c>
      <c r="L587" s="48">
        <v>4380.2</v>
      </c>
      <c r="M587" s="48">
        <v>57838.7</v>
      </c>
      <c r="N587" s="48">
        <v>2658.2</v>
      </c>
    </row>
    <row r="588" spans="1:14" ht="10.050000000000001" customHeight="1">
      <c r="A588" s="45" t="s">
        <v>80</v>
      </c>
      <c r="B588" s="46">
        <v>2012</v>
      </c>
      <c r="C588" s="45" t="s">
        <v>118</v>
      </c>
      <c r="D588" s="47">
        <v>2</v>
      </c>
      <c r="E588" s="48">
        <v>158573</v>
      </c>
      <c r="F588" s="48">
        <v>76.400000000000006</v>
      </c>
      <c r="G588" s="48">
        <v>158649.4</v>
      </c>
      <c r="H588" s="48">
        <v>1425985.6</v>
      </c>
      <c r="I588" s="48">
        <v>10046.799999999999</v>
      </c>
      <c r="J588" s="48">
        <v>1436032.4</v>
      </c>
      <c r="K588" s="48">
        <v>202090.8</v>
      </c>
      <c r="L588" s="48">
        <v>15657.9</v>
      </c>
      <c r="M588" s="48">
        <v>99720.8</v>
      </c>
      <c r="N588" s="48">
        <v>2740.3</v>
      </c>
    </row>
    <row r="589" spans="1:14" ht="10.050000000000001" customHeight="1">
      <c r="A589" s="45" t="s">
        <v>83</v>
      </c>
      <c r="B589" s="46">
        <v>2012</v>
      </c>
      <c r="C589" s="45" t="s">
        <v>118</v>
      </c>
      <c r="D589" s="47">
        <v>2</v>
      </c>
      <c r="E589" s="48">
        <v>430.7</v>
      </c>
      <c r="F589" s="48">
        <v>0</v>
      </c>
      <c r="G589" s="48">
        <v>430.7</v>
      </c>
      <c r="H589" s="48">
        <v>5398.3</v>
      </c>
      <c r="I589" s="48">
        <v>539.79999999999995</v>
      </c>
      <c r="J589" s="48">
        <v>5938.1</v>
      </c>
      <c r="K589" s="48">
        <v>301</v>
      </c>
      <c r="L589" s="48">
        <v>0</v>
      </c>
      <c r="M589" s="48">
        <v>97.8</v>
      </c>
      <c r="N589" s="48">
        <v>70.5</v>
      </c>
    </row>
    <row r="590" spans="1:14" ht="10.050000000000001" customHeight="1">
      <c r="A590" s="45" t="s">
        <v>82</v>
      </c>
      <c r="B590" s="46">
        <v>2012</v>
      </c>
      <c r="C590" s="45" t="s">
        <v>118</v>
      </c>
      <c r="D590" s="47">
        <v>2</v>
      </c>
      <c r="E590" s="48">
        <v>1784.1</v>
      </c>
      <c r="F590" s="48">
        <v>96.4</v>
      </c>
      <c r="G590" s="48">
        <v>1880.5</v>
      </c>
      <c r="H590" s="48">
        <v>63180.5</v>
      </c>
      <c r="I590" s="48">
        <v>4306.5</v>
      </c>
      <c r="J590" s="48">
        <v>67487</v>
      </c>
      <c r="K590" s="48">
        <v>4138.6000000000004</v>
      </c>
      <c r="L590" s="48">
        <v>314</v>
      </c>
      <c r="M590" s="48">
        <v>551.29999999999995</v>
      </c>
      <c r="N590" s="48">
        <v>637.79999999999995</v>
      </c>
    </row>
    <row r="591" spans="1:14" ht="10.050000000000001" customHeight="1">
      <c r="A591" s="45" t="s">
        <v>81</v>
      </c>
      <c r="B591" s="46">
        <v>2012</v>
      </c>
      <c r="C591" s="45" t="s">
        <v>118</v>
      </c>
      <c r="D591" s="47">
        <v>2</v>
      </c>
      <c r="E591" s="48">
        <v>59466.400000000001</v>
      </c>
      <c r="F591" s="48">
        <v>1612.7</v>
      </c>
      <c r="G591" s="48">
        <v>61079.1</v>
      </c>
      <c r="H591" s="48">
        <v>615640</v>
      </c>
      <c r="I591" s="48">
        <v>3054.8</v>
      </c>
      <c r="J591" s="48">
        <v>618694.80000000005</v>
      </c>
      <c r="K591" s="48">
        <v>105274.3</v>
      </c>
      <c r="L591" s="48">
        <v>1709.9</v>
      </c>
      <c r="M591" s="48">
        <v>48359</v>
      </c>
      <c r="N591" s="48">
        <v>2384.4</v>
      </c>
    </row>
    <row r="592" spans="1:14" ht="10.050000000000001" customHeight="1">
      <c r="A592" s="45" t="s">
        <v>80</v>
      </c>
      <c r="B592" s="46">
        <v>2012</v>
      </c>
      <c r="C592" s="45" t="s">
        <v>118</v>
      </c>
      <c r="D592" s="47">
        <v>3</v>
      </c>
      <c r="E592" s="48">
        <v>151745.4</v>
      </c>
      <c r="F592" s="48">
        <v>0</v>
      </c>
      <c r="G592" s="48">
        <v>151745.4</v>
      </c>
      <c r="H592" s="48">
        <v>1048166.1</v>
      </c>
      <c r="I592" s="48">
        <v>10006.1</v>
      </c>
      <c r="J592" s="48">
        <v>1058172.2</v>
      </c>
      <c r="K592" s="48">
        <v>131004.1</v>
      </c>
      <c r="L592" s="48">
        <v>14937.1</v>
      </c>
      <c r="M592" s="48">
        <v>84019.6</v>
      </c>
      <c r="N592" s="48">
        <v>1849.3</v>
      </c>
    </row>
    <row r="593" spans="1:14" ht="10.050000000000001" customHeight="1">
      <c r="A593" s="45" t="s">
        <v>83</v>
      </c>
      <c r="B593" s="46">
        <v>2012</v>
      </c>
      <c r="C593" s="45" t="s">
        <v>118</v>
      </c>
      <c r="D593" s="47">
        <v>3</v>
      </c>
      <c r="E593" s="48">
        <v>689.7</v>
      </c>
      <c r="F593" s="48">
        <v>0</v>
      </c>
      <c r="G593" s="48">
        <v>689.7</v>
      </c>
      <c r="H593" s="48">
        <v>4753.1000000000004</v>
      </c>
      <c r="I593" s="48">
        <v>351.4</v>
      </c>
      <c r="J593" s="48">
        <v>5104.5</v>
      </c>
      <c r="K593" s="48">
        <v>213.8</v>
      </c>
      <c r="L593" s="48">
        <v>0</v>
      </c>
      <c r="M593" s="48">
        <v>65.7</v>
      </c>
      <c r="N593" s="48">
        <v>21.5</v>
      </c>
    </row>
    <row r="594" spans="1:14" ht="10.050000000000001" customHeight="1">
      <c r="A594" s="45" t="s">
        <v>82</v>
      </c>
      <c r="B594" s="46">
        <v>2012</v>
      </c>
      <c r="C594" s="45" t="s">
        <v>118</v>
      </c>
      <c r="D594" s="47">
        <v>3</v>
      </c>
      <c r="E594" s="48">
        <v>3221.8</v>
      </c>
      <c r="F594" s="48">
        <v>194.5</v>
      </c>
      <c r="G594" s="48">
        <v>3416.3</v>
      </c>
      <c r="H594" s="48">
        <v>51660.9</v>
      </c>
      <c r="I594" s="48">
        <v>2937.1</v>
      </c>
      <c r="J594" s="48">
        <v>54598</v>
      </c>
      <c r="K594" s="48">
        <v>3119.9</v>
      </c>
      <c r="L594" s="48">
        <v>618.9</v>
      </c>
      <c r="M594" s="48">
        <v>1153.0999999999999</v>
      </c>
      <c r="N594" s="48">
        <v>183.3</v>
      </c>
    </row>
    <row r="595" spans="1:14" ht="10.050000000000001" customHeight="1">
      <c r="A595" s="45" t="s">
        <v>81</v>
      </c>
      <c r="B595" s="46">
        <v>2012</v>
      </c>
      <c r="C595" s="45" t="s">
        <v>118</v>
      </c>
      <c r="D595" s="47">
        <v>3</v>
      </c>
      <c r="E595" s="48">
        <v>65072.4</v>
      </c>
      <c r="F595" s="48">
        <v>138.6</v>
      </c>
      <c r="G595" s="48">
        <v>65211</v>
      </c>
      <c r="H595" s="48">
        <v>488943.8</v>
      </c>
      <c r="I595" s="48">
        <v>2618.4</v>
      </c>
      <c r="J595" s="48">
        <v>491562.2</v>
      </c>
      <c r="K595" s="48">
        <v>55252.6</v>
      </c>
      <c r="L595" s="48">
        <v>2688.6</v>
      </c>
      <c r="M595" s="48">
        <v>42066.400000000001</v>
      </c>
      <c r="N595" s="48">
        <v>1553.7</v>
      </c>
    </row>
    <row r="596" spans="1:14" ht="10.050000000000001" customHeight="1">
      <c r="A596" s="45" t="s">
        <v>80</v>
      </c>
      <c r="B596" s="46">
        <v>2012</v>
      </c>
      <c r="C596" s="45" t="s">
        <v>118</v>
      </c>
      <c r="D596" s="47">
        <v>4</v>
      </c>
      <c r="E596" s="48">
        <v>131998.6</v>
      </c>
      <c r="F596" s="48">
        <v>0</v>
      </c>
      <c r="G596" s="48">
        <v>131998.6</v>
      </c>
      <c r="H596" s="48">
        <v>707457.1</v>
      </c>
      <c r="I596" s="48">
        <v>9753.9</v>
      </c>
      <c r="J596" s="48">
        <v>717211</v>
      </c>
      <c r="K596" s="48">
        <v>69697.2</v>
      </c>
      <c r="L596" s="48">
        <v>14883.9</v>
      </c>
      <c r="M596" s="48">
        <v>74754.399999999994</v>
      </c>
      <c r="N596" s="48">
        <v>2339.8000000000002</v>
      </c>
    </row>
    <row r="597" spans="1:14" ht="10.050000000000001" customHeight="1">
      <c r="A597" s="45" t="s">
        <v>83</v>
      </c>
      <c r="B597" s="46">
        <v>2012</v>
      </c>
      <c r="C597" s="45" t="s">
        <v>118</v>
      </c>
      <c r="D597" s="47">
        <v>4</v>
      </c>
      <c r="E597" s="48">
        <v>449.9</v>
      </c>
      <c r="F597" s="48">
        <v>393.6</v>
      </c>
      <c r="G597" s="48">
        <v>843.5</v>
      </c>
      <c r="H597" s="48">
        <v>4095.6</v>
      </c>
      <c r="I597" s="48">
        <v>689.9</v>
      </c>
      <c r="J597" s="48">
        <v>4785.5</v>
      </c>
      <c r="K597" s="48">
        <v>77.7</v>
      </c>
      <c r="L597" s="48">
        <v>0</v>
      </c>
      <c r="M597" s="48">
        <v>136.1</v>
      </c>
      <c r="N597" s="48">
        <v>0</v>
      </c>
    </row>
    <row r="598" spans="1:14" ht="10.050000000000001" customHeight="1">
      <c r="A598" s="45" t="s">
        <v>82</v>
      </c>
      <c r="B598" s="46">
        <v>2012</v>
      </c>
      <c r="C598" s="45" t="s">
        <v>118</v>
      </c>
      <c r="D598" s="47">
        <v>4</v>
      </c>
      <c r="E598" s="48">
        <v>2827.4</v>
      </c>
      <c r="F598" s="48">
        <v>0</v>
      </c>
      <c r="G598" s="48">
        <v>2827.4</v>
      </c>
      <c r="H598" s="48">
        <v>43202.5</v>
      </c>
      <c r="I598" s="48">
        <v>2373.8000000000002</v>
      </c>
      <c r="J598" s="48">
        <v>45576.3</v>
      </c>
      <c r="K598" s="48">
        <v>2295.1</v>
      </c>
      <c r="L598" s="48">
        <v>461</v>
      </c>
      <c r="M598" s="48">
        <v>1234</v>
      </c>
      <c r="N598" s="48">
        <v>73.099999999999994</v>
      </c>
    </row>
    <row r="599" spans="1:14" ht="10.050000000000001" customHeight="1">
      <c r="A599" s="45" t="s">
        <v>81</v>
      </c>
      <c r="B599" s="46">
        <v>2012</v>
      </c>
      <c r="C599" s="45" t="s">
        <v>118</v>
      </c>
      <c r="D599" s="47">
        <v>4</v>
      </c>
      <c r="E599" s="48">
        <v>41689</v>
      </c>
      <c r="F599" s="48">
        <v>7</v>
      </c>
      <c r="G599" s="48">
        <v>41696</v>
      </c>
      <c r="H599" s="48">
        <v>351485.4</v>
      </c>
      <c r="I599" s="48">
        <v>2538.9</v>
      </c>
      <c r="J599" s="48">
        <v>354024.3</v>
      </c>
      <c r="K599" s="48">
        <v>30106.7</v>
      </c>
      <c r="L599" s="48">
        <v>1138.3</v>
      </c>
      <c r="M599" s="48">
        <v>24016.2</v>
      </c>
      <c r="N599" s="48">
        <v>2337.1</v>
      </c>
    </row>
    <row r="600" spans="1:14" ht="10.050000000000001" customHeight="1">
      <c r="A600" s="45" t="s">
        <v>80</v>
      </c>
      <c r="B600" s="46">
        <v>2012</v>
      </c>
      <c r="C600" s="45" t="s">
        <v>118</v>
      </c>
      <c r="D600" s="47">
        <v>5</v>
      </c>
      <c r="E600" s="48">
        <v>104376.8</v>
      </c>
      <c r="F600" s="48">
        <v>0</v>
      </c>
      <c r="G600" s="48">
        <v>104376.8</v>
      </c>
      <c r="H600" s="48">
        <v>372085.6</v>
      </c>
      <c r="I600" s="48">
        <v>9337.9</v>
      </c>
      <c r="J600" s="48">
        <v>381423.5</v>
      </c>
      <c r="K600" s="48">
        <v>18676</v>
      </c>
      <c r="L600" s="48">
        <v>9466.9</v>
      </c>
      <c r="M600" s="48">
        <v>56656.2</v>
      </c>
      <c r="N600" s="48">
        <v>2928.9</v>
      </c>
    </row>
    <row r="601" spans="1:14" ht="10.050000000000001" customHeight="1">
      <c r="A601" s="45" t="s">
        <v>83</v>
      </c>
      <c r="B601" s="46">
        <v>2012</v>
      </c>
      <c r="C601" s="45" t="s">
        <v>118</v>
      </c>
      <c r="D601" s="47">
        <v>5</v>
      </c>
      <c r="E601" s="48">
        <v>712.4</v>
      </c>
      <c r="F601" s="48">
        <v>0</v>
      </c>
      <c r="G601" s="48">
        <v>712.4</v>
      </c>
      <c r="H601" s="48">
        <v>3234.6</v>
      </c>
      <c r="I601" s="48">
        <v>659.8</v>
      </c>
      <c r="J601" s="48">
        <v>3894.4</v>
      </c>
      <c r="K601" s="48">
        <v>47.9</v>
      </c>
      <c r="L601" s="48">
        <v>0</v>
      </c>
      <c r="M601" s="48">
        <v>29.7</v>
      </c>
      <c r="N601" s="48">
        <v>0.1</v>
      </c>
    </row>
    <row r="602" spans="1:14" ht="10.050000000000001" customHeight="1">
      <c r="A602" s="45" t="s">
        <v>82</v>
      </c>
      <c r="B602" s="46">
        <v>2012</v>
      </c>
      <c r="C602" s="45" t="s">
        <v>118</v>
      </c>
      <c r="D602" s="47">
        <v>5</v>
      </c>
      <c r="E602" s="48">
        <v>2290</v>
      </c>
      <c r="F602" s="48">
        <v>0</v>
      </c>
      <c r="G602" s="48">
        <v>2290</v>
      </c>
      <c r="H602" s="48">
        <v>31624.400000000001</v>
      </c>
      <c r="I602" s="48">
        <v>2104.3000000000002</v>
      </c>
      <c r="J602" s="48">
        <v>33728.699999999997</v>
      </c>
      <c r="K602" s="48">
        <v>1693</v>
      </c>
      <c r="L602" s="48">
        <v>299.10000000000002</v>
      </c>
      <c r="M602" s="48">
        <v>896</v>
      </c>
      <c r="N602" s="48">
        <v>5.2</v>
      </c>
    </row>
    <row r="603" spans="1:14" ht="10.050000000000001" customHeight="1">
      <c r="A603" s="45" t="s">
        <v>81</v>
      </c>
      <c r="B603" s="46">
        <v>2012</v>
      </c>
      <c r="C603" s="45" t="s">
        <v>118</v>
      </c>
      <c r="D603" s="47">
        <v>5</v>
      </c>
      <c r="E603" s="48">
        <v>30852.7</v>
      </c>
      <c r="F603" s="48">
        <v>0</v>
      </c>
      <c r="G603" s="48">
        <v>30852.7</v>
      </c>
      <c r="H603" s="48">
        <v>223348.9</v>
      </c>
      <c r="I603" s="48">
        <v>2301.4</v>
      </c>
      <c r="J603" s="48">
        <v>225650.3</v>
      </c>
      <c r="K603" s="48">
        <v>9074</v>
      </c>
      <c r="L603" s="48">
        <v>1224.9000000000001</v>
      </c>
      <c r="M603" s="48">
        <v>20217.3</v>
      </c>
      <c r="N603" s="48">
        <v>2040.9</v>
      </c>
    </row>
    <row r="604" spans="1:14" ht="10.050000000000001" customHeight="1">
      <c r="A604" s="45" t="s">
        <v>80</v>
      </c>
      <c r="B604" s="46">
        <v>2012</v>
      </c>
      <c r="C604" s="45" t="s">
        <v>118</v>
      </c>
      <c r="D604" s="47">
        <v>6</v>
      </c>
      <c r="E604" s="48">
        <v>44080.2</v>
      </c>
      <c r="F604" s="48">
        <v>0</v>
      </c>
      <c r="G604" s="48">
        <v>44080.2</v>
      </c>
      <c r="H604" s="48">
        <v>102097.4</v>
      </c>
      <c r="I604" s="48">
        <v>6086.2</v>
      </c>
      <c r="J604" s="48">
        <v>108183.6</v>
      </c>
      <c r="K604" s="48">
        <v>4013.3</v>
      </c>
      <c r="L604" s="48">
        <v>4152.1000000000004</v>
      </c>
      <c r="M604" s="48">
        <v>17009.3</v>
      </c>
      <c r="N604" s="48">
        <v>1805.3</v>
      </c>
    </row>
    <row r="605" spans="1:14" ht="10.050000000000001" customHeight="1">
      <c r="A605" s="45" t="s">
        <v>83</v>
      </c>
      <c r="B605" s="46">
        <v>2012</v>
      </c>
      <c r="C605" s="45" t="s">
        <v>118</v>
      </c>
      <c r="D605" s="47">
        <v>6</v>
      </c>
      <c r="E605" s="48">
        <v>442.7</v>
      </c>
      <c r="F605" s="48">
        <v>144.30000000000001</v>
      </c>
      <c r="G605" s="48">
        <v>587</v>
      </c>
      <c r="H605" s="48">
        <v>1516.6</v>
      </c>
      <c r="I605" s="48">
        <v>800.7</v>
      </c>
      <c r="J605" s="48">
        <v>2317.3000000000002</v>
      </c>
      <c r="K605" s="48">
        <v>8.3000000000000007</v>
      </c>
      <c r="L605" s="48">
        <v>0</v>
      </c>
      <c r="M605" s="48">
        <v>39.6</v>
      </c>
      <c r="N605" s="48">
        <v>0</v>
      </c>
    </row>
    <row r="606" spans="1:14" ht="10.050000000000001" customHeight="1">
      <c r="A606" s="45" t="s">
        <v>82</v>
      </c>
      <c r="B606" s="46">
        <v>2012</v>
      </c>
      <c r="C606" s="45" t="s">
        <v>118</v>
      </c>
      <c r="D606" s="47">
        <v>6</v>
      </c>
      <c r="E606" s="48">
        <v>2329.1</v>
      </c>
      <c r="F606" s="48">
        <v>614.20000000000005</v>
      </c>
      <c r="G606" s="48">
        <v>2943.3</v>
      </c>
      <c r="H606" s="48">
        <v>21084</v>
      </c>
      <c r="I606" s="48">
        <v>974.5</v>
      </c>
      <c r="J606" s="48">
        <v>22058.5</v>
      </c>
      <c r="K606" s="48">
        <v>1530.9</v>
      </c>
      <c r="L606" s="48">
        <v>553.5</v>
      </c>
      <c r="M606" s="48">
        <v>539.79999999999995</v>
      </c>
      <c r="N606" s="48">
        <v>175.8</v>
      </c>
    </row>
    <row r="607" spans="1:14" ht="10.050000000000001" customHeight="1">
      <c r="A607" s="45" t="s">
        <v>81</v>
      </c>
      <c r="B607" s="46">
        <v>2012</v>
      </c>
      <c r="C607" s="45" t="s">
        <v>118</v>
      </c>
      <c r="D607" s="47">
        <v>6</v>
      </c>
      <c r="E607" s="48">
        <v>13013.9</v>
      </c>
      <c r="F607" s="48">
        <v>1.1000000000000001</v>
      </c>
      <c r="G607" s="48">
        <v>13015</v>
      </c>
      <c r="H607" s="48">
        <v>88434.9</v>
      </c>
      <c r="I607" s="48">
        <v>761.5</v>
      </c>
      <c r="J607" s="48">
        <v>89196.4</v>
      </c>
      <c r="K607" s="48">
        <v>2894.3</v>
      </c>
      <c r="L607" s="48">
        <v>174.5</v>
      </c>
      <c r="M607" s="48">
        <v>5429.7</v>
      </c>
      <c r="N607" s="48">
        <v>924.7</v>
      </c>
    </row>
    <row r="608" spans="1:14" ht="10.050000000000001" customHeight="1">
      <c r="A608" s="45" t="s">
        <v>80</v>
      </c>
      <c r="B608" s="46">
        <v>2012</v>
      </c>
      <c r="C608" s="45" t="s">
        <v>119</v>
      </c>
      <c r="D608" s="47">
        <v>7</v>
      </c>
      <c r="E608" s="48">
        <v>2899712.7</v>
      </c>
      <c r="F608" s="48">
        <v>9569.4</v>
      </c>
      <c r="G608" s="48">
        <v>2909282.1</v>
      </c>
      <c r="H608" s="48">
        <v>2704522.8</v>
      </c>
      <c r="I608" s="48">
        <v>10800.1</v>
      </c>
      <c r="J608" s="48">
        <v>2715322.9</v>
      </c>
      <c r="K608" s="48">
        <v>1025012.5</v>
      </c>
      <c r="L608" s="48">
        <v>1163112.3999999999</v>
      </c>
      <c r="M608" s="48">
        <v>140316.20000000001</v>
      </c>
      <c r="N608" s="48">
        <v>1728.9</v>
      </c>
    </row>
    <row r="609" spans="1:14" ht="10.050000000000001" customHeight="1">
      <c r="A609" s="45" t="s">
        <v>83</v>
      </c>
      <c r="B609" s="46">
        <v>2012</v>
      </c>
      <c r="C609" s="45" t="s">
        <v>119</v>
      </c>
      <c r="D609" s="47">
        <v>7</v>
      </c>
      <c r="E609" s="48">
        <v>3916</v>
      </c>
      <c r="F609" s="48">
        <v>0</v>
      </c>
      <c r="G609" s="48">
        <v>3916</v>
      </c>
      <c r="H609" s="48">
        <v>4703.7</v>
      </c>
      <c r="I609" s="48">
        <v>779.8</v>
      </c>
      <c r="J609" s="48">
        <v>5483.5</v>
      </c>
      <c r="K609" s="48">
        <v>874.3</v>
      </c>
      <c r="L609" s="48">
        <v>865.9</v>
      </c>
      <c r="M609" s="48">
        <v>0</v>
      </c>
      <c r="N609" s="48">
        <v>0</v>
      </c>
    </row>
    <row r="610" spans="1:14" ht="10.050000000000001" customHeight="1">
      <c r="A610" s="45" t="s">
        <v>82</v>
      </c>
      <c r="B610" s="46">
        <v>2012</v>
      </c>
      <c r="C610" s="45" t="s">
        <v>119</v>
      </c>
      <c r="D610" s="47">
        <v>7</v>
      </c>
      <c r="E610" s="48">
        <v>689.7</v>
      </c>
      <c r="F610" s="48">
        <v>0</v>
      </c>
      <c r="G610" s="48">
        <v>689.7</v>
      </c>
      <c r="H610" s="48">
        <v>16303.3</v>
      </c>
      <c r="I610" s="48">
        <v>833.8</v>
      </c>
      <c r="J610" s="48">
        <v>17137.099999999999</v>
      </c>
      <c r="K610" s="48">
        <v>1181</v>
      </c>
      <c r="L610" s="48">
        <v>0</v>
      </c>
      <c r="M610" s="48">
        <v>86.4</v>
      </c>
      <c r="N610" s="48">
        <v>263.5</v>
      </c>
    </row>
    <row r="611" spans="1:14" ht="10.050000000000001" customHeight="1">
      <c r="A611" s="45" t="s">
        <v>81</v>
      </c>
      <c r="B611" s="46">
        <v>2012</v>
      </c>
      <c r="C611" s="45" t="s">
        <v>119</v>
      </c>
      <c r="D611" s="47">
        <v>7</v>
      </c>
      <c r="E611" s="48">
        <v>924.8</v>
      </c>
      <c r="F611" s="48">
        <v>0</v>
      </c>
      <c r="G611" s="48">
        <v>924.8</v>
      </c>
      <c r="H611" s="48">
        <v>52264.800000000003</v>
      </c>
      <c r="I611" s="48">
        <v>761</v>
      </c>
      <c r="J611" s="48">
        <v>53025.8</v>
      </c>
      <c r="K611" s="48">
        <v>2893</v>
      </c>
      <c r="L611" s="48">
        <v>1290.2</v>
      </c>
      <c r="M611" s="48">
        <v>194.6</v>
      </c>
      <c r="N611" s="48">
        <v>1239.3</v>
      </c>
    </row>
    <row r="612" spans="1:14" ht="10.050000000000001" customHeight="1">
      <c r="A612" s="45" t="s">
        <v>80</v>
      </c>
      <c r="B612" s="46">
        <v>2012</v>
      </c>
      <c r="C612" s="45" t="s">
        <v>119</v>
      </c>
      <c r="D612" s="47">
        <v>8</v>
      </c>
      <c r="E612" s="48">
        <v>906668.8</v>
      </c>
      <c r="F612" s="48">
        <v>4347.2</v>
      </c>
      <c r="G612" s="48">
        <v>911016.00000000105</v>
      </c>
      <c r="H612" s="48">
        <v>3074335.6</v>
      </c>
      <c r="I612" s="48">
        <v>12961.4</v>
      </c>
      <c r="J612" s="48">
        <v>3087297</v>
      </c>
      <c r="K612" s="48">
        <v>917996.5</v>
      </c>
      <c r="L612" s="48">
        <v>321818.90000000002</v>
      </c>
      <c r="M612" s="48">
        <v>423704.1</v>
      </c>
      <c r="N612" s="48">
        <v>5130.3</v>
      </c>
    </row>
    <row r="613" spans="1:14" ht="10.050000000000001" customHeight="1">
      <c r="A613" s="45" t="s">
        <v>83</v>
      </c>
      <c r="B613" s="46">
        <v>2012</v>
      </c>
      <c r="C613" s="45" t="s">
        <v>119</v>
      </c>
      <c r="D613" s="47">
        <v>8</v>
      </c>
      <c r="E613" s="48">
        <v>5170.2</v>
      </c>
      <c r="F613" s="48">
        <v>0</v>
      </c>
      <c r="G613" s="48">
        <v>5170.2</v>
      </c>
      <c r="H613" s="48">
        <v>8671.2999999999993</v>
      </c>
      <c r="I613" s="48">
        <v>774.3</v>
      </c>
      <c r="J613" s="48">
        <v>9445.6</v>
      </c>
      <c r="K613" s="48">
        <v>1573.5</v>
      </c>
      <c r="L613" s="48">
        <v>838.6</v>
      </c>
      <c r="M613" s="48">
        <v>117.3</v>
      </c>
      <c r="N613" s="48">
        <v>22.1</v>
      </c>
    </row>
    <row r="614" spans="1:14" ht="10.050000000000001" customHeight="1">
      <c r="A614" s="45" t="s">
        <v>82</v>
      </c>
      <c r="B614" s="46">
        <v>2012</v>
      </c>
      <c r="C614" s="45" t="s">
        <v>119</v>
      </c>
      <c r="D614" s="47">
        <v>8</v>
      </c>
      <c r="E614" s="48">
        <v>908.1</v>
      </c>
      <c r="F614" s="48">
        <v>40.799999999999997</v>
      </c>
      <c r="G614" s="48">
        <v>948.9</v>
      </c>
      <c r="H614" s="48">
        <v>12506.8</v>
      </c>
      <c r="I614" s="48">
        <v>798.5</v>
      </c>
      <c r="J614" s="48">
        <v>13305.3</v>
      </c>
      <c r="K614" s="48">
        <v>526.9</v>
      </c>
      <c r="L614" s="48">
        <v>0</v>
      </c>
      <c r="M614" s="48">
        <v>648.5</v>
      </c>
      <c r="N614" s="48">
        <v>5.7</v>
      </c>
    </row>
    <row r="615" spans="1:14" ht="10.050000000000001" customHeight="1">
      <c r="A615" s="45" t="s">
        <v>81</v>
      </c>
      <c r="B615" s="46">
        <v>2012</v>
      </c>
      <c r="C615" s="45" t="s">
        <v>119</v>
      </c>
      <c r="D615" s="47">
        <v>8</v>
      </c>
      <c r="E615" s="48">
        <v>51158.2</v>
      </c>
      <c r="F615" s="48">
        <v>1082.5999999999999</v>
      </c>
      <c r="G615" s="48">
        <v>52240.800000000003</v>
      </c>
      <c r="H615" s="48">
        <v>83107.8</v>
      </c>
      <c r="I615" s="48">
        <v>1498</v>
      </c>
      <c r="J615" s="48">
        <v>84605.8</v>
      </c>
      <c r="K615" s="48">
        <v>11623</v>
      </c>
      <c r="L615" s="48">
        <v>9347.6</v>
      </c>
      <c r="M615" s="48">
        <v>474.9</v>
      </c>
      <c r="N615" s="48">
        <v>0.1</v>
      </c>
    </row>
    <row r="616" spans="1:14" ht="10.050000000000001" customHeight="1">
      <c r="A616" s="45" t="s">
        <v>80</v>
      </c>
      <c r="B616" s="46">
        <v>2012</v>
      </c>
      <c r="C616" s="45" t="s">
        <v>119</v>
      </c>
      <c r="D616" s="47">
        <v>9</v>
      </c>
      <c r="E616" s="48">
        <v>269166.3</v>
      </c>
      <c r="F616" s="48">
        <v>18.5</v>
      </c>
      <c r="G616" s="48">
        <v>269184.8</v>
      </c>
      <c r="H616" s="48">
        <v>2813897.1</v>
      </c>
      <c r="I616" s="48">
        <v>10248.200000000001</v>
      </c>
      <c r="J616" s="48">
        <v>2824145.3</v>
      </c>
      <c r="K616" s="48">
        <v>731398.4</v>
      </c>
      <c r="L616" s="48">
        <v>16160.9</v>
      </c>
      <c r="M616" s="48">
        <v>192927.8</v>
      </c>
      <c r="N616" s="48">
        <v>9677.6</v>
      </c>
    </row>
    <row r="617" spans="1:14" ht="10.050000000000001" customHeight="1">
      <c r="A617" s="45" t="s">
        <v>83</v>
      </c>
      <c r="B617" s="46">
        <v>2012</v>
      </c>
      <c r="C617" s="45" t="s">
        <v>119</v>
      </c>
      <c r="D617" s="47">
        <v>9</v>
      </c>
      <c r="E617" s="48">
        <v>2094.1999999999998</v>
      </c>
      <c r="F617" s="48">
        <v>0</v>
      </c>
      <c r="G617" s="48">
        <v>2094.1999999999998</v>
      </c>
      <c r="H617" s="48">
        <v>9410.2000000000007</v>
      </c>
      <c r="I617" s="48">
        <v>690.9</v>
      </c>
      <c r="J617" s="48">
        <v>10101.1</v>
      </c>
      <c r="K617" s="48">
        <v>807</v>
      </c>
      <c r="L617" s="48">
        <v>157.4</v>
      </c>
      <c r="M617" s="48">
        <v>923.3</v>
      </c>
      <c r="N617" s="48">
        <v>0.6</v>
      </c>
    </row>
    <row r="618" spans="1:14" ht="10.050000000000001" customHeight="1">
      <c r="A618" s="45" t="s">
        <v>82</v>
      </c>
      <c r="B618" s="46">
        <v>2012</v>
      </c>
      <c r="C618" s="45" t="s">
        <v>119</v>
      </c>
      <c r="D618" s="47">
        <v>9</v>
      </c>
      <c r="E618" s="48">
        <v>18166.400000000001</v>
      </c>
      <c r="F618" s="48">
        <v>1477.7</v>
      </c>
      <c r="G618" s="48">
        <v>19644.099999999999</v>
      </c>
      <c r="H618" s="48">
        <v>24364.5</v>
      </c>
      <c r="I618" s="48">
        <v>1944.6</v>
      </c>
      <c r="J618" s="48">
        <v>26309.1</v>
      </c>
      <c r="K618" s="48">
        <v>1476.2</v>
      </c>
      <c r="L618" s="48">
        <v>1756.3</v>
      </c>
      <c r="M618" s="48">
        <v>401.3</v>
      </c>
      <c r="N618" s="48">
        <v>375.6</v>
      </c>
    </row>
    <row r="619" spans="1:14" ht="10.050000000000001" customHeight="1">
      <c r="A619" s="45" t="s">
        <v>81</v>
      </c>
      <c r="B619" s="46">
        <v>2012</v>
      </c>
      <c r="C619" s="45" t="s">
        <v>119</v>
      </c>
      <c r="D619" s="47">
        <v>9</v>
      </c>
      <c r="E619" s="48">
        <v>797403.80000000098</v>
      </c>
      <c r="F619" s="48">
        <v>4374.2</v>
      </c>
      <c r="G619" s="48">
        <v>801778.00000000105</v>
      </c>
      <c r="H619" s="48">
        <v>759461.7</v>
      </c>
      <c r="I619" s="48">
        <v>5208.7</v>
      </c>
      <c r="J619" s="48">
        <v>764670.4</v>
      </c>
      <c r="K619" s="48">
        <v>190709.8</v>
      </c>
      <c r="L619" s="48">
        <v>213270.5</v>
      </c>
      <c r="M619" s="48">
        <v>32453.200000000001</v>
      </c>
      <c r="N619" s="48">
        <v>1006.6</v>
      </c>
    </row>
    <row r="620" spans="1:14" ht="10.050000000000001" customHeight="1">
      <c r="A620" s="45" t="s">
        <v>80</v>
      </c>
      <c r="B620" s="46">
        <v>2012</v>
      </c>
      <c r="C620" s="45" t="s">
        <v>119</v>
      </c>
      <c r="D620" s="47">
        <v>10</v>
      </c>
      <c r="E620" s="48">
        <v>204275.7</v>
      </c>
      <c r="F620" s="48">
        <v>2023.3</v>
      </c>
      <c r="G620" s="48">
        <v>206299</v>
      </c>
      <c r="H620" s="48">
        <v>2324547.7999999998</v>
      </c>
      <c r="I620" s="48">
        <v>10058.4</v>
      </c>
      <c r="J620" s="48">
        <v>2334606.2000000002</v>
      </c>
      <c r="K620" s="48">
        <v>590875</v>
      </c>
      <c r="L620" s="48">
        <v>15889.8</v>
      </c>
      <c r="M620" s="48">
        <v>153899</v>
      </c>
      <c r="N620" s="48">
        <v>2774.7</v>
      </c>
    </row>
    <row r="621" spans="1:14" ht="10.050000000000001" customHeight="1">
      <c r="A621" s="45" t="s">
        <v>83</v>
      </c>
      <c r="B621" s="46">
        <v>2012</v>
      </c>
      <c r="C621" s="45" t="s">
        <v>119</v>
      </c>
      <c r="D621" s="47">
        <v>10</v>
      </c>
      <c r="E621" s="48">
        <v>985.8</v>
      </c>
      <c r="F621" s="48">
        <v>0</v>
      </c>
      <c r="G621" s="48">
        <v>985.8</v>
      </c>
      <c r="H621" s="48">
        <v>8985.5</v>
      </c>
      <c r="I621" s="48">
        <v>685</v>
      </c>
      <c r="J621" s="48">
        <v>9670.5</v>
      </c>
      <c r="K621" s="48">
        <v>466.9</v>
      </c>
      <c r="L621" s="48">
        <v>8.8000000000000007</v>
      </c>
      <c r="M621" s="48">
        <v>313.89999999999998</v>
      </c>
      <c r="N621" s="48">
        <v>35</v>
      </c>
    </row>
    <row r="622" spans="1:14" ht="10.050000000000001" customHeight="1">
      <c r="A622" s="45" t="s">
        <v>82</v>
      </c>
      <c r="B622" s="46">
        <v>2012</v>
      </c>
      <c r="C622" s="45" t="s">
        <v>119</v>
      </c>
      <c r="D622" s="47">
        <v>10</v>
      </c>
      <c r="E622" s="48">
        <v>43695.5</v>
      </c>
      <c r="F622" s="48">
        <v>1437</v>
      </c>
      <c r="G622" s="48">
        <v>45132.5</v>
      </c>
      <c r="H622" s="48">
        <v>55255.4</v>
      </c>
      <c r="I622" s="48">
        <v>3305.5</v>
      </c>
      <c r="J622" s="48">
        <v>58560.9</v>
      </c>
      <c r="K622" s="48">
        <v>5894</v>
      </c>
      <c r="L622" s="48">
        <v>6677.7</v>
      </c>
      <c r="M622" s="48">
        <v>2187.1</v>
      </c>
      <c r="N622" s="48">
        <v>100.9</v>
      </c>
    </row>
    <row r="623" spans="1:14" ht="10.050000000000001" customHeight="1">
      <c r="A623" s="45" t="s">
        <v>81</v>
      </c>
      <c r="B623" s="46">
        <v>2012</v>
      </c>
      <c r="C623" s="45" t="s">
        <v>119</v>
      </c>
      <c r="D623" s="47">
        <v>10</v>
      </c>
      <c r="E623" s="48">
        <v>295317.8</v>
      </c>
      <c r="F623" s="48">
        <v>2793.6</v>
      </c>
      <c r="G623" s="48">
        <v>298111.40000000002</v>
      </c>
      <c r="H623" s="48">
        <v>893357.3</v>
      </c>
      <c r="I623" s="48">
        <v>6702.1</v>
      </c>
      <c r="J623" s="48">
        <v>900059.4</v>
      </c>
      <c r="K623" s="48">
        <v>215954.6</v>
      </c>
      <c r="L623" s="48">
        <v>85385</v>
      </c>
      <c r="M623" s="48">
        <v>59191.9</v>
      </c>
      <c r="N623" s="48">
        <v>1692.2</v>
      </c>
    </row>
    <row r="624" spans="1:14" ht="10.050000000000001" customHeight="1">
      <c r="A624" s="45" t="s">
        <v>80</v>
      </c>
      <c r="B624" s="46">
        <v>2012</v>
      </c>
      <c r="C624" s="45" t="s">
        <v>119</v>
      </c>
      <c r="D624" s="47">
        <v>11</v>
      </c>
      <c r="E624" s="48">
        <v>192666.4</v>
      </c>
      <c r="F624" s="48">
        <v>63.1</v>
      </c>
      <c r="G624" s="48">
        <v>192729.5</v>
      </c>
      <c r="H624" s="48">
        <v>2041305.8</v>
      </c>
      <c r="I624" s="48">
        <v>9881.4</v>
      </c>
      <c r="J624" s="48">
        <v>2051187.2</v>
      </c>
      <c r="K624" s="48">
        <v>486127.2</v>
      </c>
      <c r="L624" s="48">
        <v>17164.8</v>
      </c>
      <c r="M624" s="48">
        <v>118170.5</v>
      </c>
      <c r="N624" s="48">
        <v>3737.1</v>
      </c>
    </row>
    <row r="625" spans="1:14" ht="10.050000000000001" customHeight="1">
      <c r="A625" s="45" t="s">
        <v>83</v>
      </c>
      <c r="B625" s="46">
        <v>2012</v>
      </c>
      <c r="C625" s="45" t="s">
        <v>119</v>
      </c>
      <c r="D625" s="47">
        <v>11</v>
      </c>
      <c r="E625" s="48">
        <v>605.20000000000005</v>
      </c>
      <c r="F625" s="48">
        <v>0</v>
      </c>
      <c r="G625" s="48">
        <v>605.20000000000005</v>
      </c>
      <c r="H625" s="48">
        <v>8214.2000000000007</v>
      </c>
      <c r="I625" s="48">
        <v>684.8</v>
      </c>
      <c r="J625" s="48">
        <v>8899</v>
      </c>
      <c r="K625" s="48">
        <v>343.5</v>
      </c>
      <c r="L625" s="48">
        <v>8.1999999999999993</v>
      </c>
      <c r="M625" s="48">
        <v>131.6</v>
      </c>
      <c r="N625" s="48">
        <v>0</v>
      </c>
    </row>
    <row r="626" spans="1:14" ht="10.050000000000001" customHeight="1">
      <c r="A626" s="45" t="s">
        <v>82</v>
      </c>
      <c r="B626" s="46">
        <v>2012</v>
      </c>
      <c r="C626" s="45" t="s">
        <v>119</v>
      </c>
      <c r="D626" s="47">
        <v>11</v>
      </c>
      <c r="E626" s="48">
        <v>9397.1</v>
      </c>
      <c r="F626" s="48">
        <v>90.3</v>
      </c>
      <c r="G626" s="48">
        <v>9487.4</v>
      </c>
      <c r="H626" s="48">
        <v>53989.9</v>
      </c>
      <c r="I626" s="48">
        <v>3395.8</v>
      </c>
      <c r="J626" s="48">
        <v>57385.7</v>
      </c>
      <c r="K626" s="48">
        <v>4471.2</v>
      </c>
      <c r="L626" s="48">
        <v>823.2</v>
      </c>
      <c r="M626" s="48">
        <v>1908.9</v>
      </c>
      <c r="N626" s="48">
        <v>273.2</v>
      </c>
    </row>
    <row r="627" spans="1:14" ht="10.050000000000001" customHeight="1">
      <c r="A627" s="45" t="s">
        <v>81</v>
      </c>
      <c r="B627" s="46">
        <v>2012</v>
      </c>
      <c r="C627" s="45" t="s">
        <v>119</v>
      </c>
      <c r="D627" s="47">
        <v>11</v>
      </c>
      <c r="E627" s="48">
        <v>70697.5</v>
      </c>
      <c r="F627" s="48">
        <v>40.1</v>
      </c>
      <c r="G627" s="48">
        <v>70737.600000000006</v>
      </c>
      <c r="H627" s="48">
        <v>831562.50000000105</v>
      </c>
      <c r="I627" s="48">
        <v>5500.4</v>
      </c>
      <c r="J627" s="48">
        <v>837062.90000000095</v>
      </c>
      <c r="K627" s="48">
        <v>185056.2</v>
      </c>
      <c r="L627" s="48">
        <v>11753.5</v>
      </c>
      <c r="M627" s="48">
        <v>38422.699999999997</v>
      </c>
      <c r="N627" s="48">
        <v>4229.1000000000004</v>
      </c>
    </row>
    <row r="628" spans="1:14" ht="10.050000000000001" customHeight="1">
      <c r="A628" s="45" t="s">
        <v>80</v>
      </c>
      <c r="B628" s="46">
        <v>2012</v>
      </c>
      <c r="C628" s="45" t="s">
        <v>119</v>
      </c>
      <c r="D628" s="47">
        <v>12</v>
      </c>
      <c r="E628" s="48">
        <v>95847.2</v>
      </c>
      <c r="F628" s="48">
        <v>48.5</v>
      </c>
      <c r="G628" s="48">
        <v>95895.7</v>
      </c>
      <c r="H628" s="48">
        <v>1737950.5</v>
      </c>
      <c r="I628" s="48">
        <v>9791</v>
      </c>
      <c r="J628" s="48">
        <v>1747741.5</v>
      </c>
      <c r="K628" s="48">
        <v>462541.2</v>
      </c>
      <c r="L628" s="48">
        <v>23078.7</v>
      </c>
      <c r="M628" s="48">
        <v>45348</v>
      </c>
      <c r="N628" s="48">
        <v>1273.4000000000001</v>
      </c>
    </row>
    <row r="629" spans="1:14" ht="10.050000000000001" customHeight="1">
      <c r="A629" s="45" t="s">
        <v>83</v>
      </c>
      <c r="B629" s="46">
        <v>2012</v>
      </c>
      <c r="C629" s="45" t="s">
        <v>119</v>
      </c>
      <c r="D629" s="47">
        <v>12</v>
      </c>
      <c r="E629" s="48">
        <v>544.4</v>
      </c>
      <c r="F629" s="48">
        <v>0</v>
      </c>
      <c r="G629" s="48">
        <v>544.4</v>
      </c>
      <c r="H629" s="48">
        <v>7750.2</v>
      </c>
      <c r="I629" s="48">
        <v>682.8</v>
      </c>
      <c r="J629" s="48">
        <v>8433</v>
      </c>
      <c r="K629" s="48">
        <v>302.10000000000002</v>
      </c>
      <c r="L629" s="48">
        <v>0</v>
      </c>
      <c r="M629" s="48">
        <v>34.299999999999997</v>
      </c>
      <c r="N629" s="48">
        <v>7.1</v>
      </c>
    </row>
    <row r="630" spans="1:14" ht="10.050000000000001" customHeight="1">
      <c r="A630" s="45" t="s">
        <v>82</v>
      </c>
      <c r="B630" s="46">
        <v>2012</v>
      </c>
      <c r="C630" s="45" t="s">
        <v>119</v>
      </c>
      <c r="D630" s="47">
        <v>12</v>
      </c>
      <c r="E630" s="48">
        <v>2589.6</v>
      </c>
      <c r="F630" s="48">
        <v>0</v>
      </c>
      <c r="G630" s="48">
        <v>2589.6</v>
      </c>
      <c r="H630" s="48">
        <v>48196.5</v>
      </c>
      <c r="I630" s="48">
        <v>3240.9</v>
      </c>
      <c r="J630" s="48">
        <v>51437.4</v>
      </c>
      <c r="K630" s="48">
        <v>3884</v>
      </c>
      <c r="L630" s="48">
        <v>305.7</v>
      </c>
      <c r="M630" s="48">
        <v>779.4</v>
      </c>
      <c r="N630" s="48">
        <v>113.6</v>
      </c>
    </row>
    <row r="631" spans="1:14" ht="10.050000000000001" customHeight="1">
      <c r="A631" s="45" t="s">
        <v>81</v>
      </c>
      <c r="B631" s="46">
        <v>2012</v>
      </c>
      <c r="C631" s="45" t="s">
        <v>119</v>
      </c>
      <c r="D631" s="47">
        <v>12</v>
      </c>
      <c r="E631" s="48">
        <v>26568.3</v>
      </c>
      <c r="F631" s="48">
        <v>0</v>
      </c>
      <c r="G631" s="48">
        <v>26568.3</v>
      </c>
      <c r="H631" s="48">
        <v>726557</v>
      </c>
      <c r="I631" s="48">
        <v>4621.8</v>
      </c>
      <c r="J631" s="48">
        <v>731178.8</v>
      </c>
      <c r="K631" s="48">
        <v>167270.70000000001</v>
      </c>
      <c r="L631" s="48">
        <v>1746.2</v>
      </c>
      <c r="M631" s="48">
        <v>17601.3</v>
      </c>
      <c r="N631" s="48">
        <v>1929.9</v>
      </c>
    </row>
    <row r="632" spans="1:14" ht="10.050000000000001" customHeight="1">
      <c r="A632" s="45" t="s">
        <v>80</v>
      </c>
      <c r="B632" s="46">
        <v>2013</v>
      </c>
      <c r="C632" s="45" t="s">
        <v>119</v>
      </c>
      <c r="D632" s="47">
        <v>1</v>
      </c>
      <c r="E632" s="48">
        <v>122138.9</v>
      </c>
      <c r="F632" s="48">
        <v>0</v>
      </c>
      <c r="G632" s="48">
        <v>122138.9</v>
      </c>
      <c r="H632" s="48">
        <v>1332315.3999999999</v>
      </c>
      <c r="I632" s="48">
        <v>10299.799999999999</v>
      </c>
      <c r="J632" s="48">
        <v>1342615.2</v>
      </c>
      <c r="K632" s="48">
        <v>408428.79999999999</v>
      </c>
      <c r="L632" s="48">
        <v>22737.200000000001</v>
      </c>
      <c r="M632" s="48">
        <v>73184.3</v>
      </c>
      <c r="N632" s="48">
        <v>3665.1</v>
      </c>
    </row>
    <row r="633" spans="1:14" ht="10.050000000000001" customHeight="1">
      <c r="A633" s="45" t="s">
        <v>83</v>
      </c>
      <c r="B633" s="46">
        <v>2013</v>
      </c>
      <c r="C633" s="45" t="s">
        <v>119</v>
      </c>
      <c r="D633" s="47">
        <v>1</v>
      </c>
      <c r="E633" s="48">
        <v>662.1</v>
      </c>
      <c r="F633" s="48">
        <v>187.3</v>
      </c>
      <c r="G633" s="48">
        <v>849.4</v>
      </c>
      <c r="H633" s="48">
        <v>7091.1</v>
      </c>
      <c r="I633" s="48">
        <v>798.6</v>
      </c>
      <c r="J633" s="48">
        <v>7889.7</v>
      </c>
      <c r="K633" s="48">
        <v>252.3</v>
      </c>
      <c r="L633" s="48">
        <v>23.1</v>
      </c>
      <c r="M633" s="48">
        <v>65</v>
      </c>
      <c r="N633" s="48">
        <v>7.9</v>
      </c>
    </row>
    <row r="634" spans="1:14" ht="10.050000000000001" customHeight="1">
      <c r="A634" s="45" t="s">
        <v>82</v>
      </c>
      <c r="B634" s="46">
        <v>2013</v>
      </c>
      <c r="C634" s="45" t="s">
        <v>119</v>
      </c>
      <c r="D634" s="47">
        <v>1</v>
      </c>
      <c r="E634" s="48">
        <v>2590.5</v>
      </c>
      <c r="F634" s="48">
        <v>1.3</v>
      </c>
      <c r="G634" s="48">
        <v>2591.8000000000002</v>
      </c>
      <c r="H634" s="48">
        <v>43045.9</v>
      </c>
      <c r="I634" s="48">
        <v>2877.9</v>
      </c>
      <c r="J634" s="48">
        <v>45923.8</v>
      </c>
      <c r="K634" s="48">
        <v>2638.4</v>
      </c>
      <c r="L634" s="48">
        <v>331.4</v>
      </c>
      <c r="M634" s="48">
        <v>9.1999999999999602</v>
      </c>
      <c r="N634" s="48">
        <v>1573.7</v>
      </c>
    </row>
    <row r="635" spans="1:14" ht="10.050000000000001" customHeight="1">
      <c r="A635" s="45" t="s">
        <v>81</v>
      </c>
      <c r="B635" s="46">
        <v>2013</v>
      </c>
      <c r="C635" s="45" t="s">
        <v>119</v>
      </c>
      <c r="D635" s="47">
        <v>1</v>
      </c>
      <c r="E635" s="48">
        <v>38441.699999999997</v>
      </c>
      <c r="F635" s="48">
        <v>261</v>
      </c>
      <c r="G635" s="48">
        <v>38702.699999999997</v>
      </c>
      <c r="H635" s="48">
        <v>613341.30000000005</v>
      </c>
      <c r="I635" s="48">
        <v>3686.1</v>
      </c>
      <c r="J635" s="48">
        <v>617027.4</v>
      </c>
      <c r="K635" s="48">
        <v>140832.1</v>
      </c>
      <c r="L635" s="48">
        <v>3571.5</v>
      </c>
      <c r="M635" s="48">
        <v>15414.1</v>
      </c>
      <c r="N635" s="48">
        <v>14596.1</v>
      </c>
    </row>
    <row r="636" spans="1:14" ht="10.050000000000001" customHeight="1">
      <c r="A636" s="45" t="s">
        <v>80</v>
      </c>
      <c r="B636" s="46">
        <v>2013</v>
      </c>
      <c r="C636" s="45" t="s">
        <v>119</v>
      </c>
      <c r="D636" s="47">
        <v>2</v>
      </c>
      <c r="E636" s="48">
        <v>130653.1</v>
      </c>
      <c r="F636" s="48">
        <v>52.2</v>
      </c>
      <c r="G636" s="48">
        <v>130705.3</v>
      </c>
      <c r="H636" s="48">
        <v>1012408.8</v>
      </c>
      <c r="I636" s="48">
        <v>10328.200000000001</v>
      </c>
      <c r="J636" s="48">
        <v>1022737</v>
      </c>
      <c r="K636" s="48">
        <v>329472</v>
      </c>
      <c r="L636" s="48">
        <v>11912.9</v>
      </c>
      <c r="M636" s="48">
        <v>88373.1</v>
      </c>
      <c r="N636" s="48">
        <v>2497</v>
      </c>
    </row>
    <row r="637" spans="1:14" ht="10.050000000000001" customHeight="1">
      <c r="A637" s="45" t="s">
        <v>83</v>
      </c>
      <c r="B637" s="46">
        <v>2013</v>
      </c>
      <c r="C637" s="45" t="s">
        <v>119</v>
      </c>
      <c r="D637" s="47">
        <v>2</v>
      </c>
      <c r="E637" s="48">
        <v>394.4</v>
      </c>
      <c r="F637" s="48">
        <v>54.1</v>
      </c>
      <c r="G637" s="48">
        <v>448.5</v>
      </c>
      <c r="H637" s="48">
        <v>5832.2</v>
      </c>
      <c r="I637" s="48">
        <v>735.9</v>
      </c>
      <c r="J637" s="48">
        <v>6568.1</v>
      </c>
      <c r="K637" s="48">
        <v>224.7</v>
      </c>
      <c r="L637" s="48">
        <v>7.9</v>
      </c>
      <c r="M637" s="48">
        <v>35.4</v>
      </c>
      <c r="N637" s="48">
        <v>0.1</v>
      </c>
    </row>
    <row r="638" spans="1:14" ht="10.050000000000001" customHeight="1">
      <c r="A638" s="45" t="s">
        <v>82</v>
      </c>
      <c r="B638" s="46">
        <v>2013</v>
      </c>
      <c r="C638" s="45" t="s">
        <v>119</v>
      </c>
      <c r="D638" s="47">
        <v>2</v>
      </c>
      <c r="E638" s="48">
        <v>1755.4</v>
      </c>
      <c r="F638" s="48">
        <v>0</v>
      </c>
      <c r="G638" s="48">
        <v>1755.4</v>
      </c>
      <c r="H638" s="48">
        <v>37909.300000000003</v>
      </c>
      <c r="I638" s="48">
        <v>2587.6</v>
      </c>
      <c r="J638" s="48">
        <v>40496.9</v>
      </c>
      <c r="K638" s="48">
        <v>2031.9</v>
      </c>
      <c r="L638" s="48">
        <v>234.9</v>
      </c>
      <c r="M638" s="48">
        <v>234.2</v>
      </c>
      <c r="N638" s="48">
        <v>607.20000000000005</v>
      </c>
    </row>
    <row r="639" spans="1:14" ht="10.050000000000001" customHeight="1">
      <c r="A639" s="45" t="s">
        <v>81</v>
      </c>
      <c r="B639" s="46">
        <v>2013</v>
      </c>
      <c r="C639" s="45" t="s">
        <v>119</v>
      </c>
      <c r="D639" s="47">
        <v>2</v>
      </c>
      <c r="E639" s="48">
        <v>29935.8</v>
      </c>
      <c r="F639" s="48">
        <v>2296.5</v>
      </c>
      <c r="G639" s="48">
        <v>32232.3</v>
      </c>
      <c r="H639" s="48">
        <v>529591.4</v>
      </c>
      <c r="I639" s="48">
        <v>2484.5</v>
      </c>
      <c r="J639" s="48">
        <v>532075.9</v>
      </c>
      <c r="K639" s="48">
        <v>116488.5</v>
      </c>
      <c r="L639" s="48">
        <v>2408</v>
      </c>
      <c r="M639" s="48">
        <v>23132.7</v>
      </c>
      <c r="N639" s="48">
        <v>3639.5</v>
      </c>
    </row>
    <row r="640" spans="1:14" ht="10.050000000000001" customHeight="1">
      <c r="A640" s="45" t="s">
        <v>80</v>
      </c>
      <c r="B640" s="46">
        <v>2013</v>
      </c>
      <c r="C640" s="45" t="s">
        <v>119</v>
      </c>
      <c r="D640" s="47">
        <v>3</v>
      </c>
      <c r="E640" s="48">
        <v>137975</v>
      </c>
      <c r="F640" s="48">
        <v>1960.9</v>
      </c>
      <c r="G640" s="48">
        <v>139935.9</v>
      </c>
      <c r="H640" s="48">
        <v>737356.3</v>
      </c>
      <c r="I640" s="48">
        <v>12208.4</v>
      </c>
      <c r="J640" s="48">
        <v>749564.7</v>
      </c>
      <c r="K640" s="48">
        <v>238572.6</v>
      </c>
      <c r="L640" s="48">
        <v>9414.4</v>
      </c>
      <c r="M640" s="48">
        <v>95731.300000000105</v>
      </c>
      <c r="N640" s="48">
        <v>4581.8999999999996</v>
      </c>
    </row>
    <row r="641" spans="1:14" ht="10.050000000000001" customHeight="1">
      <c r="A641" s="45" t="s">
        <v>83</v>
      </c>
      <c r="B641" s="46">
        <v>2013</v>
      </c>
      <c r="C641" s="45" t="s">
        <v>119</v>
      </c>
      <c r="D641" s="47">
        <v>3</v>
      </c>
      <c r="E641" s="48">
        <v>592.29999999999995</v>
      </c>
      <c r="F641" s="48">
        <v>597.5</v>
      </c>
      <c r="G641" s="48">
        <v>1189.8</v>
      </c>
      <c r="H641" s="48">
        <v>4362.7</v>
      </c>
      <c r="I641" s="48">
        <v>949.3</v>
      </c>
      <c r="J641" s="48">
        <v>5312</v>
      </c>
      <c r="K641" s="48">
        <v>154.30000000000001</v>
      </c>
      <c r="L641" s="48">
        <v>0</v>
      </c>
      <c r="M641" s="48">
        <v>60.1</v>
      </c>
      <c r="N641" s="48">
        <v>10.4</v>
      </c>
    </row>
    <row r="642" spans="1:14" ht="10.050000000000001" customHeight="1">
      <c r="A642" s="45" t="s">
        <v>82</v>
      </c>
      <c r="B642" s="46">
        <v>2013</v>
      </c>
      <c r="C642" s="45" t="s">
        <v>119</v>
      </c>
      <c r="D642" s="47">
        <v>3</v>
      </c>
      <c r="E642" s="48">
        <v>1012.5</v>
      </c>
      <c r="F642" s="48">
        <v>324.7</v>
      </c>
      <c r="G642" s="48">
        <v>1337.2</v>
      </c>
      <c r="H642" s="48">
        <v>32141.599999999999</v>
      </c>
      <c r="I642" s="48">
        <v>1818.3</v>
      </c>
      <c r="J642" s="48">
        <v>33959.9</v>
      </c>
      <c r="K642" s="48">
        <v>1653.5</v>
      </c>
      <c r="L642" s="48">
        <v>208.4</v>
      </c>
      <c r="M642" s="48">
        <v>530.20000000000005</v>
      </c>
      <c r="N642" s="48">
        <v>56.5</v>
      </c>
    </row>
    <row r="643" spans="1:14" ht="10.050000000000001" customHeight="1">
      <c r="A643" s="45" t="s">
        <v>81</v>
      </c>
      <c r="B643" s="46">
        <v>2013</v>
      </c>
      <c r="C643" s="45" t="s">
        <v>119</v>
      </c>
      <c r="D643" s="47">
        <v>3</v>
      </c>
      <c r="E643" s="48">
        <v>35898.6</v>
      </c>
      <c r="F643" s="48">
        <v>-7.9</v>
      </c>
      <c r="G643" s="48">
        <v>35890.699999999997</v>
      </c>
      <c r="H643" s="48">
        <v>451031.7</v>
      </c>
      <c r="I643" s="48">
        <v>1715.1</v>
      </c>
      <c r="J643" s="48">
        <v>452746.8</v>
      </c>
      <c r="K643" s="48">
        <v>85752.4</v>
      </c>
      <c r="L643" s="48">
        <v>1388.5</v>
      </c>
      <c r="M643" s="48">
        <v>29409.599999999999</v>
      </c>
      <c r="N643" s="48">
        <v>2761.7</v>
      </c>
    </row>
    <row r="644" spans="1:14" ht="10.050000000000001" customHeight="1">
      <c r="A644" s="45" t="s">
        <v>80</v>
      </c>
      <c r="B644" s="46">
        <v>2013</v>
      </c>
      <c r="C644" s="45" t="s">
        <v>119</v>
      </c>
      <c r="D644" s="47">
        <v>4</v>
      </c>
      <c r="E644" s="48">
        <v>172695.7</v>
      </c>
      <c r="F644" s="48">
        <v>0</v>
      </c>
      <c r="G644" s="48">
        <v>172695.7</v>
      </c>
      <c r="H644" s="48">
        <v>499752.7</v>
      </c>
      <c r="I644" s="48">
        <v>11988.8</v>
      </c>
      <c r="J644" s="48">
        <v>511741.5</v>
      </c>
      <c r="K644" s="48">
        <v>132072.6</v>
      </c>
      <c r="L644" s="48">
        <v>15533</v>
      </c>
      <c r="M644" s="48">
        <v>119059.4</v>
      </c>
      <c r="N644" s="48">
        <v>2973.6</v>
      </c>
    </row>
    <row r="645" spans="1:14" ht="10.050000000000001" customHeight="1">
      <c r="A645" s="45" t="s">
        <v>83</v>
      </c>
      <c r="B645" s="46">
        <v>2013</v>
      </c>
      <c r="C645" s="45" t="s">
        <v>119</v>
      </c>
      <c r="D645" s="47">
        <v>4</v>
      </c>
      <c r="E645" s="48">
        <v>618.70000000000005</v>
      </c>
      <c r="F645" s="48">
        <v>0</v>
      </c>
      <c r="G645" s="48">
        <v>618.70000000000005</v>
      </c>
      <c r="H645" s="48">
        <v>3425.1</v>
      </c>
      <c r="I645" s="48">
        <v>923.3</v>
      </c>
      <c r="J645" s="48">
        <v>4348.3999999999996</v>
      </c>
      <c r="K645" s="48">
        <v>109</v>
      </c>
      <c r="L645" s="48">
        <v>0</v>
      </c>
      <c r="M645" s="48">
        <v>45.3</v>
      </c>
      <c r="N645" s="48">
        <v>0</v>
      </c>
    </row>
    <row r="646" spans="1:14" ht="10.050000000000001" customHeight="1">
      <c r="A646" s="45" t="s">
        <v>82</v>
      </c>
      <c r="B646" s="46">
        <v>2013</v>
      </c>
      <c r="C646" s="45" t="s">
        <v>119</v>
      </c>
      <c r="D646" s="47">
        <v>4</v>
      </c>
      <c r="E646" s="48">
        <v>1111.3</v>
      </c>
      <c r="F646" s="48">
        <v>0</v>
      </c>
      <c r="G646" s="48">
        <v>1111.3</v>
      </c>
      <c r="H646" s="48">
        <v>26514.400000000001</v>
      </c>
      <c r="I646" s="48">
        <v>1212</v>
      </c>
      <c r="J646" s="48">
        <v>27726.400000000001</v>
      </c>
      <c r="K646" s="48">
        <v>1487</v>
      </c>
      <c r="L646" s="48">
        <v>335.5</v>
      </c>
      <c r="M646" s="48">
        <v>640.1</v>
      </c>
      <c r="N646" s="48">
        <v>38.700000000000003</v>
      </c>
    </row>
    <row r="647" spans="1:14" ht="10.050000000000001" customHeight="1">
      <c r="A647" s="45" t="s">
        <v>81</v>
      </c>
      <c r="B647" s="46">
        <v>2013</v>
      </c>
      <c r="C647" s="45" t="s">
        <v>119</v>
      </c>
      <c r="D647" s="47">
        <v>4</v>
      </c>
      <c r="E647" s="48">
        <v>35771.199999999997</v>
      </c>
      <c r="F647" s="48">
        <v>171.7</v>
      </c>
      <c r="G647" s="48">
        <v>35942.9</v>
      </c>
      <c r="H647" s="48">
        <v>367414.9</v>
      </c>
      <c r="I647" s="48">
        <v>1686.4</v>
      </c>
      <c r="J647" s="48">
        <v>369101.3</v>
      </c>
      <c r="K647" s="48">
        <v>58932.6</v>
      </c>
      <c r="L647" s="48">
        <v>2331</v>
      </c>
      <c r="M647" s="48">
        <v>24229.1</v>
      </c>
      <c r="N647" s="48">
        <v>4874.8</v>
      </c>
    </row>
    <row r="648" spans="1:14" ht="10.050000000000001" customHeight="1">
      <c r="A648" s="45" t="s">
        <v>80</v>
      </c>
      <c r="B648" s="46">
        <v>2013</v>
      </c>
      <c r="C648" s="45" t="s">
        <v>119</v>
      </c>
      <c r="D648" s="47">
        <v>5</v>
      </c>
      <c r="E648" s="48">
        <v>144341.6</v>
      </c>
      <c r="F648" s="48">
        <v>0</v>
      </c>
      <c r="G648" s="48">
        <v>144341.6</v>
      </c>
      <c r="H648" s="48">
        <v>311597.7</v>
      </c>
      <c r="I648" s="48">
        <v>11892.6</v>
      </c>
      <c r="J648" s="48">
        <v>323490.3</v>
      </c>
      <c r="K648" s="48">
        <v>42270.8</v>
      </c>
      <c r="L648" s="48">
        <v>8656.7999999999993</v>
      </c>
      <c r="M648" s="48">
        <v>93636</v>
      </c>
      <c r="N648" s="48">
        <v>4935.8999999999996</v>
      </c>
    </row>
    <row r="649" spans="1:14" ht="10.050000000000001" customHeight="1">
      <c r="A649" s="45" t="s">
        <v>83</v>
      </c>
      <c r="B649" s="46">
        <v>2013</v>
      </c>
      <c r="C649" s="45" t="s">
        <v>119</v>
      </c>
      <c r="D649" s="47">
        <v>5</v>
      </c>
      <c r="E649" s="48">
        <v>224.3</v>
      </c>
      <c r="F649" s="48">
        <v>251.8</v>
      </c>
      <c r="G649" s="48">
        <v>476.1</v>
      </c>
      <c r="H649" s="48">
        <v>2186.1</v>
      </c>
      <c r="I649" s="48">
        <v>757.8</v>
      </c>
      <c r="J649" s="48">
        <v>2943.9</v>
      </c>
      <c r="K649" s="48">
        <v>21</v>
      </c>
      <c r="L649" s="48">
        <v>0</v>
      </c>
      <c r="M649" s="48">
        <v>87.9</v>
      </c>
      <c r="N649" s="48">
        <v>0.1</v>
      </c>
    </row>
    <row r="650" spans="1:14" ht="10.050000000000001" customHeight="1">
      <c r="A650" s="45" t="s">
        <v>82</v>
      </c>
      <c r="B650" s="46">
        <v>2013</v>
      </c>
      <c r="C650" s="45" t="s">
        <v>119</v>
      </c>
      <c r="D650" s="47">
        <v>5</v>
      </c>
      <c r="E650" s="48">
        <v>1052.3</v>
      </c>
      <c r="F650" s="48">
        <v>0</v>
      </c>
      <c r="G650" s="48">
        <v>1052.3</v>
      </c>
      <c r="H650" s="48">
        <v>23036.2</v>
      </c>
      <c r="I650" s="48">
        <v>913.5</v>
      </c>
      <c r="J650" s="48">
        <v>23949.7</v>
      </c>
      <c r="K650" s="48">
        <v>1434.3</v>
      </c>
      <c r="L650" s="48">
        <v>705.4</v>
      </c>
      <c r="M650" s="48">
        <v>578.9</v>
      </c>
      <c r="N650" s="48">
        <v>2.4</v>
      </c>
    </row>
    <row r="651" spans="1:14" ht="10.050000000000001" customHeight="1">
      <c r="A651" s="45" t="s">
        <v>81</v>
      </c>
      <c r="B651" s="46">
        <v>2013</v>
      </c>
      <c r="C651" s="45" t="s">
        <v>119</v>
      </c>
      <c r="D651" s="47">
        <v>5</v>
      </c>
      <c r="E651" s="48">
        <v>43286.8</v>
      </c>
      <c r="F651" s="48">
        <v>-0.4</v>
      </c>
      <c r="G651" s="48">
        <v>43286.400000000001</v>
      </c>
      <c r="H651" s="48">
        <v>278036.5</v>
      </c>
      <c r="I651" s="48">
        <v>1667.8</v>
      </c>
      <c r="J651" s="48">
        <v>279704.3</v>
      </c>
      <c r="K651" s="48">
        <v>26536.1</v>
      </c>
      <c r="L651" s="48">
        <v>1192.3</v>
      </c>
      <c r="M651" s="48">
        <v>30961</v>
      </c>
      <c r="N651" s="48">
        <v>2627.8</v>
      </c>
    </row>
    <row r="652" spans="1:14" ht="10.050000000000001" customHeight="1">
      <c r="A652" s="45" t="s">
        <v>80</v>
      </c>
      <c r="B652" s="46">
        <v>2013</v>
      </c>
      <c r="C652" s="45" t="s">
        <v>119</v>
      </c>
      <c r="D652" s="47">
        <v>6</v>
      </c>
      <c r="E652" s="48">
        <v>62317.4</v>
      </c>
      <c r="F652" s="48">
        <v>467.9</v>
      </c>
      <c r="G652" s="48">
        <v>62785.3</v>
      </c>
      <c r="H652" s="48">
        <v>130856.7</v>
      </c>
      <c r="I652" s="48">
        <v>7711.1</v>
      </c>
      <c r="J652" s="48">
        <v>138567.79999999999</v>
      </c>
      <c r="K652" s="48">
        <v>13437</v>
      </c>
      <c r="L652" s="48">
        <v>4467.3</v>
      </c>
      <c r="M652" s="48">
        <v>32062.1</v>
      </c>
      <c r="N652" s="48">
        <v>1341.1</v>
      </c>
    </row>
    <row r="653" spans="1:14" ht="10.050000000000001" customHeight="1">
      <c r="A653" s="45" t="s">
        <v>83</v>
      </c>
      <c r="B653" s="46">
        <v>2013</v>
      </c>
      <c r="C653" s="45" t="s">
        <v>119</v>
      </c>
      <c r="D653" s="47">
        <v>6</v>
      </c>
      <c r="E653" s="48">
        <v>317</v>
      </c>
      <c r="F653" s="48">
        <v>72.3</v>
      </c>
      <c r="G653" s="48">
        <v>389.3</v>
      </c>
      <c r="H653" s="48">
        <v>809</v>
      </c>
      <c r="I653" s="48">
        <v>473.5</v>
      </c>
      <c r="J653" s="48">
        <v>1282.5</v>
      </c>
      <c r="K653" s="48">
        <v>8.3000000000000007</v>
      </c>
      <c r="L653" s="48">
        <v>-207.7</v>
      </c>
      <c r="M653" s="48">
        <v>-202.6</v>
      </c>
      <c r="N653" s="48">
        <v>7.6</v>
      </c>
    </row>
    <row r="654" spans="1:14" ht="10.050000000000001" customHeight="1">
      <c r="A654" s="45" t="s">
        <v>82</v>
      </c>
      <c r="B654" s="46">
        <v>2013</v>
      </c>
      <c r="C654" s="45" t="s">
        <v>119</v>
      </c>
      <c r="D654" s="47">
        <v>6</v>
      </c>
      <c r="E654" s="48">
        <v>2420.1</v>
      </c>
      <c r="F654" s="48">
        <v>616</v>
      </c>
      <c r="G654" s="48">
        <v>3036.1</v>
      </c>
      <c r="H654" s="48">
        <v>14561.3</v>
      </c>
      <c r="I654" s="48">
        <v>352.1</v>
      </c>
      <c r="J654" s="48">
        <v>14913.4</v>
      </c>
      <c r="K654" s="48">
        <v>1186.8</v>
      </c>
      <c r="L654" s="48">
        <v>138.30000000000001</v>
      </c>
      <c r="M654" s="48">
        <v>456.8</v>
      </c>
      <c r="N654" s="48">
        <v>11.3</v>
      </c>
    </row>
    <row r="655" spans="1:14" ht="10.050000000000001" customHeight="1">
      <c r="A655" s="45" t="s">
        <v>81</v>
      </c>
      <c r="B655" s="46">
        <v>2013</v>
      </c>
      <c r="C655" s="45" t="s">
        <v>119</v>
      </c>
      <c r="D655" s="47">
        <v>6</v>
      </c>
      <c r="E655" s="48">
        <v>30602.7</v>
      </c>
      <c r="F655" s="48">
        <v>-197.3</v>
      </c>
      <c r="G655" s="48">
        <v>30405.4</v>
      </c>
      <c r="H655" s="48">
        <v>151855</v>
      </c>
      <c r="I655" s="48">
        <v>973.8</v>
      </c>
      <c r="J655" s="48">
        <v>152828.79999999999</v>
      </c>
      <c r="K655" s="48">
        <v>6634.2</v>
      </c>
      <c r="L655" s="48">
        <v>1144.0999999999999</v>
      </c>
      <c r="M655" s="48">
        <v>18158.8</v>
      </c>
      <c r="N655" s="48">
        <v>3030.9</v>
      </c>
    </row>
    <row r="656" spans="1:14" ht="10.050000000000001" customHeight="1">
      <c r="A656" s="45" t="s">
        <v>80</v>
      </c>
      <c r="B656" s="46">
        <v>2013</v>
      </c>
      <c r="C656" s="45" t="s">
        <v>120</v>
      </c>
      <c r="D656" s="47">
        <v>7</v>
      </c>
      <c r="E656" s="48">
        <v>1224012.5</v>
      </c>
      <c r="F656" s="48">
        <v>11189.9</v>
      </c>
      <c r="G656" s="48">
        <v>1235202.3999999999</v>
      </c>
      <c r="H656" s="48">
        <v>972282.9</v>
      </c>
      <c r="I656" s="48">
        <v>14160.7</v>
      </c>
      <c r="J656" s="48">
        <v>986443.6</v>
      </c>
      <c r="K656" s="48">
        <v>433130.1</v>
      </c>
      <c r="L656" s="48">
        <v>578763.9</v>
      </c>
      <c r="M656" s="48">
        <v>157683.9</v>
      </c>
      <c r="N656" s="48">
        <v>1407.5</v>
      </c>
    </row>
    <row r="657" spans="1:14" ht="10.050000000000001" customHeight="1">
      <c r="A657" s="45" t="s">
        <v>83</v>
      </c>
      <c r="B657" s="46">
        <v>2013</v>
      </c>
      <c r="C657" s="45" t="s">
        <v>120</v>
      </c>
      <c r="D657" s="47">
        <v>7</v>
      </c>
      <c r="E657" s="48">
        <v>2197.1</v>
      </c>
      <c r="F657" s="48">
        <v>0</v>
      </c>
      <c r="G657" s="48">
        <v>2197.1</v>
      </c>
      <c r="H657" s="48">
        <v>2255.4</v>
      </c>
      <c r="I657" s="48">
        <v>426.1</v>
      </c>
      <c r="J657" s="48">
        <v>2681.5</v>
      </c>
      <c r="K657" s="48">
        <v>888.1</v>
      </c>
      <c r="L657" s="48">
        <v>879.8</v>
      </c>
      <c r="M657" s="48">
        <v>0</v>
      </c>
      <c r="N657" s="48">
        <v>0</v>
      </c>
    </row>
    <row r="658" spans="1:14" ht="10.050000000000001" customHeight="1">
      <c r="A658" s="45" t="s">
        <v>82</v>
      </c>
      <c r="B658" s="46">
        <v>2013</v>
      </c>
      <c r="C658" s="45" t="s">
        <v>120</v>
      </c>
      <c r="D658" s="47">
        <v>7</v>
      </c>
      <c r="E658" s="48">
        <v>575.9</v>
      </c>
      <c r="F658" s="48">
        <v>194.6</v>
      </c>
      <c r="G658" s="48">
        <v>770.5</v>
      </c>
      <c r="H658" s="48">
        <v>12452.2</v>
      </c>
      <c r="I658" s="48">
        <v>617.20000000000005</v>
      </c>
      <c r="J658" s="48">
        <v>13069.4</v>
      </c>
      <c r="K658" s="48">
        <v>896.3</v>
      </c>
      <c r="L658" s="48">
        <v>339.6</v>
      </c>
      <c r="M658" s="48">
        <v>469.1</v>
      </c>
      <c r="N658" s="48">
        <v>2.9</v>
      </c>
    </row>
    <row r="659" spans="1:14" ht="10.050000000000001" customHeight="1">
      <c r="A659" s="45" t="s">
        <v>81</v>
      </c>
      <c r="B659" s="46">
        <v>2013</v>
      </c>
      <c r="C659" s="45" t="s">
        <v>120</v>
      </c>
      <c r="D659" s="47">
        <v>7</v>
      </c>
      <c r="E659" s="48">
        <v>55788</v>
      </c>
      <c r="F659" s="48">
        <v>0</v>
      </c>
      <c r="G659" s="48">
        <v>55788</v>
      </c>
      <c r="H659" s="48">
        <v>74734.2</v>
      </c>
      <c r="I659" s="48">
        <v>1019.9</v>
      </c>
      <c r="J659" s="48">
        <v>75754.100000000006</v>
      </c>
      <c r="K659" s="48">
        <v>13214.6</v>
      </c>
      <c r="L659" s="48">
        <v>44733.599999999999</v>
      </c>
      <c r="M659" s="48">
        <v>36921.699999999997</v>
      </c>
      <c r="N659" s="48">
        <v>1230.3</v>
      </c>
    </row>
    <row r="660" spans="1:14" ht="10.050000000000001" customHeight="1">
      <c r="A660" s="45" t="s">
        <v>80</v>
      </c>
      <c r="B660" s="46">
        <v>2013</v>
      </c>
      <c r="C660" s="45" t="s">
        <v>120</v>
      </c>
      <c r="D660" s="47">
        <v>8</v>
      </c>
      <c r="E660" s="48">
        <v>1459020.6</v>
      </c>
      <c r="F660" s="48">
        <v>2857.9</v>
      </c>
      <c r="G660" s="48">
        <v>1461878.5</v>
      </c>
      <c r="H660" s="48">
        <v>2030195.2</v>
      </c>
      <c r="I660" s="48">
        <v>13304.7</v>
      </c>
      <c r="J660" s="48">
        <v>2043499.9</v>
      </c>
      <c r="K660" s="48">
        <v>1035660.5</v>
      </c>
      <c r="L660" s="48">
        <v>822614.6</v>
      </c>
      <c r="M660" s="48">
        <v>217545.3</v>
      </c>
      <c r="N660" s="48">
        <v>2538.9</v>
      </c>
    </row>
    <row r="661" spans="1:14" ht="10.050000000000001" customHeight="1">
      <c r="A661" s="45" t="s">
        <v>83</v>
      </c>
      <c r="B661" s="46">
        <v>2013</v>
      </c>
      <c r="C661" s="45" t="s">
        <v>120</v>
      </c>
      <c r="D661" s="47">
        <v>8</v>
      </c>
      <c r="E661" s="48">
        <v>4538.5</v>
      </c>
      <c r="F661" s="48">
        <v>0</v>
      </c>
      <c r="G661" s="48">
        <v>4538.5</v>
      </c>
      <c r="H661" s="48">
        <v>4930</v>
      </c>
      <c r="I661" s="48">
        <v>422.5</v>
      </c>
      <c r="J661" s="48">
        <v>5352.5</v>
      </c>
      <c r="K661" s="48">
        <v>643.9</v>
      </c>
      <c r="L661" s="48">
        <v>423.4</v>
      </c>
      <c r="M661" s="48">
        <v>620.70000000000005</v>
      </c>
      <c r="N661" s="48">
        <v>46.9</v>
      </c>
    </row>
    <row r="662" spans="1:14" ht="10.050000000000001" customHeight="1">
      <c r="A662" s="45" t="s">
        <v>82</v>
      </c>
      <c r="B662" s="46">
        <v>2013</v>
      </c>
      <c r="C662" s="45" t="s">
        <v>120</v>
      </c>
      <c r="D662" s="47">
        <v>8</v>
      </c>
      <c r="E662" s="48">
        <v>215.6</v>
      </c>
      <c r="F662" s="48">
        <v>0</v>
      </c>
      <c r="G662" s="48">
        <v>215.6</v>
      </c>
      <c r="H662" s="48">
        <v>9952.9</v>
      </c>
      <c r="I662" s="48">
        <v>617.20000000000005</v>
      </c>
      <c r="J662" s="48">
        <v>10570.1</v>
      </c>
      <c r="K662" s="48">
        <v>782.7</v>
      </c>
      <c r="L662" s="48">
        <v>87.8</v>
      </c>
      <c r="M662" s="48">
        <v>196.8</v>
      </c>
      <c r="N662" s="48">
        <v>30.1</v>
      </c>
    </row>
    <row r="663" spans="1:14" ht="10.050000000000001" customHeight="1">
      <c r="A663" s="45" t="s">
        <v>81</v>
      </c>
      <c r="B663" s="46">
        <v>2013</v>
      </c>
      <c r="C663" s="45" t="s">
        <v>120</v>
      </c>
      <c r="D663" s="47">
        <v>8</v>
      </c>
      <c r="E663" s="48">
        <v>1006.2</v>
      </c>
      <c r="F663" s="48">
        <v>9.1999999999999993</v>
      </c>
      <c r="G663" s="48">
        <v>1015.4</v>
      </c>
      <c r="H663" s="48">
        <v>39328.5</v>
      </c>
      <c r="I663" s="48">
        <v>991.9</v>
      </c>
      <c r="J663" s="48">
        <v>40320.400000000001</v>
      </c>
      <c r="K663" s="48">
        <v>13236.3</v>
      </c>
      <c r="L663" s="48">
        <v>380</v>
      </c>
      <c r="M663" s="48">
        <v>320.8</v>
      </c>
      <c r="N663" s="48">
        <v>37.6</v>
      </c>
    </row>
    <row r="664" spans="1:14" ht="10.050000000000001" customHeight="1">
      <c r="A664" s="45" t="s">
        <v>80</v>
      </c>
      <c r="B664" s="46">
        <v>2013</v>
      </c>
      <c r="C664" s="45" t="s">
        <v>120</v>
      </c>
      <c r="D664" s="47">
        <v>9</v>
      </c>
      <c r="E664" s="48">
        <v>250925.5</v>
      </c>
      <c r="F664" s="48">
        <v>2502.5</v>
      </c>
      <c r="G664" s="48">
        <v>253428</v>
      </c>
      <c r="H664" s="48">
        <v>1909842.3</v>
      </c>
      <c r="I664" s="48">
        <v>14952.8</v>
      </c>
      <c r="J664" s="48">
        <v>1924795.1</v>
      </c>
      <c r="K664" s="48">
        <v>851243.4</v>
      </c>
      <c r="L664" s="48">
        <v>14828</v>
      </c>
      <c r="M664" s="48">
        <v>194432.7</v>
      </c>
      <c r="N664" s="48">
        <v>4812.5</v>
      </c>
    </row>
    <row r="665" spans="1:14" ht="10.050000000000001" customHeight="1">
      <c r="A665" s="45" t="s">
        <v>83</v>
      </c>
      <c r="B665" s="46">
        <v>2013</v>
      </c>
      <c r="C665" s="45" t="s">
        <v>120</v>
      </c>
      <c r="D665" s="47">
        <v>9</v>
      </c>
      <c r="E665" s="48">
        <v>1821.8</v>
      </c>
      <c r="F665" s="48">
        <v>0</v>
      </c>
      <c r="G665" s="48">
        <v>1821.8</v>
      </c>
      <c r="H665" s="48">
        <v>4255.6000000000004</v>
      </c>
      <c r="I665" s="48">
        <v>290.60000000000002</v>
      </c>
      <c r="J665" s="48">
        <v>4546.2</v>
      </c>
      <c r="K665" s="48">
        <v>692.7</v>
      </c>
      <c r="L665" s="48">
        <v>181.7</v>
      </c>
      <c r="M665" s="48">
        <v>153.30000000000001</v>
      </c>
      <c r="N665" s="48">
        <v>28.8</v>
      </c>
    </row>
    <row r="666" spans="1:14" ht="10.050000000000001" customHeight="1">
      <c r="A666" s="45" t="s">
        <v>82</v>
      </c>
      <c r="B666" s="46">
        <v>2013</v>
      </c>
      <c r="C666" s="45" t="s">
        <v>120</v>
      </c>
      <c r="D666" s="47">
        <v>9</v>
      </c>
      <c r="E666" s="48">
        <v>9503.9</v>
      </c>
      <c r="F666" s="48">
        <v>801.6</v>
      </c>
      <c r="G666" s="48">
        <v>10305.5</v>
      </c>
      <c r="H666" s="48">
        <v>16935.2</v>
      </c>
      <c r="I666" s="48">
        <v>1314.8</v>
      </c>
      <c r="J666" s="48">
        <v>18250</v>
      </c>
      <c r="K666" s="48">
        <v>1099.5999999999999</v>
      </c>
      <c r="L666" s="48">
        <v>719.1</v>
      </c>
      <c r="M666" s="48">
        <v>396.2</v>
      </c>
      <c r="N666" s="48">
        <v>36.200000000000003</v>
      </c>
    </row>
    <row r="667" spans="1:14" ht="10.050000000000001" customHeight="1">
      <c r="A667" s="45" t="s">
        <v>81</v>
      </c>
      <c r="B667" s="46">
        <v>2013</v>
      </c>
      <c r="C667" s="45" t="s">
        <v>120</v>
      </c>
      <c r="D667" s="47">
        <v>9</v>
      </c>
      <c r="E667" s="48">
        <v>228553.7</v>
      </c>
      <c r="F667" s="48">
        <v>2666.8</v>
      </c>
      <c r="G667" s="48">
        <v>231220.5</v>
      </c>
      <c r="H667" s="48">
        <v>242602.6</v>
      </c>
      <c r="I667" s="48">
        <v>3313.6</v>
      </c>
      <c r="J667" s="48">
        <v>245916.2</v>
      </c>
      <c r="K667" s="48">
        <v>97261.5</v>
      </c>
      <c r="L667" s="48">
        <v>88813.4</v>
      </c>
      <c r="M667" s="48">
        <v>4153.1000000000004</v>
      </c>
      <c r="N667" s="48">
        <v>626.9</v>
      </c>
    </row>
    <row r="668" spans="1:14" ht="10.050000000000001" customHeight="1">
      <c r="A668" s="45" t="s">
        <v>80</v>
      </c>
      <c r="B668" s="46">
        <v>2013</v>
      </c>
      <c r="C668" s="45" t="s">
        <v>120</v>
      </c>
      <c r="D668" s="47">
        <v>10</v>
      </c>
      <c r="E668" s="48">
        <v>124597.8</v>
      </c>
      <c r="F668" s="48">
        <v>0</v>
      </c>
      <c r="G668" s="48">
        <v>124597.8</v>
      </c>
      <c r="H668" s="48">
        <v>1651552.4</v>
      </c>
      <c r="I668" s="48">
        <v>14829.9</v>
      </c>
      <c r="J668" s="48">
        <v>1666382.3</v>
      </c>
      <c r="K668" s="48">
        <v>764979.3</v>
      </c>
      <c r="L668" s="48">
        <v>8971.9</v>
      </c>
      <c r="M668" s="48">
        <v>92088.5</v>
      </c>
      <c r="N668" s="48">
        <v>3147.6</v>
      </c>
    </row>
    <row r="669" spans="1:14" ht="10.050000000000001" customHeight="1">
      <c r="A669" s="45" t="s">
        <v>83</v>
      </c>
      <c r="B669" s="46">
        <v>2013</v>
      </c>
      <c r="C669" s="45" t="s">
        <v>120</v>
      </c>
      <c r="D669" s="47">
        <v>10</v>
      </c>
      <c r="E669" s="48">
        <v>871.4</v>
      </c>
      <c r="F669" s="48">
        <v>0</v>
      </c>
      <c r="G669" s="48">
        <v>871.4</v>
      </c>
      <c r="H669" s="48">
        <v>3213.9</v>
      </c>
      <c r="I669" s="48">
        <v>283.60000000000002</v>
      </c>
      <c r="J669" s="48">
        <v>3497.5</v>
      </c>
      <c r="K669" s="48">
        <v>503.5</v>
      </c>
      <c r="L669" s="48">
        <v>0</v>
      </c>
      <c r="M669" s="48">
        <v>177.8</v>
      </c>
      <c r="N669" s="48">
        <v>11.3</v>
      </c>
    </row>
    <row r="670" spans="1:14" ht="10.050000000000001" customHeight="1">
      <c r="A670" s="45" t="s">
        <v>82</v>
      </c>
      <c r="B670" s="46">
        <v>2013</v>
      </c>
      <c r="C670" s="45" t="s">
        <v>120</v>
      </c>
      <c r="D670" s="47">
        <v>10</v>
      </c>
      <c r="E670" s="48">
        <v>45574.6</v>
      </c>
      <c r="F670" s="48">
        <v>1593.7</v>
      </c>
      <c r="G670" s="48">
        <v>47168.3</v>
      </c>
      <c r="H670" s="48">
        <v>55713.8</v>
      </c>
      <c r="I670" s="48">
        <v>2549.8000000000002</v>
      </c>
      <c r="J670" s="48">
        <v>58263.6</v>
      </c>
      <c r="K670" s="48">
        <v>5109.1000000000004</v>
      </c>
      <c r="L670" s="48">
        <v>7646.5</v>
      </c>
      <c r="M670" s="48">
        <v>3390.6</v>
      </c>
      <c r="N670" s="48">
        <v>235.1</v>
      </c>
    </row>
    <row r="671" spans="1:14" ht="10.050000000000001" customHeight="1">
      <c r="A671" s="45" t="s">
        <v>81</v>
      </c>
      <c r="B671" s="46">
        <v>2013</v>
      </c>
      <c r="C671" s="45" t="s">
        <v>120</v>
      </c>
      <c r="D671" s="47">
        <v>10</v>
      </c>
      <c r="E671" s="48">
        <v>637884.69999999995</v>
      </c>
      <c r="F671" s="48">
        <v>4769</v>
      </c>
      <c r="G671" s="48">
        <v>642653.69999999995</v>
      </c>
      <c r="H671" s="48">
        <v>737882</v>
      </c>
      <c r="I671" s="48">
        <v>7413.4</v>
      </c>
      <c r="J671" s="48">
        <v>745295.4</v>
      </c>
      <c r="K671" s="48">
        <v>314926.40000000002</v>
      </c>
      <c r="L671" s="48">
        <v>275297.40000000002</v>
      </c>
      <c r="M671" s="48">
        <v>56583</v>
      </c>
      <c r="N671" s="48">
        <v>1049.5999999999999</v>
      </c>
    </row>
    <row r="672" spans="1:14" ht="10.050000000000001" customHeight="1">
      <c r="A672" s="45" t="s">
        <v>80</v>
      </c>
      <c r="B672" s="46">
        <v>2013</v>
      </c>
      <c r="C672" s="45" t="s">
        <v>120</v>
      </c>
      <c r="D672" s="47">
        <v>11</v>
      </c>
      <c r="E672" s="48">
        <v>148018.6</v>
      </c>
      <c r="F672" s="48">
        <v>256</v>
      </c>
      <c r="G672" s="48">
        <v>148274.6</v>
      </c>
      <c r="H672" s="48">
        <v>1459811.2</v>
      </c>
      <c r="I672" s="48">
        <v>12442.7</v>
      </c>
      <c r="J672" s="48">
        <v>1472253.9</v>
      </c>
      <c r="K672" s="48">
        <v>664724.9</v>
      </c>
      <c r="L672" s="48">
        <v>12472.8</v>
      </c>
      <c r="M672" s="48">
        <v>109620.7</v>
      </c>
      <c r="N672" s="48">
        <v>3196</v>
      </c>
    </row>
    <row r="673" spans="1:14" ht="10.050000000000001" customHeight="1">
      <c r="A673" s="45" t="s">
        <v>83</v>
      </c>
      <c r="B673" s="46">
        <v>2013</v>
      </c>
      <c r="C673" s="45" t="s">
        <v>120</v>
      </c>
      <c r="D673" s="47">
        <v>11</v>
      </c>
      <c r="E673" s="48">
        <v>513</v>
      </c>
      <c r="F673" s="48">
        <v>137.30000000000001</v>
      </c>
      <c r="G673" s="48">
        <v>650.29999999999995</v>
      </c>
      <c r="H673" s="48">
        <v>2946.5</v>
      </c>
      <c r="I673" s="48">
        <v>417.1</v>
      </c>
      <c r="J673" s="48">
        <v>3363.6</v>
      </c>
      <c r="K673" s="48">
        <v>453.1</v>
      </c>
      <c r="L673" s="48">
        <v>46.4</v>
      </c>
      <c r="M673" s="48">
        <v>39.4</v>
      </c>
      <c r="N673" s="48">
        <v>8.3000000000000007</v>
      </c>
    </row>
    <row r="674" spans="1:14" ht="10.050000000000001" customHeight="1">
      <c r="A674" s="45" t="s">
        <v>82</v>
      </c>
      <c r="B674" s="46">
        <v>2013</v>
      </c>
      <c r="C674" s="45" t="s">
        <v>120</v>
      </c>
      <c r="D674" s="47">
        <v>11</v>
      </c>
      <c r="E674" s="48">
        <v>15265.6</v>
      </c>
      <c r="F674" s="48">
        <v>629.6</v>
      </c>
      <c r="G674" s="48">
        <v>15895.2</v>
      </c>
      <c r="H674" s="48">
        <v>63465.2</v>
      </c>
      <c r="I674" s="48">
        <v>3162.3</v>
      </c>
      <c r="J674" s="48">
        <v>66627.5</v>
      </c>
      <c r="K674" s="48">
        <v>3565.3</v>
      </c>
      <c r="L674" s="48">
        <v>1161.2</v>
      </c>
      <c r="M674" s="48">
        <v>2039.2</v>
      </c>
      <c r="N674" s="48">
        <v>713.3</v>
      </c>
    </row>
    <row r="675" spans="1:14" ht="10.050000000000001" customHeight="1">
      <c r="A675" s="45" t="s">
        <v>81</v>
      </c>
      <c r="B675" s="46">
        <v>2013</v>
      </c>
      <c r="C675" s="45" t="s">
        <v>120</v>
      </c>
      <c r="D675" s="47">
        <v>11</v>
      </c>
      <c r="E675" s="48">
        <v>126044.1</v>
      </c>
      <c r="F675" s="48">
        <v>1035.5</v>
      </c>
      <c r="G675" s="48">
        <v>127079.6</v>
      </c>
      <c r="H675" s="48">
        <v>743791.9</v>
      </c>
      <c r="I675" s="48">
        <v>7027.4</v>
      </c>
      <c r="J675" s="48">
        <v>750819.3</v>
      </c>
      <c r="K675" s="48">
        <v>275674</v>
      </c>
      <c r="L675" s="48">
        <v>29725.4</v>
      </c>
      <c r="M675" s="48">
        <v>63247.199999999997</v>
      </c>
      <c r="N675" s="48">
        <v>5827.6</v>
      </c>
    </row>
    <row r="676" spans="1:14" ht="10.050000000000001" customHeight="1">
      <c r="A676" s="45" t="s">
        <v>80</v>
      </c>
      <c r="B676" s="46">
        <v>2013</v>
      </c>
      <c r="C676" s="45" t="s">
        <v>120</v>
      </c>
      <c r="D676" s="47">
        <v>12</v>
      </c>
      <c r="E676" s="48">
        <v>109609.1</v>
      </c>
      <c r="F676" s="48">
        <v>268.60000000000002</v>
      </c>
      <c r="G676" s="48">
        <v>109877.7</v>
      </c>
      <c r="H676" s="48">
        <v>1220572.2</v>
      </c>
      <c r="I676" s="48">
        <v>12446.7</v>
      </c>
      <c r="J676" s="48">
        <v>1233018.8999999999</v>
      </c>
      <c r="K676" s="48">
        <v>609075.9</v>
      </c>
      <c r="L676" s="48">
        <v>16364.3</v>
      </c>
      <c r="M676" s="48">
        <v>70869.2</v>
      </c>
      <c r="N676" s="48">
        <v>1143.7</v>
      </c>
    </row>
    <row r="677" spans="1:14" ht="10.050000000000001" customHeight="1">
      <c r="A677" s="45" t="s">
        <v>83</v>
      </c>
      <c r="B677" s="46">
        <v>2013</v>
      </c>
      <c r="C677" s="45" t="s">
        <v>120</v>
      </c>
      <c r="D677" s="47">
        <v>12</v>
      </c>
      <c r="E677" s="48">
        <v>439.2</v>
      </c>
      <c r="F677" s="48">
        <v>185.4</v>
      </c>
      <c r="G677" s="48">
        <v>624.6</v>
      </c>
      <c r="H677" s="48">
        <v>2017.2</v>
      </c>
      <c r="I677" s="48">
        <v>564.79999999999995</v>
      </c>
      <c r="J677" s="48">
        <v>2582</v>
      </c>
      <c r="K677" s="48">
        <v>376.6</v>
      </c>
      <c r="L677" s="48">
        <v>0</v>
      </c>
      <c r="M677" s="48">
        <v>76.5</v>
      </c>
      <c r="N677" s="48">
        <v>0</v>
      </c>
    </row>
    <row r="678" spans="1:14" ht="10.050000000000001" customHeight="1">
      <c r="A678" s="45" t="s">
        <v>82</v>
      </c>
      <c r="B678" s="46">
        <v>2013</v>
      </c>
      <c r="C678" s="45" t="s">
        <v>120</v>
      </c>
      <c r="D678" s="47">
        <v>12</v>
      </c>
      <c r="E678" s="48">
        <v>3630.3</v>
      </c>
      <c r="F678" s="48">
        <v>352.4</v>
      </c>
      <c r="G678" s="48">
        <v>3982.7</v>
      </c>
      <c r="H678" s="48">
        <v>60576.4</v>
      </c>
      <c r="I678" s="48">
        <v>2961.1</v>
      </c>
      <c r="J678" s="48">
        <v>63537.5</v>
      </c>
      <c r="K678" s="48">
        <v>3200.4</v>
      </c>
      <c r="L678" s="48">
        <v>540.70000000000005</v>
      </c>
      <c r="M678" s="48">
        <v>690.5</v>
      </c>
      <c r="N678" s="48">
        <v>319.89999999999998</v>
      </c>
    </row>
    <row r="679" spans="1:14" ht="10.050000000000001" customHeight="1">
      <c r="A679" s="45" t="s">
        <v>81</v>
      </c>
      <c r="B679" s="46">
        <v>2013</v>
      </c>
      <c r="C679" s="45" t="s">
        <v>120</v>
      </c>
      <c r="D679" s="47">
        <v>12</v>
      </c>
      <c r="E679" s="48">
        <v>54507.8</v>
      </c>
      <c r="F679" s="48">
        <v>24</v>
      </c>
      <c r="G679" s="48">
        <v>54531.8</v>
      </c>
      <c r="H679" s="48">
        <v>686925.2</v>
      </c>
      <c r="I679" s="48">
        <v>5328.3</v>
      </c>
      <c r="J679" s="48">
        <v>692253.5</v>
      </c>
      <c r="K679" s="48">
        <v>236168.6</v>
      </c>
      <c r="L679" s="48">
        <v>3241.3</v>
      </c>
      <c r="M679" s="48">
        <v>39444.5</v>
      </c>
      <c r="N679" s="48">
        <v>3208.9</v>
      </c>
    </row>
    <row r="680" spans="1:14" ht="10.050000000000001" customHeight="1">
      <c r="A680" s="45" t="s">
        <v>80</v>
      </c>
      <c r="B680" s="46">
        <v>2014</v>
      </c>
      <c r="C680" s="45" t="s">
        <v>120</v>
      </c>
      <c r="D680" s="47">
        <v>1</v>
      </c>
      <c r="E680" s="48">
        <v>171592.3</v>
      </c>
      <c r="F680" s="48">
        <v>10.199999999999999</v>
      </c>
      <c r="G680" s="48">
        <v>171602.5</v>
      </c>
      <c r="H680" s="48">
        <v>965989.9</v>
      </c>
      <c r="I680" s="48">
        <v>11638</v>
      </c>
      <c r="J680" s="48">
        <v>977627.9</v>
      </c>
      <c r="K680" s="48">
        <v>504722.3</v>
      </c>
      <c r="L680" s="48">
        <v>19151.400000000001</v>
      </c>
      <c r="M680" s="48">
        <v>121415.9</v>
      </c>
      <c r="N680" s="48">
        <v>1972</v>
      </c>
    </row>
    <row r="681" spans="1:14" ht="10.050000000000001" customHeight="1">
      <c r="A681" s="45" t="s">
        <v>83</v>
      </c>
      <c r="B681" s="46">
        <v>2014</v>
      </c>
      <c r="C681" s="45" t="s">
        <v>120</v>
      </c>
      <c r="D681" s="47">
        <v>1</v>
      </c>
      <c r="E681" s="48">
        <v>550.79999999999995</v>
      </c>
      <c r="F681" s="48">
        <v>36.9</v>
      </c>
      <c r="G681" s="48">
        <v>587.70000000000005</v>
      </c>
      <c r="H681" s="48">
        <v>1840.8</v>
      </c>
      <c r="I681" s="48">
        <v>597.4</v>
      </c>
      <c r="J681" s="48">
        <v>2438.1999999999998</v>
      </c>
      <c r="K681" s="48">
        <v>337</v>
      </c>
      <c r="L681" s="48">
        <v>25.1</v>
      </c>
      <c r="M681" s="48">
        <v>64.7</v>
      </c>
      <c r="N681" s="48">
        <v>0</v>
      </c>
    </row>
    <row r="682" spans="1:14" ht="10.050000000000001" customHeight="1">
      <c r="A682" s="45" t="s">
        <v>82</v>
      </c>
      <c r="B682" s="46">
        <v>2014</v>
      </c>
      <c r="C682" s="45" t="s">
        <v>120</v>
      </c>
      <c r="D682" s="47">
        <v>1</v>
      </c>
      <c r="E682" s="48">
        <v>2719.2</v>
      </c>
      <c r="F682" s="48">
        <v>0</v>
      </c>
      <c r="G682" s="48">
        <v>2719.2</v>
      </c>
      <c r="H682" s="48">
        <v>53822.8</v>
      </c>
      <c r="I682" s="48">
        <v>2828.3</v>
      </c>
      <c r="J682" s="48">
        <v>56651.1</v>
      </c>
      <c r="K682" s="48">
        <v>2486</v>
      </c>
      <c r="L682" s="48">
        <v>325</v>
      </c>
      <c r="M682" s="48">
        <v>973.8</v>
      </c>
      <c r="N682" s="48">
        <v>65.8</v>
      </c>
    </row>
    <row r="683" spans="1:14" ht="10.050000000000001" customHeight="1">
      <c r="A683" s="45" t="s">
        <v>81</v>
      </c>
      <c r="B683" s="46">
        <v>2014</v>
      </c>
      <c r="C683" s="45" t="s">
        <v>120</v>
      </c>
      <c r="D683" s="47">
        <v>1</v>
      </c>
      <c r="E683" s="48">
        <v>44720.1</v>
      </c>
      <c r="F683" s="48">
        <v>441.5</v>
      </c>
      <c r="G683" s="48">
        <v>45161.599999999999</v>
      </c>
      <c r="H683" s="48">
        <v>592980.1</v>
      </c>
      <c r="I683" s="48">
        <v>5084</v>
      </c>
      <c r="J683" s="48">
        <v>598064.1</v>
      </c>
      <c r="K683" s="48">
        <v>199792.2</v>
      </c>
      <c r="L683" s="48">
        <v>3533.2</v>
      </c>
      <c r="M683" s="48">
        <v>38148.9</v>
      </c>
      <c r="N683" s="48">
        <v>1759.9</v>
      </c>
    </row>
    <row r="684" spans="1:14" ht="10.050000000000001" customHeight="1">
      <c r="A684" s="45" t="s">
        <v>80</v>
      </c>
      <c r="B684" s="46">
        <v>2014</v>
      </c>
      <c r="C684" s="45" t="s">
        <v>120</v>
      </c>
      <c r="D684" s="47">
        <v>2</v>
      </c>
      <c r="E684" s="48">
        <v>279166.40000000002</v>
      </c>
      <c r="F684" s="48">
        <v>16.3</v>
      </c>
      <c r="G684" s="48">
        <v>279182.7</v>
      </c>
      <c r="H684" s="48">
        <v>833546</v>
      </c>
      <c r="I684" s="48">
        <v>12845.8</v>
      </c>
      <c r="J684" s="48">
        <v>846391.8</v>
      </c>
      <c r="K684" s="48">
        <v>315147.8</v>
      </c>
      <c r="L684" s="48">
        <v>23941</v>
      </c>
      <c r="M684" s="48">
        <v>210286.3</v>
      </c>
      <c r="N684" s="48">
        <v>3115.7</v>
      </c>
    </row>
    <row r="685" spans="1:14" ht="10.050000000000001" customHeight="1">
      <c r="A685" s="45" t="s">
        <v>83</v>
      </c>
      <c r="B685" s="46">
        <v>2014</v>
      </c>
      <c r="C685" s="45" t="s">
        <v>120</v>
      </c>
      <c r="D685" s="47">
        <v>2</v>
      </c>
      <c r="E685" s="48">
        <v>511.6</v>
      </c>
      <c r="F685" s="48">
        <v>0</v>
      </c>
      <c r="G685" s="48">
        <v>511.6</v>
      </c>
      <c r="H685" s="48">
        <v>1559.3</v>
      </c>
      <c r="I685" s="48">
        <v>321.7</v>
      </c>
      <c r="J685" s="48">
        <v>1881</v>
      </c>
      <c r="K685" s="48">
        <v>220.1</v>
      </c>
      <c r="L685" s="48">
        <v>-8</v>
      </c>
      <c r="M685" s="48">
        <v>108.9</v>
      </c>
      <c r="N685" s="48">
        <v>0</v>
      </c>
    </row>
    <row r="686" spans="1:14" ht="10.050000000000001" customHeight="1">
      <c r="A686" s="45" t="s">
        <v>82</v>
      </c>
      <c r="B686" s="46">
        <v>2014</v>
      </c>
      <c r="C686" s="45" t="s">
        <v>120</v>
      </c>
      <c r="D686" s="47">
        <v>2</v>
      </c>
      <c r="E686" s="48">
        <v>1967.3</v>
      </c>
      <c r="F686" s="48">
        <v>52.5</v>
      </c>
      <c r="G686" s="48">
        <v>2019.8</v>
      </c>
      <c r="H686" s="48">
        <v>50824.6</v>
      </c>
      <c r="I686" s="48">
        <v>2440.6</v>
      </c>
      <c r="J686" s="48">
        <v>53265.2</v>
      </c>
      <c r="K686" s="48">
        <v>2356.6</v>
      </c>
      <c r="L686" s="48">
        <v>759.5</v>
      </c>
      <c r="M686" s="48">
        <v>806.9</v>
      </c>
      <c r="N686" s="48">
        <v>82</v>
      </c>
    </row>
    <row r="687" spans="1:14" ht="10.050000000000001" customHeight="1">
      <c r="A687" s="45" t="s">
        <v>81</v>
      </c>
      <c r="B687" s="46">
        <v>2014</v>
      </c>
      <c r="C687" s="45" t="s">
        <v>120</v>
      </c>
      <c r="D687" s="47">
        <v>2</v>
      </c>
      <c r="E687" s="48">
        <v>48863.199999999997</v>
      </c>
      <c r="F687" s="48">
        <v>1056.4000000000001</v>
      </c>
      <c r="G687" s="48">
        <v>49919.6</v>
      </c>
      <c r="H687" s="48">
        <v>516932.2</v>
      </c>
      <c r="I687" s="48">
        <v>4116.2</v>
      </c>
      <c r="J687" s="48">
        <v>521048.4</v>
      </c>
      <c r="K687" s="48">
        <v>159502.39999999999</v>
      </c>
      <c r="L687" s="48">
        <v>3077.8</v>
      </c>
      <c r="M687" s="48">
        <v>39117.1</v>
      </c>
      <c r="N687" s="48">
        <v>4251.3</v>
      </c>
    </row>
    <row r="688" spans="1:14" ht="10.050000000000001" customHeight="1">
      <c r="A688" s="45" t="s">
        <v>80</v>
      </c>
      <c r="B688" s="46">
        <v>2014</v>
      </c>
      <c r="C688" s="45" t="s">
        <v>120</v>
      </c>
      <c r="D688" s="47">
        <v>3</v>
      </c>
      <c r="E688" s="48">
        <v>218469.1</v>
      </c>
      <c r="F688" s="48">
        <v>11.5</v>
      </c>
      <c r="G688" s="48">
        <v>218480.6</v>
      </c>
      <c r="H688" s="48">
        <v>705106.5</v>
      </c>
      <c r="I688" s="48">
        <v>12561.1</v>
      </c>
      <c r="J688" s="48">
        <v>717667.6</v>
      </c>
      <c r="K688" s="48">
        <v>171901.2</v>
      </c>
      <c r="L688" s="48">
        <v>14812.4</v>
      </c>
      <c r="M688" s="48">
        <v>154679.79999999999</v>
      </c>
      <c r="N688" s="48">
        <v>2985.5</v>
      </c>
    </row>
    <row r="689" spans="1:14" ht="10.050000000000001" customHeight="1">
      <c r="A689" s="45" t="s">
        <v>83</v>
      </c>
      <c r="B689" s="46">
        <v>2014</v>
      </c>
      <c r="C689" s="45" t="s">
        <v>120</v>
      </c>
      <c r="D689" s="47">
        <v>3</v>
      </c>
      <c r="E689" s="48">
        <v>176.1</v>
      </c>
      <c r="F689" s="48">
        <v>372.3</v>
      </c>
      <c r="G689" s="48">
        <v>548.4</v>
      </c>
      <c r="H689" s="48">
        <v>1279.9000000000001</v>
      </c>
      <c r="I689" s="48">
        <v>401.4</v>
      </c>
      <c r="J689" s="48">
        <v>1681.3</v>
      </c>
      <c r="K689" s="48">
        <v>219.8</v>
      </c>
      <c r="L689" s="48">
        <v>0</v>
      </c>
      <c r="M689" s="48">
        <v>0.3</v>
      </c>
      <c r="N689" s="48">
        <v>0</v>
      </c>
    </row>
    <row r="690" spans="1:14" ht="10.050000000000001" customHeight="1">
      <c r="A690" s="45" t="s">
        <v>82</v>
      </c>
      <c r="B690" s="46">
        <v>2014</v>
      </c>
      <c r="C690" s="45" t="s">
        <v>120</v>
      </c>
      <c r="D690" s="47">
        <v>3</v>
      </c>
      <c r="E690" s="48">
        <v>2036.8</v>
      </c>
      <c r="F690" s="48">
        <v>0</v>
      </c>
      <c r="G690" s="48">
        <v>2036.8</v>
      </c>
      <c r="H690" s="48">
        <v>41026.1</v>
      </c>
      <c r="I690" s="48">
        <v>750</v>
      </c>
      <c r="J690" s="48">
        <v>41776.1</v>
      </c>
      <c r="K690" s="48">
        <v>1567.6</v>
      </c>
      <c r="L690" s="48">
        <v>478.7</v>
      </c>
      <c r="M690" s="48">
        <v>955.1</v>
      </c>
      <c r="N690" s="48">
        <v>354</v>
      </c>
    </row>
    <row r="691" spans="1:14" ht="10.050000000000001" customHeight="1">
      <c r="A691" s="45" t="s">
        <v>81</v>
      </c>
      <c r="B691" s="46">
        <v>2014</v>
      </c>
      <c r="C691" s="45" t="s">
        <v>120</v>
      </c>
      <c r="D691" s="47">
        <v>3</v>
      </c>
      <c r="E691" s="48">
        <v>64924.7</v>
      </c>
      <c r="F691" s="48">
        <v>274.10000000000002</v>
      </c>
      <c r="G691" s="48">
        <v>65198.8</v>
      </c>
      <c r="H691" s="48">
        <v>455304.6</v>
      </c>
      <c r="I691" s="48">
        <v>3207.6</v>
      </c>
      <c r="J691" s="48">
        <v>458512.2</v>
      </c>
      <c r="K691" s="48">
        <v>101403.2</v>
      </c>
      <c r="L691" s="48">
        <v>794.6</v>
      </c>
      <c r="M691" s="48">
        <v>54369.3</v>
      </c>
      <c r="N691" s="48">
        <v>4626.5</v>
      </c>
    </row>
    <row r="692" spans="1:14" ht="10.050000000000001" customHeight="1">
      <c r="A692" s="45" t="s">
        <v>80</v>
      </c>
      <c r="B692" s="46">
        <v>2014</v>
      </c>
      <c r="C692" s="45" t="s">
        <v>120</v>
      </c>
      <c r="D692" s="47">
        <v>4</v>
      </c>
      <c r="E692" s="48">
        <v>166452.4</v>
      </c>
      <c r="F692" s="48">
        <v>0</v>
      </c>
      <c r="G692" s="48">
        <v>166452.4</v>
      </c>
      <c r="H692" s="48">
        <v>527235.6</v>
      </c>
      <c r="I692" s="48">
        <v>11657.7</v>
      </c>
      <c r="J692" s="48">
        <v>538893.30000000005</v>
      </c>
      <c r="K692" s="48">
        <v>81357.8</v>
      </c>
      <c r="L692" s="48">
        <v>15431.5</v>
      </c>
      <c r="M692" s="48">
        <v>105217.8</v>
      </c>
      <c r="N692" s="48">
        <v>757.8</v>
      </c>
    </row>
    <row r="693" spans="1:14" ht="10.050000000000001" customHeight="1">
      <c r="A693" s="45" t="s">
        <v>83</v>
      </c>
      <c r="B693" s="46">
        <v>2014</v>
      </c>
      <c r="C693" s="45" t="s">
        <v>120</v>
      </c>
      <c r="D693" s="47">
        <v>4</v>
      </c>
      <c r="E693" s="48">
        <v>485.9</v>
      </c>
      <c r="F693" s="48">
        <v>0</v>
      </c>
      <c r="G693" s="48">
        <v>485.9</v>
      </c>
      <c r="H693" s="48">
        <v>869.4</v>
      </c>
      <c r="I693" s="48">
        <v>382.7</v>
      </c>
      <c r="J693" s="48">
        <v>1252.0999999999999</v>
      </c>
      <c r="K693" s="48">
        <v>64.099999999999994</v>
      </c>
      <c r="L693" s="48">
        <v>0</v>
      </c>
      <c r="M693" s="48">
        <v>155.5</v>
      </c>
      <c r="N693" s="48">
        <v>0.2</v>
      </c>
    </row>
    <row r="694" spans="1:14" ht="10.050000000000001" customHeight="1">
      <c r="A694" s="45" t="s">
        <v>82</v>
      </c>
      <c r="B694" s="46">
        <v>2014</v>
      </c>
      <c r="C694" s="45" t="s">
        <v>120</v>
      </c>
      <c r="D694" s="47">
        <v>4</v>
      </c>
      <c r="E694" s="48">
        <v>1466.1</v>
      </c>
      <c r="F694" s="48">
        <v>0</v>
      </c>
      <c r="G694" s="48">
        <v>1466.1</v>
      </c>
      <c r="H694" s="48">
        <v>33627.199999999997</v>
      </c>
      <c r="I694" s="48">
        <v>491.1</v>
      </c>
      <c r="J694" s="48">
        <v>34118.300000000003</v>
      </c>
      <c r="K694" s="48">
        <v>1183.4000000000001</v>
      </c>
      <c r="L694" s="48">
        <v>485.2</v>
      </c>
      <c r="M694" s="48">
        <v>839.6</v>
      </c>
      <c r="N694" s="48">
        <v>29.7</v>
      </c>
    </row>
    <row r="695" spans="1:14" ht="10.050000000000001" customHeight="1">
      <c r="A695" s="45" t="s">
        <v>81</v>
      </c>
      <c r="B695" s="46">
        <v>2014</v>
      </c>
      <c r="C695" s="45" t="s">
        <v>120</v>
      </c>
      <c r="D695" s="47">
        <v>4</v>
      </c>
      <c r="E695" s="48">
        <v>44946.8</v>
      </c>
      <c r="F695" s="48">
        <v>45.1</v>
      </c>
      <c r="G695" s="48">
        <v>44991.9</v>
      </c>
      <c r="H695" s="48">
        <v>367228.8</v>
      </c>
      <c r="I695" s="48">
        <v>3168.4</v>
      </c>
      <c r="J695" s="48">
        <v>370397.2</v>
      </c>
      <c r="K695" s="48">
        <v>68429.600000000006</v>
      </c>
      <c r="L695" s="48">
        <v>1190.3</v>
      </c>
      <c r="M695" s="48">
        <v>32921.5</v>
      </c>
      <c r="N695" s="48">
        <v>1242.5</v>
      </c>
    </row>
    <row r="696" spans="1:14" ht="10.050000000000001" customHeight="1">
      <c r="A696" s="45" t="s">
        <v>80</v>
      </c>
      <c r="B696" s="46">
        <v>2014</v>
      </c>
      <c r="C696" s="45" t="s">
        <v>120</v>
      </c>
      <c r="D696" s="47">
        <v>5</v>
      </c>
      <c r="E696" s="48">
        <v>114108.6</v>
      </c>
      <c r="F696" s="48">
        <v>0</v>
      </c>
      <c r="G696" s="48">
        <v>114108.6</v>
      </c>
      <c r="H696" s="48">
        <v>273305</v>
      </c>
      <c r="I696" s="48">
        <v>10684.1</v>
      </c>
      <c r="J696" s="48">
        <v>283989.09999999998</v>
      </c>
      <c r="K696" s="48">
        <v>20153</v>
      </c>
      <c r="L696" s="48">
        <v>11092.5</v>
      </c>
      <c r="M696" s="48">
        <v>70091.600000000006</v>
      </c>
      <c r="N696" s="48">
        <v>2205.3000000000002</v>
      </c>
    </row>
    <row r="697" spans="1:14" ht="10.050000000000001" customHeight="1">
      <c r="A697" s="45" t="s">
        <v>83</v>
      </c>
      <c r="B697" s="46">
        <v>2014</v>
      </c>
      <c r="C697" s="45" t="s">
        <v>120</v>
      </c>
      <c r="D697" s="47">
        <v>5</v>
      </c>
      <c r="E697" s="48">
        <v>183</v>
      </c>
      <c r="F697" s="48">
        <v>230.3</v>
      </c>
      <c r="G697" s="48">
        <v>413.3</v>
      </c>
      <c r="H697" s="48">
        <v>765</v>
      </c>
      <c r="I697" s="48">
        <v>612</v>
      </c>
      <c r="J697" s="48">
        <v>1377</v>
      </c>
      <c r="K697" s="48">
        <v>24.8</v>
      </c>
      <c r="L697" s="48">
        <v>0</v>
      </c>
      <c r="M697" s="48">
        <v>39.299999999999997</v>
      </c>
      <c r="N697" s="48">
        <v>0</v>
      </c>
    </row>
    <row r="698" spans="1:14" ht="10.050000000000001" customHeight="1">
      <c r="A698" s="45" t="s">
        <v>82</v>
      </c>
      <c r="B698" s="46">
        <v>2014</v>
      </c>
      <c r="C698" s="45" t="s">
        <v>120</v>
      </c>
      <c r="D698" s="47">
        <v>5</v>
      </c>
      <c r="E698" s="48">
        <v>922.6</v>
      </c>
      <c r="F698" s="48">
        <v>0</v>
      </c>
      <c r="G698" s="48">
        <v>922.6</v>
      </c>
      <c r="H698" s="48">
        <v>26524.9</v>
      </c>
      <c r="I698" s="48">
        <v>493.3</v>
      </c>
      <c r="J698" s="48">
        <v>27018.2</v>
      </c>
      <c r="K698" s="48">
        <v>1179.7</v>
      </c>
      <c r="L698" s="48">
        <v>468.6</v>
      </c>
      <c r="M698" s="48">
        <v>471.3</v>
      </c>
      <c r="N698" s="48">
        <v>1</v>
      </c>
    </row>
    <row r="699" spans="1:14" ht="10.050000000000001" customHeight="1">
      <c r="A699" s="45" t="s">
        <v>81</v>
      </c>
      <c r="B699" s="46">
        <v>2014</v>
      </c>
      <c r="C699" s="45" t="s">
        <v>120</v>
      </c>
      <c r="D699" s="47">
        <v>5</v>
      </c>
      <c r="E699" s="48">
        <v>47624.5</v>
      </c>
      <c r="F699" s="48">
        <v>-6.4</v>
      </c>
      <c r="G699" s="48">
        <v>47618.1</v>
      </c>
      <c r="H699" s="48">
        <v>269816.90000000002</v>
      </c>
      <c r="I699" s="48">
        <v>3196.9</v>
      </c>
      <c r="J699" s="48">
        <v>273013.8</v>
      </c>
      <c r="K699" s="48">
        <v>33251.4</v>
      </c>
      <c r="L699" s="48">
        <v>568.9</v>
      </c>
      <c r="M699" s="48">
        <v>34892.800000000003</v>
      </c>
      <c r="N699" s="48">
        <v>854.3</v>
      </c>
    </row>
    <row r="700" spans="1:14" ht="10.050000000000001" customHeight="1">
      <c r="A700" s="45" t="s">
        <v>80</v>
      </c>
      <c r="B700" s="46">
        <v>2014</v>
      </c>
      <c r="C700" s="45" t="s">
        <v>120</v>
      </c>
      <c r="D700" s="47">
        <v>6</v>
      </c>
      <c r="E700" s="48">
        <v>30321.8</v>
      </c>
      <c r="F700" s="48">
        <v>369.1</v>
      </c>
      <c r="G700" s="48">
        <v>30690.9</v>
      </c>
      <c r="H700" s="48">
        <v>50921.8</v>
      </c>
      <c r="I700" s="48">
        <v>10768.1</v>
      </c>
      <c r="J700" s="48">
        <v>61689.9</v>
      </c>
      <c r="K700" s="48">
        <v>11380.9</v>
      </c>
      <c r="L700" s="48">
        <v>5669.2</v>
      </c>
      <c r="M700" s="48">
        <v>12551</v>
      </c>
      <c r="N700" s="48">
        <v>2792.6</v>
      </c>
    </row>
    <row r="701" spans="1:14" ht="10.050000000000001" customHeight="1">
      <c r="A701" s="45" t="s">
        <v>83</v>
      </c>
      <c r="B701" s="46">
        <v>2014</v>
      </c>
      <c r="C701" s="45" t="s">
        <v>120</v>
      </c>
      <c r="D701" s="47">
        <v>6</v>
      </c>
      <c r="E701" s="48">
        <v>371.2</v>
      </c>
      <c r="F701" s="48">
        <v>0</v>
      </c>
      <c r="G701" s="48">
        <v>371.2</v>
      </c>
      <c r="H701" s="48">
        <v>482</v>
      </c>
      <c r="I701" s="48">
        <v>373.8</v>
      </c>
      <c r="J701" s="48">
        <v>855.8</v>
      </c>
      <c r="K701" s="48">
        <v>0</v>
      </c>
      <c r="L701" s="48">
        <v>0</v>
      </c>
      <c r="M701" s="48">
        <v>24.7</v>
      </c>
      <c r="N701" s="48">
        <v>0.1</v>
      </c>
    </row>
    <row r="702" spans="1:14" ht="10.050000000000001" customHeight="1">
      <c r="A702" s="45" t="s">
        <v>82</v>
      </c>
      <c r="B702" s="46">
        <v>2014</v>
      </c>
      <c r="C702" s="45" t="s">
        <v>120</v>
      </c>
      <c r="D702" s="47">
        <v>6</v>
      </c>
      <c r="E702" s="48">
        <v>893.7</v>
      </c>
      <c r="F702" s="48">
        <v>853.3</v>
      </c>
      <c r="G702" s="48">
        <v>1747</v>
      </c>
      <c r="H702" s="48">
        <v>17629</v>
      </c>
      <c r="I702" s="48">
        <v>350.8</v>
      </c>
      <c r="J702" s="48">
        <v>17979.8</v>
      </c>
      <c r="K702" s="48">
        <v>1300.2</v>
      </c>
      <c r="L702" s="48">
        <v>468.3</v>
      </c>
      <c r="M702" s="48">
        <v>305</v>
      </c>
      <c r="N702" s="48">
        <v>42.8</v>
      </c>
    </row>
    <row r="703" spans="1:14" ht="10.050000000000001" customHeight="1">
      <c r="A703" s="45" t="s">
        <v>81</v>
      </c>
      <c r="B703" s="46">
        <v>2014</v>
      </c>
      <c r="C703" s="45" t="s">
        <v>120</v>
      </c>
      <c r="D703" s="47">
        <v>6</v>
      </c>
      <c r="E703" s="48">
        <v>40564.800000000003</v>
      </c>
      <c r="F703" s="48">
        <v>1060.5999999999999</v>
      </c>
      <c r="G703" s="48">
        <v>41625.4</v>
      </c>
      <c r="H703" s="48">
        <v>124933.9</v>
      </c>
      <c r="I703" s="48">
        <v>3445</v>
      </c>
      <c r="J703" s="48">
        <v>128378.9</v>
      </c>
      <c r="K703" s="48">
        <v>9802.2000000000007</v>
      </c>
      <c r="L703" s="48">
        <v>896</v>
      </c>
      <c r="M703" s="48">
        <v>21105.9</v>
      </c>
      <c r="N703" s="48">
        <v>3239.3</v>
      </c>
    </row>
    <row r="704" spans="1:14" ht="10.050000000000001" customHeight="1">
      <c r="A704" s="45" t="s">
        <v>80</v>
      </c>
      <c r="B704" s="46">
        <v>2014</v>
      </c>
      <c r="C704" s="45" t="s">
        <v>121</v>
      </c>
      <c r="D704" s="47">
        <v>7</v>
      </c>
      <c r="E704" s="48">
        <v>3051978.3</v>
      </c>
      <c r="F704" s="48">
        <v>14619.4</v>
      </c>
      <c r="G704" s="48">
        <v>3066597.7</v>
      </c>
      <c r="H704" s="48">
        <v>2716175.8</v>
      </c>
      <c r="I704" s="48">
        <v>17028.3</v>
      </c>
      <c r="J704" s="48">
        <v>2733204.1</v>
      </c>
      <c r="K704" s="48">
        <v>1374204.6</v>
      </c>
      <c r="L704" s="48">
        <v>1497972</v>
      </c>
      <c r="M704" s="48">
        <v>132016.4</v>
      </c>
      <c r="N704" s="48">
        <v>2229.5</v>
      </c>
    </row>
    <row r="705" spans="1:14" ht="10.050000000000001" customHeight="1">
      <c r="A705" s="45" t="s">
        <v>83</v>
      </c>
      <c r="B705" s="46">
        <v>2014</v>
      </c>
      <c r="C705" s="45" t="s">
        <v>121</v>
      </c>
      <c r="D705" s="47">
        <v>7</v>
      </c>
      <c r="E705" s="48">
        <v>4311.7</v>
      </c>
      <c r="F705" s="48">
        <v>0</v>
      </c>
      <c r="G705" s="48">
        <v>4311.7</v>
      </c>
      <c r="H705" s="48">
        <v>4317</v>
      </c>
      <c r="I705" s="48">
        <v>336.7</v>
      </c>
      <c r="J705" s="48">
        <v>4653.7</v>
      </c>
      <c r="K705" s="48">
        <v>889.7</v>
      </c>
      <c r="L705" s="48">
        <v>1148.0999999999999</v>
      </c>
      <c r="M705" s="48">
        <v>258.39999999999998</v>
      </c>
      <c r="N705" s="48">
        <v>0</v>
      </c>
    </row>
    <row r="706" spans="1:14" ht="10.050000000000001" customHeight="1">
      <c r="A706" s="45" t="s">
        <v>82</v>
      </c>
      <c r="B706" s="46">
        <v>2014</v>
      </c>
      <c r="C706" s="45" t="s">
        <v>121</v>
      </c>
      <c r="D706" s="47">
        <v>7</v>
      </c>
      <c r="E706" s="48">
        <v>604.6</v>
      </c>
      <c r="F706" s="48">
        <v>0</v>
      </c>
      <c r="G706" s="48">
        <v>604.6</v>
      </c>
      <c r="H706" s="48">
        <v>13848.2</v>
      </c>
      <c r="I706" s="48">
        <v>351.6</v>
      </c>
      <c r="J706" s="48">
        <v>14199.8</v>
      </c>
      <c r="K706" s="48">
        <v>761.1</v>
      </c>
      <c r="L706" s="48">
        <v>0.1</v>
      </c>
      <c r="M706" s="48">
        <v>529.20000000000005</v>
      </c>
      <c r="N706" s="48">
        <v>10</v>
      </c>
    </row>
    <row r="707" spans="1:14" ht="10.050000000000001" customHeight="1">
      <c r="A707" s="45" t="s">
        <v>81</v>
      </c>
      <c r="B707" s="46">
        <v>2014</v>
      </c>
      <c r="C707" s="45" t="s">
        <v>121</v>
      </c>
      <c r="D707" s="47">
        <v>7</v>
      </c>
      <c r="E707" s="48">
        <v>8751.1</v>
      </c>
      <c r="F707" s="48">
        <v>0</v>
      </c>
      <c r="G707" s="48">
        <v>8751.1</v>
      </c>
      <c r="H707" s="48">
        <v>64150.6</v>
      </c>
      <c r="I707" s="48">
        <v>3487.3</v>
      </c>
      <c r="J707" s="48">
        <v>67637.899999999994</v>
      </c>
      <c r="K707" s="48">
        <v>7019.6</v>
      </c>
      <c r="L707" s="48">
        <v>555.5</v>
      </c>
      <c r="M707" s="48">
        <v>3127.6</v>
      </c>
      <c r="N707" s="48">
        <v>299.10000000000002</v>
      </c>
    </row>
    <row r="708" spans="1:14" ht="10.050000000000001" customHeight="1">
      <c r="A708" s="45" t="s">
        <v>80</v>
      </c>
      <c r="B708" s="46">
        <v>2014</v>
      </c>
      <c r="C708" s="45" t="s">
        <v>121</v>
      </c>
      <c r="D708" s="47">
        <v>8</v>
      </c>
      <c r="E708" s="48">
        <v>379517</v>
      </c>
      <c r="F708" s="48">
        <v>3463.1</v>
      </c>
      <c r="G708" s="48">
        <v>382980.1</v>
      </c>
      <c r="H708" s="48">
        <v>2663155.9</v>
      </c>
      <c r="I708" s="48">
        <v>17753.7</v>
      </c>
      <c r="J708" s="48">
        <v>2680909.6</v>
      </c>
      <c r="K708" s="48">
        <v>1162159.3999999999</v>
      </c>
      <c r="L708" s="48">
        <v>79054</v>
      </c>
      <c r="M708" s="48">
        <v>285222.09999999998</v>
      </c>
      <c r="N708" s="48">
        <v>6172.7</v>
      </c>
    </row>
    <row r="709" spans="1:14" ht="10.050000000000001" customHeight="1">
      <c r="A709" s="45" t="s">
        <v>83</v>
      </c>
      <c r="B709" s="46">
        <v>2014</v>
      </c>
      <c r="C709" s="45" t="s">
        <v>121</v>
      </c>
      <c r="D709" s="47">
        <v>8</v>
      </c>
      <c r="E709" s="48">
        <v>6078.6</v>
      </c>
      <c r="F709" s="48">
        <v>0</v>
      </c>
      <c r="G709" s="48">
        <v>6078.6</v>
      </c>
      <c r="H709" s="48">
        <v>9359.2000000000007</v>
      </c>
      <c r="I709" s="48">
        <v>312.39999999999998</v>
      </c>
      <c r="J709" s="48">
        <v>9671.6</v>
      </c>
      <c r="K709" s="48">
        <v>455.6</v>
      </c>
      <c r="L709" s="48">
        <v>306.8</v>
      </c>
      <c r="M709" s="48">
        <v>740.9</v>
      </c>
      <c r="N709" s="48">
        <v>0</v>
      </c>
    </row>
    <row r="710" spans="1:14" ht="10.050000000000001" customHeight="1">
      <c r="A710" s="45" t="s">
        <v>82</v>
      </c>
      <c r="B710" s="46">
        <v>2014</v>
      </c>
      <c r="C710" s="45" t="s">
        <v>121</v>
      </c>
      <c r="D710" s="47">
        <v>8</v>
      </c>
      <c r="E710" s="48">
        <v>492.8</v>
      </c>
      <c r="F710" s="48">
        <v>0</v>
      </c>
      <c r="G710" s="48">
        <v>492.8</v>
      </c>
      <c r="H710" s="48">
        <v>11746.5</v>
      </c>
      <c r="I710" s="48">
        <v>351.6</v>
      </c>
      <c r="J710" s="48">
        <v>12098.1</v>
      </c>
      <c r="K710" s="48">
        <v>410.9</v>
      </c>
      <c r="L710" s="48">
        <v>0</v>
      </c>
      <c r="M710" s="48">
        <v>267</v>
      </c>
      <c r="N710" s="48">
        <v>83.2</v>
      </c>
    </row>
    <row r="711" spans="1:14" ht="10.050000000000001" customHeight="1">
      <c r="A711" s="45" t="s">
        <v>81</v>
      </c>
      <c r="B711" s="46">
        <v>2014</v>
      </c>
      <c r="C711" s="45" t="s">
        <v>121</v>
      </c>
      <c r="D711" s="47">
        <v>8</v>
      </c>
      <c r="E711" s="48">
        <v>3931.2</v>
      </c>
      <c r="F711" s="48">
        <v>466.3</v>
      </c>
      <c r="G711" s="48">
        <v>4397.5</v>
      </c>
      <c r="H711" s="48">
        <v>31094.9</v>
      </c>
      <c r="I711" s="48">
        <v>2423.8000000000002</v>
      </c>
      <c r="J711" s="48">
        <v>33518.699999999997</v>
      </c>
      <c r="K711" s="48">
        <v>7682.1</v>
      </c>
      <c r="L711" s="48">
        <v>1400.8</v>
      </c>
      <c r="M711" s="48">
        <v>644.1</v>
      </c>
      <c r="N711" s="48">
        <v>5.9</v>
      </c>
    </row>
    <row r="712" spans="1:14" ht="10.050000000000001" customHeight="1">
      <c r="A712" s="45" t="s">
        <v>80</v>
      </c>
      <c r="B712" s="46">
        <v>2014</v>
      </c>
      <c r="C712" s="45" t="s">
        <v>121</v>
      </c>
      <c r="D712" s="47">
        <v>9</v>
      </c>
      <c r="E712" s="48">
        <v>275171.3</v>
      </c>
      <c r="F712" s="48">
        <v>458.7</v>
      </c>
      <c r="G712" s="48">
        <v>275630</v>
      </c>
      <c r="H712" s="48">
        <v>2477834.6</v>
      </c>
      <c r="I712" s="48">
        <v>17428</v>
      </c>
      <c r="J712" s="48">
        <v>2495262.6</v>
      </c>
      <c r="K712" s="48">
        <v>948445.4</v>
      </c>
      <c r="L712" s="48">
        <v>11442.9</v>
      </c>
      <c r="M712" s="48">
        <v>222880.8</v>
      </c>
      <c r="N712" s="48">
        <v>2276.1999999999998</v>
      </c>
    </row>
    <row r="713" spans="1:14" ht="10.050000000000001" customHeight="1">
      <c r="A713" s="45" t="s">
        <v>83</v>
      </c>
      <c r="B713" s="46">
        <v>2014</v>
      </c>
      <c r="C713" s="45" t="s">
        <v>121</v>
      </c>
      <c r="D713" s="47">
        <v>9</v>
      </c>
      <c r="E713" s="48">
        <v>3969.8</v>
      </c>
      <c r="F713" s="48">
        <v>91.1</v>
      </c>
      <c r="G713" s="48">
        <v>4060.9</v>
      </c>
      <c r="H713" s="48">
        <v>11602.3</v>
      </c>
      <c r="I713" s="48">
        <v>98</v>
      </c>
      <c r="J713" s="48">
        <v>11700.3</v>
      </c>
      <c r="K713" s="48">
        <v>418.6</v>
      </c>
      <c r="L713" s="48">
        <v>265.89999999999998</v>
      </c>
      <c r="M713" s="48">
        <v>302.89999999999998</v>
      </c>
      <c r="N713" s="48">
        <v>0</v>
      </c>
    </row>
    <row r="714" spans="1:14" ht="10.050000000000001" customHeight="1">
      <c r="A714" s="45" t="s">
        <v>82</v>
      </c>
      <c r="B714" s="46">
        <v>2014</v>
      </c>
      <c r="C714" s="45" t="s">
        <v>121</v>
      </c>
      <c r="D714" s="47">
        <v>9</v>
      </c>
      <c r="E714" s="48">
        <v>51868.3</v>
      </c>
      <c r="F714" s="48">
        <v>3178.4</v>
      </c>
      <c r="G714" s="48">
        <v>55046.7</v>
      </c>
      <c r="H714" s="48">
        <v>58159.4</v>
      </c>
      <c r="I714" s="48">
        <v>3480</v>
      </c>
      <c r="J714" s="48">
        <v>61639.4</v>
      </c>
      <c r="K714" s="48">
        <v>6739.7</v>
      </c>
      <c r="L714" s="48">
        <v>7725.5</v>
      </c>
      <c r="M714" s="48">
        <v>1301.5999999999999</v>
      </c>
      <c r="N714" s="48">
        <v>5.6</v>
      </c>
    </row>
    <row r="715" spans="1:14" ht="10.050000000000001" customHeight="1">
      <c r="A715" s="45" t="s">
        <v>81</v>
      </c>
      <c r="B715" s="46">
        <v>2014</v>
      </c>
      <c r="C715" s="45" t="s">
        <v>121</v>
      </c>
      <c r="D715" s="47">
        <v>9</v>
      </c>
      <c r="E715" s="48">
        <v>773206.5</v>
      </c>
      <c r="F715" s="48">
        <v>6270.1</v>
      </c>
      <c r="G715" s="48">
        <v>779476.6</v>
      </c>
      <c r="H715" s="48">
        <v>709255.7</v>
      </c>
      <c r="I715" s="48">
        <v>6873.2</v>
      </c>
      <c r="J715" s="48">
        <v>716128.9</v>
      </c>
      <c r="K715" s="48">
        <v>235048.1</v>
      </c>
      <c r="L715" s="48">
        <v>259639.1</v>
      </c>
      <c r="M715" s="48">
        <v>32051.599999999999</v>
      </c>
      <c r="N715" s="48">
        <v>222.3</v>
      </c>
    </row>
    <row r="716" spans="1:14" ht="10.050000000000001" customHeight="1">
      <c r="A716" s="45" t="s">
        <v>80</v>
      </c>
      <c r="B716" s="46">
        <v>2014</v>
      </c>
      <c r="C716" s="45" t="s">
        <v>121</v>
      </c>
      <c r="D716" s="47">
        <v>10</v>
      </c>
      <c r="E716" s="48">
        <v>186681.4</v>
      </c>
      <c r="F716" s="48">
        <v>51.5</v>
      </c>
      <c r="G716" s="48">
        <v>186732.9</v>
      </c>
      <c r="H716" s="48">
        <v>2231390.4</v>
      </c>
      <c r="I716" s="48">
        <v>17439.900000000001</v>
      </c>
      <c r="J716" s="48">
        <v>2248830.2999999998</v>
      </c>
      <c r="K716" s="48">
        <v>825814.7</v>
      </c>
      <c r="L716" s="48">
        <v>9285.9</v>
      </c>
      <c r="M716" s="48">
        <v>128193.2</v>
      </c>
      <c r="N716" s="48">
        <v>3560.4</v>
      </c>
    </row>
    <row r="717" spans="1:14" ht="10.050000000000001" customHeight="1">
      <c r="A717" s="45" t="s">
        <v>83</v>
      </c>
      <c r="B717" s="46">
        <v>2014</v>
      </c>
      <c r="C717" s="45" t="s">
        <v>121</v>
      </c>
      <c r="D717" s="47">
        <v>10</v>
      </c>
      <c r="E717" s="48">
        <v>752.5</v>
      </c>
      <c r="F717" s="48">
        <v>0</v>
      </c>
      <c r="G717" s="48">
        <v>752.5</v>
      </c>
      <c r="H717" s="48">
        <v>10960.2</v>
      </c>
      <c r="I717" s="48">
        <v>67</v>
      </c>
      <c r="J717" s="48">
        <v>11027.2</v>
      </c>
      <c r="K717" s="48">
        <v>450.2</v>
      </c>
      <c r="L717" s="48">
        <v>49.3</v>
      </c>
      <c r="M717" s="48">
        <v>17.2</v>
      </c>
      <c r="N717" s="48">
        <v>0.5</v>
      </c>
    </row>
    <row r="718" spans="1:14" ht="10.050000000000001" customHeight="1">
      <c r="A718" s="45" t="s">
        <v>82</v>
      </c>
      <c r="B718" s="46">
        <v>2014</v>
      </c>
      <c r="C718" s="45" t="s">
        <v>121</v>
      </c>
      <c r="D718" s="47">
        <v>10</v>
      </c>
      <c r="E718" s="48">
        <v>87098.800000000105</v>
      </c>
      <c r="F718" s="48">
        <v>5194.3</v>
      </c>
      <c r="G718" s="48">
        <v>92293.1</v>
      </c>
      <c r="H718" s="48">
        <v>138803.20000000001</v>
      </c>
      <c r="I718" s="48">
        <v>8519</v>
      </c>
      <c r="J718" s="48">
        <v>147322.20000000001</v>
      </c>
      <c r="K718" s="48">
        <v>14000.8</v>
      </c>
      <c r="L718" s="48">
        <v>12698.1</v>
      </c>
      <c r="M718" s="48">
        <v>4853.3999999999996</v>
      </c>
      <c r="N718" s="48">
        <v>509.6</v>
      </c>
    </row>
    <row r="719" spans="1:14" ht="10.050000000000001" customHeight="1">
      <c r="A719" s="45" t="s">
        <v>81</v>
      </c>
      <c r="B719" s="46">
        <v>2014</v>
      </c>
      <c r="C719" s="45" t="s">
        <v>121</v>
      </c>
      <c r="D719" s="47">
        <v>10</v>
      </c>
      <c r="E719" s="48">
        <v>336878.2</v>
      </c>
      <c r="F719" s="48">
        <v>3365.2</v>
      </c>
      <c r="G719" s="48">
        <v>340243.4</v>
      </c>
      <c r="H719" s="48">
        <v>845368.8</v>
      </c>
      <c r="I719" s="48">
        <v>10768.5</v>
      </c>
      <c r="J719" s="48">
        <v>856137.3</v>
      </c>
      <c r="K719" s="48">
        <v>256398.8</v>
      </c>
      <c r="L719" s="48">
        <v>112733.6</v>
      </c>
      <c r="M719" s="48">
        <v>89597.7</v>
      </c>
      <c r="N719" s="48">
        <v>1637.3</v>
      </c>
    </row>
    <row r="720" spans="1:14" ht="10.050000000000001" customHeight="1">
      <c r="A720" s="45" t="s">
        <v>80</v>
      </c>
      <c r="B720" s="46">
        <v>2014</v>
      </c>
      <c r="C720" s="45" t="s">
        <v>121</v>
      </c>
      <c r="D720" s="47">
        <v>11</v>
      </c>
      <c r="E720" s="48">
        <v>183472.4</v>
      </c>
      <c r="F720" s="48">
        <v>271.7</v>
      </c>
      <c r="G720" s="48">
        <v>183744.1</v>
      </c>
      <c r="H720" s="48">
        <v>1949561.2</v>
      </c>
      <c r="I720" s="48">
        <v>15897</v>
      </c>
      <c r="J720" s="48">
        <v>1965458.2</v>
      </c>
      <c r="K720" s="48">
        <v>706744.4</v>
      </c>
      <c r="L720" s="48">
        <v>18979.099999999999</v>
      </c>
      <c r="M720" s="48">
        <v>134600.70000000001</v>
      </c>
      <c r="N720" s="48">
        <v>3611.5</v>
      </c>
    </row>
    <row r="721" spans="1:14" ht="10.050000000000001" customHeight="1">
      <c r="A721" s="45" t="s">
        <v>83</v>
      </c>
      <c r="B721" s="46">
        <v>2014</v>
      </c>
      <c r="C721" s="45" t="s">
        <v>121</v>
      </c>
      <c r="D721" s="47">
        <v>11</v>
      </c>
      <c r="E721" s="48">
        <v>497.5</v>
      </c>
      <c r="F721" s="48">
        <v>0</v>
      </c>
      <c r="G721" s="48">
        <v>497.5</v>
      </c>
      <c r="H721" s="48">
        <v>10097.9</v>
      </c>
      <c r="I721" s="48">
        <v>63.5</v>
      </c>
      <c r="J721" s="48">
        <v>10161.4</v>
      </c>
      <c r="K721" s="48">
        <v>353.2</v>
      </c>
      <c r="L721" s="48">
        <v>0.9</v>
      </c>
      <c r="M721" s="48">
        <v>81.7</v>
      </c>
      <c r="N721" s="48">
        <v>16.2</v>
      </c>
    </row>
    <row r="722" spans="1:14" ht="10.050000000000001" customHeight="1">
      <c r="A722" s="45" t="s">
        <v>82</v>
      </c>
      <c r="B722" s="46">
        <v>2014</v>
      </c>
      <c r="C722" s="45" t="s">
        <v>121</v>
      </c>
      <c r="D722" s="47">
        <v>11</v>
      </c>
      <c r="E722" s="48">
        <v>18414.5</v>
      </c>
      <c r="F722" s="48">
        <v>373.8</v>
      </c>
      <c r="G722" s="48">
        <v>18788.3</v>
      </c>
      <c r="H722" s="48">
        <v>141630.9</v>
      </c>
      <c r="I722" s="48">
        <v>8504.1</v>
      </c>
      <c r="J722" s="48">
        <v>150135</v>
      </c>
      <c r="K722" s="48">
        <v>11977.2</v>
      </c>
      <c r="L722" s="48">
        <v>1726.4</v>
      </c>
      <c r="M722" s="48">
        <v>3500.5</v>
      </c>
      <c r="N722" s="48">
        <v>309.8</v>
      </c>
    </row>
    <row r="723" spans="1:14" ht="10.050000000000001" customHeight="1">
      <c r="A723" s="45" t="s">
        <v>81</v>
      </c>
      <c r="B723" s="46">
        <v>2014</v>
      </c>
      <c r="C723" s="45" t="s">
        <v>121</v>
      </c>
      <c r="D723" s="47">
        <v>11</v>
      </c>
      <c r="E723" s="48">
        <v>73085.8</v>
      </c>
      <c r="F723" s="48">
        <v>179.1</v>
      </c>
      <c r="G723" s="48">
        <v>73264.899999999994</v>
      </c>
      <c r="H723" s="48">
        <v>807451.6</v>
      </c>
      <c r="I723" s="48">
        <v>8717.7000000000007</v>
      </c>
      <c r="J723" s="48">
        <v>816169.3</v>
      </c>
      <c r="K723" s="48">
        <v>201719.4</v>
      </c>
      <c r="L723" s="48">
        <v>6189.9</v>
      </c>
      <c r="M723" s="48">
        <v>59632.9</v>
      </c>
      <c r="N723" s="48">
        <v>1302.2</v>
      </c>
    </row>
    <row r="724" spans="1:14" ht="10.050000000000001" customHeight="1">
      <c r="A724" s="45" t="s">
        <v>80</v>
      </c>
      <c r="B724" s="46">
        <v>2014</v>
      </c>
      <c r="C724" s="45" t="s">
        <v>121</v>
      </c>
      <c r="D724" s="47">
        <v>12</v>
      </c>
      <c r="E724" s="48">
        <v>163022.20000000001</v>
      </c>
      <c r="F724" s="48">
        <v>71.599999999999994</v>
      </c>
      <c r="G724" s="48">
        <v>163093.79999999999</v>
      </c>
      <c r="H724" s="48">
        <v>1645565.5</v>
      </c>
      <c r="I724" s="48">
        <v>15795.1</v>
      </c>
      <c r="J724" s="48">
        <v>1661360.6</v>
      </c>
      <c r="K724" s="48">
        <v>625168.19999999995</v>
      </c>
      <c r="L724" s="48">
        <v>27156.3</v>
      </c>
      <c r="M724" s="48">
        <v>106526.6</v>
      </c>
      <c r="N724" s="48">
        <v>2205.9</v>
      </c>
    </row>
    <row r="725" spans="1:14" ht="10.050000000000001" customHeight="1">
      <c r="A725" s="45" t="s">
        <v>83</v>
      </c>
      <c r="B725" s="46">
        <v>2014</v>
      </c>
      <c r="C725" s="45" t="s">
        <v>121</v>
      </c>
      <c r="D725" s="47">
        <v>12</v>
      </c>
      <c r="E725" s="48">
        <v>583.1</v>
      </c>
      <c r="F725" s="48">
        <v>0</v>
      </c>
      <c r="G725" s="48">
        <v>583.1</v>
      </c>
      <c r="H725" s="48">
        <v>9393.4</v>
      </c>
      <c r="I725" s="48">
        <v>59.5</v>
      </c>
      <c r="J725" s="48">
        <v>9452.9</v>
      </c>
      <c r="K725" s="48">
        <v>283.5</v>
      </c>
      <c r="L725" s="48">
        <v>2.4</v>
      </c>
      <c r="M725" s="48">
        <v>72.099999999999994</v>
      </c>
      <c r="N725" s="48">
        <v>0</v>
      </c>
    </row>
    <row r="726" spans="1:14" ht="10.050000000000001" customHeight="1">
      <c r="A726" s="45" t="s">
        <v>82</v>
      </c>
      <c r="B726" s="46">
        <v>2014</v>
      </c>
      <c r="C726" s="45" t="s">
        <v>121</v>
      </c>
      <c r="D726" s="47">
        <v>12</v>
      </c>
      <c r="E726" s="48">
        <v>4366.2</v>
      </c>
      <c r="F726" s="48">
        <v>183.2</v>
      </c>
      <c r="G726" s="48">
        <v>4549.3999999999996</v>
      </c>
      <c r="H726" s="48">
        <v>132115.79999999999</v>
      </c>
      <c r="I726" s="48">
        <v>8335.7000000000007</v>
      </c>
      <c r="J726" s="48">
        <v>140451.5</v>
      </c>
      <c r="K726" s="48">
        <v>9795.2999999999993</v>
      </c>
      <c r="L726" s="48">
        <v>109.5</v>
      </c>
      <c r="M726" s="48">
        <v>1913.3</v>
      </c>
      <c r="N726" s="48">
        <v>411.3</v>
      </c>
    </row>
    <row r="727" spans="1:14" ht="10.050000000000001" customHeight="1">
      <c r="A727" s="45" t="s">
        <v>81</v>
      </c>
      <c r="B727" s="46">
        <v>2014</v>
      </c>
      <c r="C727" s="45" t="s">
        <v>121</v>
      </c>
      <c r="D727" s="47">
        <v>12</v>
      </c>
      <c r="E727" s="48">
        <v>46975.3</v>
      </c>
      <c r="F727" s="48">
        <v>134.6</v>
      </c>
      <c r="G727" s="48">
        <v>47109.9</v>
      </c>
      <c r="H727" s="48">
        <v>731637</v>
      </c>
      <c r="I727" s="48">
        <v>7498.8</v>
      </c>
      <c r="J727" s="48">
        <v>739135.8</v>
      </c>
      <c r="K727" s="48">
        <v>164609.20000000001</v>
      </c>
      <c r="L727" s="48">
        <v>2596.1</v>
      </c>
      <c r="M727" s="48">
        <v>38500.800000000003</v>
      </c>
      <c r="N727" s="48">
        <v>1251.0999999999999</v>
      </c>
    </row>
    <row r="728" spans="1:14" ht="10.050000000000001" customHeight="1">
      <c r="A728" s="45" t="s">
        <v>80</v>
      </c>
      <c r="B728" s="46">
        <v>2015</v>
      </c>
      <c r="C728" s="45" t="s">
        <v>121</v>
      </c>
      <c r="D728" s="47">
        <v>1</v>
      </c>
      <c r="E728" s="48">
        <v>208470.2</v>
      </c>
      <c r="F728" s="48">
        <v>756</v>
      </c>
      <c r="G728" s="48">
        <v>209226.2</v>
      </c>
      <c r="H728" s="48">
        <v>1317140.7</v>
      </c>
      <c r="I728" s="48">
        <v>15890.5</v>
      </c>
      <c r="J728" s="48">
        <v>1333031.2</v>
      </c>
      <c r="K728" s="48">
        <v>507098.9</v>
      </c>
      <c r="L728" s="48">
        <v>26510.9</v>
      </c>
      <c r="M728" s="48">
        <v>138592.29999999999</v>
      </c>
      <c r="N728" s="48">
        <v>5732.2</v>
      </c>
    </row>
    <row r="729" spans="1:14" ht="10.050000000000001" customHeight="1">
      <c r="A729" s="45" t="s">
        <v>83</v>
      </c>
      <c r="B729" s="46">
        <v>2015</v>
      </c>
      <c r="C729" s="45" t="s">
        <v>121</v>
      </c>
      <c r="D729" s="47">
        <v>1</v>
      </c>
      <c r="E729" s="48">
        <v>771.2</v>
      </c>
      <c r="F729" s="48">
        <v>177.1</v>
      </c>
      <c r="G729" s="48">
        <v>948.3</v>
      </c>
      <c r="H729" s="48">
        <v>8456.4</v>
      </c>
      <c r="I729" s="48">
        <v>236.4</v>
      </c>
      <c r="J729" s="48">
        <v>8692.7999999999993</v>
      </c>
      <c r="K729" s="48">
        <v>156</v>
      </c>
      <c r="L729" s="48">
        <v>0</v>
      </c>
      <c r="M729" s="48">
        <v>76.7</v>
      </c>
      <c r="N729" s="48">
        <v>50.7</v>
      </c>
    </row>
    <row r="730" spans="1:14" ht="10.050000000000001" customHeight="1">
      <c r="A730" s="45" t="s">
        <v>82</v>
      </c>
      <c r="B730" s="46">
        <v>2015</v>
      </c>
      <c r="C730" s="45" t="s">
        <v>121</v>
      </c>
      <c r="D730" s="47">
        <v>1</v>
      </c>
      <c r="E730" s="48">
        <v>4573.1000000000004</v>
      </c>
      <c r="F730" s="48">
        <v>597.9</v>
      </c>
      <c r="G730" s="48">
        <v>5171</v>
      </c>
      <c r="H730" s="48">
        <v>117105.4</v>
      </c>
      <c r="I730" s="48">
        <v>7515.5</v>
      </c>
      <c r="J730" s="48">
        <v>124620.9</v>
      </c>
      <c r="K730" s="48">
        <v>7119.8</v>
      </c>
      <c r="L730" s="48">
        <v>585.29999999999995</v>
      </c>
      <c r="M730" s="48">
        <v>2344.6999999999998</v>
      </c>
      <c r="N730" s="48">
        <v>917.6</v>
      </c>
    </row>
    <row r="731" spans="1:14" ht="10.050000000000001" customHeight="1">
      <c r="A731" s="45" t="s">
        <v>81</v>
      </c>
      <c r="B731" s="46">
        <v>2015</v>
      </c>
      <c r="C731" s="45" t="s">
        <v>121</v>
      </c>
      <c r="D731" s="47">
        <v>1</v>
      </c>
      <c r="E731" s="48">
        <v>53614.5</v>
      </c>
      <c r="F731" s="48">
        <v>-16.600000000000001</v>
      </c>
      <c r="G731" s="48">
        <v>53597.9</v>
      </c>
      <c r="H731" s="48">
        <v>617498</v>
      </c>
      <c r="I731" s="48">
        <v>6101.7</v>
      </c>
      <c r="J731" s="48">
        <v>623599.69999999995</v>
      </c>
      <c r="K731" s="48">
        <v>120883.9</v>
      </c>
      <c r="L731" s="48">
        <v>2188</v>
      </c>
      <c r="M731" s="48">
        <v>40198.1</v>
      </c>
      <c r="N731" s="48">
        <v>5715.2</v>
      </c>
    </row>
    <row r="732" spans="1:14" ht="10.050000000000001" customHeight="1">
      <c r="A732" s="45" t="s">
        <v>80</v>
      </c>
      <c r="B732" s="46">
        <v>2015</v>
      </c>
      <c r="C732" s="45" t="s">
        <v>121</v>
      </c>
      <c r="D732" s="47">
        <v>2</v>
      </c>
      <c r="E732" s="48">
        <v>240132.9</v>
      </c>
      <c r="F732" s="48">
        <v>114.8</v>
      </c>
      <c r="G732" s="48">
        <v>240247.7</v>
      </c>
      <c r="H732" s="48">
        <v>1049902.3</v>
      </c>
      <c r="I732" s="48">
        <v>15885.8</v>
      </c>
      <c r="J732" s="48">
        <v>1065788.1000000001</v>
      </c>
      <c r="K732" s="48">
        <v>372758.5</v>
      </c>
      <c r="L732" s="48">
        <v>28876.7</v>
      </c>
      <c r="M732" s="48">
        <v>161149.79999999999</v>
      </c>
      <c r="N732" s="48">
        <v>2067</v>
      </c>
    </row>
    <row r="733" spans="1:14" ht="10.050000000000001" customHeight="1">
      <c r="A733" s="45" t="s">
        <v>83</v>
      </c>
      <c r="B733" s="46">
        <v>2015</v>
      </c>
      <c r="C733" s="45" t="s">
        <v>121</v>
      </c>
      <c r="D733" s="47">
        <v>2</v>
      </c>
      <c r="E733" s="48">
        <v>681</v>
      </c>
      <c r="F733" s="48">
        <v>217.4</v>
      </c>
      <c r="G733" s="48">
        <v>898.4</v>
      </c>
      <c r="H733" s="48">
        <v>7884.4</v>
      </c>
      <c r="I733" s="48">
        <v>157.1</v>
      </c>
      <c r="J733" s="48">
        <v>8041.5</v>
      </c>
      <c r="K733" s="48">
        <v>156</v>
      </c>
      <c r="L733" s="48">
        <v>-2.9</v>
      </c>
      <c r="M733" s="48">
        <v>-2.9</v>
      </c>
      <c r="N733" s="48">
        <v>0</v>
      </c>
    </row>
    <row r="734" spans="1:14" ht="10.050000000000001" customHeight="1">
      <c r="A734" s="45" t="s">
        <v>82</v>
      </c>
      <c r="B734" s="46">
        <v>2015</v>
      </c>
      <c r="C734" s="45" t="s">
        <v>121</v>
      </c>
      <c r="D734" s="47">
        <v>2</v>
      </c>
      <c r="E734" s="48">
        <v>3704.6</v>
      </c>
      <c r="F734" s="48">
        <v>44.9</v>
      </c>
      <c r="G734" s="48">
        <v>3749.5</v>
      </c>
      <c r="H734" s="48">
        <v>103692.1</v>
      </c>
      <c r="I734" s="48">
        <v>4971.8</v>
      </c>
      <c r="J734" s="48">
        <v>108663.9</v>
      </c>
      <c r="K734" s="48">
        <v>5635.5</v>
      </c>
      <c r="L734" s="48">
        <v>453.3</v>
      </c>
      <c r="M734" s="48">
        <v>1710.2</v>
      </c>
      <c r="N734" s="48">
        <v>272.39999999999998</v>
      </c>
    </row>
    <row r="735" spans="1:14" ht="10.050000000000001" customHeight="1">
      <c r="A735" s="45" t="s">
        <v>81</v>
      </c>
      <c r="B735" s="46">
        <v>2015</v>
      </c>
      <c r="C735" s="45" t="s">
        <v>121</v>
      </c>
      <c r="D735" s="47">
        <v>2</v>
      </c>
      <c r="E735" s="48">
        <v>44118.7</v>
      </c>
      <c r="F735" s="48">
        <v>1322.4</v>
      </c>
      <c r="G735" s="48">
        <v>45441.1</v>
      </c>
      <c r="H735" s="48">
        <v>508282.3</v>
      </c>
      <c r="I735" s="48">
        <v>5236.3</v>
      </c>
      <c r="J735" s="48">
        <v>513518.6</v>
      </c>
      <c r="K735" s="48">
        <v>90259.9</v>
      </c>
      <c r="L735" s="48">
        <v>1682.8</v>
      </c>
      <c r="M735" s="48">
        <v>30968</v>
      </c>
      <c r="N735" s="48">
        <v>1337.9</v>
      </c>
    </row>
    <row r="736" spans="1:14" ht="10.050000000000001" customHeight="1">
      <c r="A736" s="45" t="s">
        <v>80</v>
      </c>
      <c r="B736" s="46">
        <v>2015</v>
      </c>
      <c r="C736" s="45" t="s">
        <v>121</v>
      </c>
      <c r="D736" s="47">
        <v>3</v>
      </c>
      <c r="E736" s="48">
        <v>275190.7</v>
      </c>
      <c r="F736" s="48">
        <v>0</v>
      </c>
      <c r="G736" s="48">
        <v>275190.7</v>
      </c>
      <c r="H736" s="48">
        <v>824940.1</v>
      </c>
      <c r="I736" s="48">
        <v>15790.1</v>
      </c>
      <c r="J736" s="48">
        <v>840730.2</v>
      </c>
      <c r="K736" s="48">
        <v>211873.4</v>
      </c>
      <c r="L736" s="48">
        <v>21909.5</v>
      </c>
      <c r="M736" s="48">
        <v>180789.6</v>
      </c>
      <c r="N736" s="48">
        <v>1886.9</v>
      </c>
    </row>
    <row r="737" spans="1:14" ht="10.050000000000001" customHeight="1">
      <c r="A737" s="45" t="s">
        <v>83</v>
      </c>
      <c r="B737" s="46">
        <v>2015</v>
      </c>
      <c r="C737" s="45" t="s">
        <v>121</v>
      </c>
      <c r="D737" s="47">
        <v>3</v>
      </c>
      <c r="E737" s="48">
        <v>223</v>
      </c>
      <c r="F737" s="48">
        <v>100</v>
      </c>
      <c r="G737" s="48">
        <v>323</v>
      </c>
      <c r="H737" s="48">
        <v>6622.4</v>
      </c>
      <c r="I737" s="48">
        <v>236.7</v>
      </c>
      <c r="J737" s="48">
        <v>6859.1</v>
      </c>
      <c r="K737" s="48">
        <v>135.6</v>
      </c>
      <c r="L737" s="48">
        <v>0</v>
      </c>
      <c r="M737" s="48">
        <v>13.7</v>
      </c>
      <c r="N737" s="48">
        <v>10.199999999999999</v>
      </c>
    </row>
    <row r="738" spans="1:14" ht="10.050000000000001" customHeight="1">
      <c r="A738" s="45" t="s">
        <v>82</v>
      </c>
      <c r="B738" s="46">
        <v>2015</v>
      </c>
      <c r="C738" s="45" t="s">
        <v>121</v>
      </c>
      <c r="D738" s="47">
        <v>3</v>
      </c>
      <c r="E738" s="48">
        <v>4661.3999999999996</v>
      </c>
      <c r="F738" s="48">
        <v>44.9</v>
      </c>
      <c r="G738" s="48">
        <v>4706.3</v>
      </c>
      <c r="H738" s="48">
        <v>91374.9</v>
      </c>
      <c r="I738" s="48">
        <v>3080.1</v>
      </c>
      <c r="J738" s="48">
        <v>94455</v>
      </c>
      <c r="K738" s="48">
        <v>4611.3</v>
      </c>
      <c r="L738" s="48">
        <v>979.1</v>
      </c>
      <c r="M738" s="48">
        <v>1456.1</v>
      </c>
      <c r="N738" s="48">
        <v>757.8</v>
      </c>
    </row>
    <row r="739" spans="1:14" ht="10.050000000000001" customHeight="1">
      <c r="A739" s="45" t="s">
        <v>81</v>
      </c>
      <c r="B739" s="46">
        <v>2015</v>
      </c>
      <c r="C739" s="45" t="s">
        <v>121</v>
      </c>
      <c r="D739" s="47">
        <v>3</v>
      </c>
      <c r="E739" s="48">
        <v>49625</v>
      </c>
      <c r="F739" s="48">
        <v>465.4</v>
      </c>
      <c r="G739" s="48">
        <v>50090.400000000001</v>
      </c>
      <c r="H739" s="48">
        <v>420650.1</v>
      </c>
      <c r="I739" s="48">
        <v>4129.8999999999996</v>
      </c>
      <c r="J739" s="48">
        <v>424780</v>
      </c>
      <c r="K739" s="48">
        <v>50086.7</v>
      </c>
      <c r="L739" s="48">
        <v>805.8</v>
      </c>
      <c r="M739" s="48">
        <v>34992.5</v>
      </c>
      <c r="N739" s="48">
        <v>5986.5</v>
      </c>
    </row>
    <row r="740" spans="1:14" ht="10.050000000000001" customHeight="1">
      <c r="A740" s="45" t="s">
        <v>80</v>
      </c>
      <c r="B740" s="46">
        <v>2015</v>
      </c>
      <c r="C740" s="45" t="s">
        <v>121</v>
      </c>
      <c r="D740" s="47">
        <v>4</v>
      </c>
      <c r="E740" s="48">
        <v>215505.5</v>
      </c>
      <c r="F740" s="48">
        <v>999.1</v>
      </c>
      <c r="G740" s="48">
        <v>216504.6</v>
      </c>
      <c r="H740" s="48">
        <v>502563.2</v>
      </c>
      <c r="I740" s="48">
        <v>15678.3</v>
      </c>
      <c r="J740" s="48">
        <v>518241.5</v>
      </c>
      <c r="K740" s="48">
        <v>101446.1</v>
      </c>
      <c r="L740" s="48">
        <v>21503.5</v>
      </c>
      <c r="M740" s="48">
        <v>128664.6</v>
      </c>
      <c r="N740" s="48">
        <v>3287.7</v>
      </c>
    </row>
    <row r="741" spans="1:14" ht="10.050000000000001" customHeight="1">
      <c r="A741" s="45" t="s">
        <v>83</v>
      </c>
      <c r="B741" s="46">
        <v>2015</v>
      </c>
      <c r="C741" s="45" t="s">
        <v>121</v>
      </c>
      <c r="D741" s="47">
        <v>4</v>
      </c>
      <c r="E741" s="48">
        <v>288</v>
      </c>
      <c r="F741" s="48">
        <v>0</v>
      </c>
      <c r="G741" s="48">
        <v>288</v>
      </c>
      <c r="H741" s="48">
        <v>5053.8999999999996</v>
      </c>
      <c r="I741" s="48">
        <v>70.5</v>
      </c>
      <c r="J741" s="48">
        <v>5124.3999999999996</v>
      </c>
      <c r="K741" s="48">
        <v>119.6</v>
      </c>
      <c r="L741" s="48">
        <v>0.9</v>
      </c>
      <c r="M741" s="48">
        <v>13.1</v>
      </c>
      <c r="N741" s="48">
        <v>0.3</v>
      </c>
    </row>
    <row r="742" spans="1:14" ht="10.050000000000001" customHeight="1">
      <c r="A742" s="45" t="s">
        <v>82</v>
      </c>
      <c r="B742" s="46">
        <v>2015</v>
      </c>
      <c r="C742" s="45" t="s">
        <v>121</v>
      </c>
      <c r="D742" s="47">
        <v>4</v>
      </c>
      <c r="E742" s="48">
        <v>4481.8</v>
      </c>
      <c r="F742" s="48">
        <v>0</v>
      </c>
      <c r="G742" s="48">
        <v>4481.8</v>
      </c>
      <c r="H742" s="48">
        <v>76682.3</v>
      </c>
      <c r="I742" s="48">
        <v>2322.6</v>
      </c>
      <c r="J742" s="48">
        <v>79004.899999999994</v>
      </c>
      <c r="K742" s="48">
        <v>3117.8</v>
      </c>
      <c r="L742" s="48">
        <v>447.6</v>
      </c>
      <c r="M742" s="48">
        <v>1778.8</v>
      </c>
      <c r="N742" s="48">
        <v>181.1</v>
      </c>
    </row>
    <row r="743" spans="1:14" ht="10.050000000000001" customHeight="1">
      <c r="A743" s="45" t="s">
        <v>81</v>
      </c>
      <c r="B743" s="46">
        <v>2015</v>
      </c>
      <c r="C743" s="45" t="s">
        <v>121</v>
      </c>
      <c r="D743" s="47">
        <v>4</v>
      </c>
      <c r="E743" s="48">
        <v>34804.9</v>
      </c>
      <c r="F743" s="48">
        <v>8</v>
      </c>
      <c r="G743" s="48">
        <v>34812.9</v>
      </c>
      <c r="H743" s="48">
        <v>302002</v>
      </c>
      <c r="I743" s="48">
        <v>3997.9</v>
      </c>
      <c r="J743" s="48">
        <v>305999.90000000002</v>
      </c>
      <c r="K743" s="48">
        <v>28267.9</v>
      </c>
      <c r="L743" s="48">
        <v>571.9</v>
      </c>
      <c r="M743" s="48">
        <v>20953.599999999999</v>
      </c>
      <c r="N743" s="48">
        <v>1437.2</v>
      </c>
    </row>
    <row r="744" spans="1:14" ht="10.050000000000001" customHeight="1">
      <c r="A744" s="45" t="s">
        <v>80</v>
      </c>
      <c r="B744" s="46">
        <v>2015</v>
      </c>
      <c r="C744" s="45" t="s">
        <v>121</v>
      </c>
      <c r="D744" s="47">
        <v>5</v>
      </c>
      <c r="E744" s="48">
        <v>145105.60000000001</v>
      </c>
      <c r="F744" s="48">
        <v>0.6</v>
      </c>
      <c r="G744" s="48">
        <v>145106.20000000001</v>
      </c>
      <c r="H744" s="48">
        <v>303361.40000000002</v>
      </c>
      <c r="I744" s="48">
        <v>14584.3</v>
      </c>
      <c r="J744" s="48">
        <v>317945.7</v>
      </c>
      <c r="K744" s="48">
        <v>29744.5</v>
      </c>
      <c r="L744" s="48">
        <v>13293.1</v>
      </c>
      <c r="M744" s="48">
        <v>79821.600000000006</v>
      </c>
      <c r="N744" s="48">
        <v>5578.8</v>
      </c>
    </row>
    <row r="745" spans="1:14" ht="10.050000000000001" customHeight="1">
      <c r="A745" s="45" t="s">
        <v>83</v>
      </c>
      <c r="B745" s="46">
        <v>2015</v>
      </c>
      <c r="C745" s="45" t="s">
        <v>121</v>
      </c>
      <c r="D745" s="47">
        <v>5</v>
      </c>
      <c r="E745" s="48">
        <v>375.9</v>
      </c>
      <c r="F745" s="48">
        <v>175.2</v>
      </c>
      <c r="G745" s="48">
        <v>551.1</v>
      </c>
      <c r="H745" s="48">
        <v>3526.6</v>
      </c>
      <c r="I745" s="48">
        <v>245.1</v>
      </c>
      <c r="J745" s="48">
        <v>3771.7</v>
      </c>
      <c r="K745" s="48">
        <v>42.9</v>
      </c>
      <c r="L745" s="48">
        <v>20.7</v>
      </c>
      <c r="M745" s="48">
        <v>97.4</v>
      </c>
      <c r="N745" s="48">
        <v>0</v>
      </c>
    </row>
    <row r="746" spans="1:14" ht="10.050000000000001" customHeight="1">
      <c r="A746" s="45" t="s">
        <v>82</v>
      </c>
      <c r="B746" s="46">
        <v>2015</v>
      </c>
      <c r="C746" s="45" t="s">
        <v>121</v>
      </c>
      <c r="D746" s="47">
        <v>5</v>
      </c>
      <c r="E746" s="48">
        <v>2413.1</v>
      </c>
      <c r="F746" s="48">
        <v>0</v>
      </c>
      <c r="G746" s="48">
        <v>2413.1</v>
      </c>
      <c r="H746" s="48">
        <v>59984.9</v>
      </c>
      <c r="I746" s="48">
        <v>2147.3000000000002</v>
      </c>
      <c r="J746" s="48">
        <v>62132.2</v>
      </c>
      <c r="K746" s="48">
        <v>2394</v>
      </c>
      <c r="L746" s="48">
        <v>707.8</v>
      </c>
      <c r="M746" s="48">
        <v>1219.5</v>
      </c>
      <c r="N746" s="48">
        <v>212.1</v>
      </c>
    </row>
    <row r="747" spans="1:14" ht="10.050000000000001" customHeight="1">
      <c r="A747" s="45" t="s">
        <v>81</v>
      </c>
      <c r="B747" s="46">
        <v>2015</v>
      </c>
      <c r="C747" s="45" t="s">
        <v>121</v>
      </c>
      <c r="D747" s="47">
        <v>5</v>
      </c>
      <c r="E747" s="48">
        <v>25944.6</v>
      </c>
      <c r="F747" s="48">
        <v>-0.6</v>
      </c>
      <c r="G747" s="48">
        <v>25944</v>
      </c>
      <c r="H747" s="48">
        <v>216053.5</v>
      </c>
      <c r="I747" s="48">
        <v>3826.2</v>
      </c>
      <c r="J747" s="48">
        <v>219879.7</v>
      </c>
      <c r="K747" s="48">
        <v>13191.6</v>
      </c>
      <c r="L747" s="48">
        <v>793.2</v>
      </c>
      <c r="M747" s="48">
        <v>12938.4</v>
      </c>
      <c r="N747" s="48">
        <v>3305.3</v>
      </c>
    </row>
    <row r="748" spans="1:14" ht="10.050000000000001" customHeight="1">
      <c r="A748" s="45" t="s">
        <v>80</v>
      </c>
      <c r="B748" s="46">
        <v>2015</v>
      </c>
      <c r="C748" s="45" t="s">
        <v>121</v>
      </c>
      <c r="D748" s="47">
        <v>6</v>
      </c>
      <c r="E748" s="48">
        <v>63822.5</v>
      </c>
      <c r="F748" s="48">
        <v>2</v>
      </c>
      <c r="G748" s="48">
        <v>63824.5</v>
      </c>
      <c r="H748" s="48">
        <v>60091.9</v>
      </c>
      <c r="I748" s="48">
        <v>5296.5</v>
      </c>
      <c r="J748" s="48">
        <v>65388.4</v>
      </c>
      <c r="K748" s="48">
        <v>13150.4</v>
      </c>
      <c r="L748" s="48">
        <v>9562.2000000000007</v>
      </c>
      <c r="M748" s="48">
        <v>22103.5</v>
      </c>
      <c r="N748" s="48">
        <v>4203.1000000000004</v>
      </c>
    </row>
    <row r="749" spans="1:14" ht="10.050000000000001" customHeight="1">
      <c r="A749" s="45" t="s">
        <v>83</v>
      </c>
      <c r="B749" s="46">
        <v>2015</v>
      </c>
      <c r="C749" s="45" t="s">
        <v>121</v>
      </c>
      <c r="D749" s="47">
        <v>6</v>
      </c>
      <c r="E749" s="48">
        <v>282.10000000000002</v>
      </c>
      <c r="F749" s="48">
        <v>0</v>
      </c>
      <c r="G749" s="48">
        <v>282.10000000000002</v>
      </c>
      <c r="H749" s="48">
        <v>1669.6</v>
      </c>
      <c r="I749" s="48">
        <v>243.4</v>
      </c>
      <c r="J749" s="48">
        <v>1913</v>
      </c>
      <c r="K749" s="48">
        <v>0</v>
      </c>
      <c r="L749" s="48">
        <v>0</v>
      </c>
      <c r="M749" s="48">
        <v>42.9</v>
      </c>
      <c r="N749" s="48">
        <v>0</v>
      </c>
    </row>
    <row r="750" spans="1:14" ht="10.050000000000001" customHeight="1">
      <c r="A750" s="45" t="s">
        <v>82</v>
      </c>
      <c r="B750" s="46">
        <v>2015</v>
      </c>
      <c r="C750" s="45" t="s">
        <v>121</v>
      </c>
      <c r="D750" s="47">
        <v>6</v>
      </c>
      <c r="E750" s="48">
        <v>4616.6000000000004</v>
      </c>
      <c r="F750" s="48">
        <v>1278.8</v>
      </c>
      <c r="G750" s="48">
        <v>5895.4</v>
      </c>
      <c r="H750" s="48">
        <v>42235.4</v>
      </c>
      <c r="I750" s="48">
        <v>1694.4</v>
      </c>
      <c r="J750" s="48">
        <v>43929.8</v>
      </c>
      <c r="K750" s="48">
        <v>1924.7</v>
      </c>
      <c r="L750" s="48">
        <v>1732.7</v>
      </c>
      <c r="M750" s="48">
        <v>1980.2</v>
      </c>
      <c r="N750" s="48">
        <v>371.9</v>
      </c>
    </row>
    <row r="751" spans="1:14" ht="10.050000000000001" customHeight="1">
      <c r="A751" s="45" t="s">
        <v>81</v>
      </c>
      <c r="B751" s="46">
        <v>2015</v>
      </c>
      <c r="C751" s="45" t="s">
        <v>121</v>
      </c>
      <c r="D751" s="47">
        <v>6</v>
      </c>
      <c r="E751" s="48">
        <v>20645.7</v>
      </c>
      <c r="F751" s="48">
        <v>-634.1</v>
      </c>
      <c r="G751" s="48">
        <v>20011.599999999999</v>
      </c>
      <c r="H751" s="48">
        <v>75524.899999999994</v>
      </c>
      <c r="I751" s="48">
        <v>3445.9</v>
      </c>
      <c r="J751" s="48">
        <v>78970.8</v>
      </c>
      <c r="K751" s="48">
        <v>5391.4</v>
      </c>
      <c r="L751" s="48">
        <v>579.79999999999995</v>
      </c>
      <c r="M751" s="48">
        <v>6998.8</v>
      </c>
      <c r="N751" s="48">
        <v>2343.6999999999998</v>
      </c>
    </row>
    <row r="752" spans="1:14" ht="10.050000000000001" customHeight="1">
      <c r="A752" s="45" t="s">
        <v>80</v>
      </c>
      <c r="B752" s="46">
        <v>2015</v>
      </c>
      <c r="C752" s="45" t="s">
        <v>122</v>
      </c>
      <c r="D752" s="47">
        <v>7</v>
      </c>
      <c r="E752" s="48">
        <v>2848246.3</v>
      </c>
      <c r="F752" s="48">
        <v>12007.5</v>
      </c>
      <c r="G752" s="48">
        <v>2860253.8</v>
      </c>
      <c r="H752" s="48">
        <v>2443761.2999999998</v>
      </c>
      <c r="I752" s="48">
        <v>13162.3</v>
      </c>
      <c r="J752" s="48">
        <v>2456923.6</v>
      </c>
      <c r="K752" s="48">
        <v>1213899.6000000001</v>
      </c>
      <c r="L752" s="48">
        <v>1426486.4</v>
      </c>
      <c r="M752" s="48">
        <v>208094.8</v>
      </c>
      <c r="N752" s="48">
        <v>4116.3999999999996</v>
      </c>
    </row>
    <row r="753" spans="1:14" ht="10.050000000000001" customHeight="1">
      <c r="A753" s="45" t="s">
        <v>83</v>
      </c>
      <c r="B753" s="46">
        <v>2015</v>
      </c>
      <c r="C753" s="45" t="s">
        <v>122</v>
      </c>
      <c r="D753" s="47">
        <v>7</v>
      </c>
      <c r="E753" s="48">
        <v>16354.4</v>
      </c>
      <c r="F753" s="48">
        <v>0</v>
      </c>
      <c r="G753" s="48">
        <v>16354.4</v>
      </c>
      <c r="H753" s="48">
        <v>16510.400000000001</v>
      </c>
      <c r="I753" s="48">
        <v>252.6</v>
      </c>
      <c r="J753" s="48">
        <v>16763</v>
      </c>
      <c r="K753" s="48">
        <v>1905.3</v>
      </c>
      <c r="L753" s="48">
        <v>3456.3</v>
      </c>
      <c r="M753" s="48">
        <v>1551</v>
      </c>
      <c r="N753" s="48">
        <v>0</v>
      </c>
    </row>
    <row r="754" spans="1:14" ht="10.050000000000001" customHeight="1">
      <c r="A754" s="45" t="s">
        <v>82</v>
      </c>
      <c r="B754" s="46">
        <v>2015</v>
      </c>
      <c r="C754" s="45" t="s">
        <v>122</v>
      </c>
      <c r="D754" s="47">
        <v>7</v>
      </c>
      <c r="E754" s="48">
        <v>2002.5</v>
      </c>
      <c r="F754" s="48">
        <v>0</v>
      </c>
      <c r="G754" s="48">
        <v>2002.5</v>
      </c>
      <c r="H754" s="48">
        <v>35736.5</v>
      </c>
      <c r="I754" s="48">
        <v>1647.5</v>
      </c>
      <c r="J754" s="48">
        <v>37384</v>
      </c>
      <c r="K754" s="48">
        <v>2608.4</v>
      </c>
      <c r="L754" s="48">
        <v>1095</v>
      </c>
      <c r="M754" s="48">
        <v>142.5</v>
      </c>
      <c r="N754" s="48">
        <v>118.9</v>
      </c>
    </row>
    <row r="755" spans="1:14" ht="10.050000000000001" customHeight="1">
      <c r="A755" s="45" t="s">
        <v>81</v>
      </c>
      <c r="B755" s="46">
        <v>2015</v>
      </c>
      <c r="C755" s="45" t="s">
        <v>122</v>
      </c>
      <c r="D755" s="47">
        <v>7</v>
      </c>
      <c r="E755" s="48">
        <v>1611.8</v>
      </c>
      <c r="F755" s="48">
        <v>0</v>
      </c>
      <c r="G755" s="48">
        <v>1611.8</v>
      </c>
      <c r="H755" s="48">
        <v>42101.9</v>
      </c>
      <c r="I755" s="48">
        <v>3367.8</v>
      </c>
      <c r="J755" s="48">
        <v>45469.7</v>
      </c>
      <c r="K755" s="48">
        <v>3510.5</v>
      </c>
      <c r="L755" s="48">
        <v>145</v>
      </c>
      <c r="M755" s="48">
        <v>564.70000000000005</v>
      </c>
      <c r="N755" s="48">
        <v>100.7</v>
      </c>
    </row>
    <row r="756" spans="1:14" ht="10.050000000000001" customHeight="1">
      <c r="A756" s="45" t="s">
        <v>80</v>
      </c>
      <c r="B756" s="46">
        <v>2015</v>
      </c>
      <c r="C756" s="45" t="s">
        <v>122</v>
      </c>
      <c r="D756" s="47">
        <v>8</v>
      </c>
      <c r="E756" s="48">
        <v>500065.6</v>
      </c>
      <c r="F756" s="48">
        <v>7.6</v>
      </c>
      <c r="G756" s="48">
        <v>500073.2</v>
      </c>
      <c r="H756" s="48">
        <v>2483016.5</v>
      </c>
      <c r="I756" s="48">
        <v>9935.7000000000007</v>
      </c>
      <c r="J756" s="48">
        <v>2492952.2000000002</v>
      </c>
      <c r="K756" s="48">
        <v>1123925.8999999999</v>
      </c>
      <c r="L756" s="48">
        <v>223157.7</v>
      </c>
      <c r="M756" s="48">
        <v>309123.09999999998</v>
      </c>
      <c r="N756" s="48">
        <v>4009.8</v>
      </c>
    </row>
    <row r="757" spans="1:14" ht="10.050000000000001" customHeight="1">
      <c r="A757" s="45" t="s">
        <v>83</v>
      </c>
      <c r="B757" s="46">
        <v>2015</v>
      </c>
      <c r="C757" s="45" t="s">
        <v>122</v>
      </c>
      <c r="D757" s="47">
        <v>8</v>
      </c>
      <c r="E757" s="48">
        <v>8183.1</v>
      </c>
      <c r="F757" s="48">
        <v>0</v>
      </c>
      <c r="G757" s="48">
        <v>8183.1</v>
      </c>
      <c r="H757" s="48">
        <v>22854.9</v>
      </c>
      <c r="I757" s="48">
        <v>214.4</v>
      </c>
      <c r="J757" s="48">
        <v>23069.3</v>
      </c>
      <c r="K757" s="48">
        <v>1382.8</v>
      </c>
      <c r="L757" s="48">
        <v>860.7</v>
      </c>
      <c r="M757" s="48">
        <v>1329.6</v>
      </c>
      <c r="N757" s="48">
        <v>63.8</v>
      </c>
    </row>
    <row r="758" spans="1:14" ht="10.050000000000001" customHeight="1">
      <c r="A758" s="45" t="s">
        <v>82</v>
      </c>
      <c r="B758" s="46">
        <v>2015</v>
      </c>
      <c r="C758" s="45" t="s">
        <v>122</v>
      </c>
      <c r="D758" s="47">
        <v>8</v>
      </c>
      <c r="E758" s="48">
        <v>1479.2</v>
      </c>
      <c r="F758" s="48">
        <v>60.6</v>
      </c>
      <c r="G758" s="48">
        <v>1539.8</v>
      </c>
      <c r="H758" s="48">
        <v>24647.1</v>
      </c>
      <c r="I758" s="48">
        <v>1445.2</v>
      </c>
      <c r="J758" s="48">
        <v>26092.3</v>
      </c>
      <c r="K758" s="48">
        <v>2765.8</v>
      </c>
      <c r="L758" s="48">
        <v>986.1</v>
      </c>
      <c r="M758" s="48">
        <v>783.1</v>
      </c>
      <c r="N758" s="48">
        <v>45.6</v>
      </c>
    </row>
    <row r="759" spans="1:14" ht="10.050000000000001" customHeight="1">
      <c r="A759" s="45" t="s">
        <v>81</v>
      </c>
      <c r="B759" s="46">
        <v>2015</v>
      </c>
      <c r="C759" s="45" t="s">
        <v>122</v>
      </c>
      <c r="D759" s="47">
        <v>8</v>
      </c>
      <c r="E759" s="48">
        <v>19801.900000000001</v>
      </c>
      <c r="F759" s="48">
        <v>817.3</v>
      </c>
      <c r="G759" s="48">
        <v>20619.2</v>
      </c>
      <c r="H759" s="48">
        <v>46781</v>
      </c>
      <c r="I759" s="48">
        <v>3444.1</v>
      </c>
      <c r="J759" s="48">
        <v>50225.1</v>
      </c>
      <c r="K759" s="48">
        <v>14155.2</v>
      </c>
      <c r="L759" s="48">
        <v>11038.1</v>
      </c>
      <c r="M759" s="48">
        <v>383</v>
      </c>
      <c r="N759" s="48">
        <v>10.7</v>
      </c>
    </row>
    <row r="760" spans="1:14" ht="10.050000000000001" customHeight="1">
      <c r="A760" s="45" t="s">
        <v>80</v>
      </c>
      <c r="B760" s="46">
        <v>2015</v>
      </c>
      <c r="C760" s="45" t="s">
        <v>122</v>
      </c>
      <c r="D760" s="47">
        <v>9</v>
      </c>
      <c r="E760" s="48">
        <v>182991.3</v>
      </c>
      <c r="F760" s="48">
        <v>29.3</v>
      </c>
      <c r="G760" s="48">
        <v>183020.6</v>
      </c>
      <c r="H760" s="48">
        <v>2315386.7000000002</v>
      </c>
      <c r="I760" s="48">
        <v>8838.6</v>
      </c>
      <c r="J760" s="48">
        <v>2324225.2999999998</v>
      </c>
      <c r="K760" s="48">
        <v>996707.9</v>
      </c>
      <c r="L760" s="48">
        <v>26856.3</v>
      </c>
      <c r="M760" s="48">
        <v>148078</v>
      </c>
      <c r="N760" s="48">
        <v>5415</v>
      </c>
    </row>
    <row r="761" spans="1:14" ht="10.050000000000001" customHeight="1">
      <c r="A761" s="45" t="s">
        <v>83</v>
      </c>
      <c r="B761" s="46">
        <v>2015</v>
      </c>
      <c r="C761" s="45" t="s">
        <v>122</v>
      </c>
      <c r="D761" s="47">
        <v>9</v>
      </c>
      <c r="E761" s="48">
        <v>2751.5</v>
      </c>
      <c r="F761" s="48">
        <v>0</v>
      </c>
      <c r="G761" s="48">
        <v>2751.5</v>
      </c>
      <c r="H761" s="48">
        <v>23227.1</v>
      </c>
      <c r="I761" s="48">
        <v>167</v>
      </c>
      <c r="J761" s="48">
        <v>23394.1</v>
      </c>
      <c r="K761" s="48">
        <v>836.3</v>
      </c>
      <c r="L761" s="48">
        <v>240.4</v>
      </c>
      <c r="M761" s="48">
        <v>779.4</v>
      </c>
      <c r="N761" s="48">
        <v>2.8</v>
      </c>
    </row>
    <row r="762" spans="1:14" ht="10.050000000000001" customHeight="1">
      <c r="A762" s="45" t="s">
        <v>82</v>
      </c>
      <c r="B762" s="46">
        <v>2015</v>
      </c>
      <c r="C762" s="45" t="s">
        <v>122</v>
      </c>
      <c r="D762" s="47">
        <v>9</v>
      </c>
      <c r="E762" s="48">
        <v>73342.2</v>
      </c>
      <c r="F762" s="48">
        <v>5589.1</v>
      </c>
      <c r="G762" s="48">
        <v>78931.300000000105</v>
      </c>
      <c r="H762" s="48">
        <v>89797.2</v>
      </c>
      <c r="I762" s="48">
        <v>6108</v>
      </c>
      <c r="J762" s="48">
        <v>95905.2</v>
      </c>
      <c r="K762" s="48">
        <v>10860.1</v>
      </c>
      <c r="L762" s="48">
        <v>9483.7000000000007</v>
      </c>
      <c r="M762" s="48">
        <v>1086.2</v>
      </c>
      <c r="N762" s="48">
        <v>303.10000000000002</v>
      </c>
    </row>
    <row r="763" spans="1:14" ht="10.050000000000001" customHeight="1">
      <c r="A763" s="45" t="s">
        <v>81</v>
      </c>
      <c r="B763" s="46">
        <v>2015</v>
      </c>
      <c r="C763" s="45" t="s">
        <v>122</v>
      </c>
      <c r="D763" s="47">
        <v>9</v>
      </c>
      <c r="E763" s="48">
        <v>526278.5</v>
      </c>
      <c r="F763" s="48">
        <v>4788.8</v>
      </c>
      <c r="G763" s="48">
        <v>531067.30000000005</v>
      </c>
      <c r="H763" s="48">
        <v>464949.9</v>
      </c>
      <c r="I763" s="48">
        <v>7464.8</v>
      </c>
      <c r="J763" s="48">
        <v>472414.7</v>
      </c>
      <c r="K763" s="48">
        <v>147691.70000000001</v>
      </c>
      <c r="L763" s="48">
        <v>166345.5</v>
      </c>
      <c r="M763" s="48">
        <v>30855.599999999999</v>
      </c>
      <c r="N763" s="48">
        <v>1953.2</v>
      </c>
    </row>
    <row r="764" spans="1:14" ht="10.050000000000001" customHeight="1">
      <c r="A764" s="45" t="s">
        <v>80</v>
      </c>
      <c r="B764" s="46">
        <v>2015</v>
      </c>
      <c r="C764" s="45" t="s">
        <v>122</v>
      </c>
      <c r="D764" s="47">
        <v>10</v>
      </c>
      <c r="E764" s="48">
        <v>162930</v>
      </c>
      <c r="F764" s="48">
        <v>12.2</v>
      </c>
      <c r="G764" s="48">
        <v>162942.20000000001</v>
      </c>
      <c r="H764" s="48">
        <v>2126632</v>
      </c>
      <c r="I764" s="48">
        <v>8808.4</v>
      </c>
      <c r="J764" s="48">
        <v>2135440.4</v>
      </c>
      <c r="K764" s="48">
        <v>874160.2</v>
      </c>
      <c r="L764" s="48">
        <v>8435.7999999999993</v>
      </c>
      <c r="M764" s="48">
        <v>120996.2</v>
      </c>
      <c r="N764" s="48">
        <v>10568.4</v>
      </c>
    </row>
    <row r="765" spans="1:14" ht="10.050000000000001" customHeight="1">
      <c r="A765" s="45" t="s">
        <v>83</v>
      </c>
      <c r="B765" s="46">
        <v>2015</v>
      </c>
      <c r="C765" s="45" t="s">
        <v>122</v>
      </c>
      <c r="D765" s="47">
        <v>10</v>
      </c>
      <c r="E765" s="48">
        <v>1332.6</v>
      </c>
      <c r="F765" s="48">
        <v>0</v>
      </c>
      <c r="G765" s="48">
        <v>1332.6</v>
      </c>
      <c r="H765" s="48">
        <v>21802.9</v>
      </c>
      <c r="I765" s="48">
        <v>166.8</v>
      </c>
      <c r="J765" s="48">
        <v>21969.7</v>
      </c>
      <c r="K765" s="48">
        <v>417.4</v>
      </c>
      <c r="L765" s="48">
        <v>71.599999999999994</v>
      </c>
      <c r="M765" s="48">
        <v>490.4</v>
      </c>
      <c r="N765" s="48">
        <v>0</v>
      </c>
    </row>
    <row r="766" spans="1:14" ht="10.050000000000001" customHeight="1">
      <c r="A766" s="45" t="s">
        <v>82</v>
      </c>
      <c r="B766" s="46">
        <v>2015</v>
      </c>
      <c r="C766" s="45" t="s">
        <v>122</v>
      </c>
      <c r="D766" s="47">
        <v>10</v>
      </c>
      <c r="E766" s="48">
        <v>115600.6</v>
      </c>
      <c r="F766" s="48">
        <v>7834</v>
      </c>
      <c r="G766" s="48">
        <v>123434.6</v>
      </c>
      <c r="H766" s="48">
        <v>192241.6</v>
      </c>
      <c r="I766" s="48">
        <v>13268.3</v>
      </c>
      <c r="J766" s="48">
        <v>205509.9</v>
      </c>
      <c r="K766" s="48">
        <v>22823.599999999999</v>
      </c>
      <c r="L766" s="48">
        <v>19087.099999999999</v>
      </c>
      <c r="M766" s="48">
        <v>6288.9</v>
      </c>
      <c r="N766" s="48">
        <v>734.8</v>
      </c>
    </row>
    <row r="767" spans="1:14" ht="10.050000000000001" customHeight="1">
      <c r="A767" s="45" t="s">
        <v>81</v>
      </c>
      <c r="B767" s="46">
        <v>2015</v>
      </c>
      <c r="C767" s="45" t="s">
        <v>122</v>
      </c>
      <c r="D767" s="47">
        <v>10</v>
      </c>
      <c r="E767" s="48">
        <v>344660.4</v>
      </c>
      <c r="F767" s="48">
        <v>988.8</v>
      </c>
      <c r="G767" s="48">
        <v>345649.2</v>
      </c>
      <c r="H767" s="48">
        <v>673772.30000000098</v>
      </c>
      <c r="I767" s="48">
        <v>7328.5</v>
      </c>
      <c r="J767" s="48">
        <v>681100.80000000098</v>
      </c>
      <c r="K767" s="48">
        <v>160910.39999999999</v>
      </c>
      <c r="L767" s="48">
        <v>91911</v>
      </c>
      <c r="M767" s="48">
        <v>74796</v>
      </c>
      <c r="N767" s="48">
        <v>4047.2</v>
      </c>
    </row>
    <row r="768" spans="1:14" ht="10.050000000000001" customHeight="1">
      <c r="A768" s="45" t="s">
        <v>80</v>
      </c>
      <c r="B768" s="46">
        <v>2015</v>
      </c>
      <c r="C768" s="45" t="s">
        <v>122</v>
      </c>
      <c r="D768" s="47">
        <v>11</v>
      </c>
      <c r="E768" s="48">
        <v>224381.6</v>
      </c>
      <c r="F768" s="48">
        <v>610.9</v>
      </c>
      <c r="G768" s="48">
        <v>224992.5</v>
      </c>
      <c r="H768" s="48">
        <v>1997808.1</v>
      </c>
      <c r="I768" s="48">
        <v>8814.7000000000007</v>
      </c>
      <c r="J768" s="48">
        <v>2006622.8</v>
      </c>
      <c r="K768" s="48">
        <v>717829.4</v>
      </c>
      <c r="L768" s="48">
        <v>14801.4</v>
      </c>
      <c r="M768" s="48">
        <v>166498.6</v>
      </c>
      <c r="N768" s="48">
        <v>4634</v>
      </c>
    </row>
    <row r="769" spans="1:14" ht="10.050000000000001" customHeight="1">
      <c r="A769" s="45" t="s">
        <v>83</v>
      </c>
      <c r="B769" s="46">
        <v>2015</v>
      </c>
      <c r="C769" s="45" t="s">
        <v>122</v>
      </c>
      <c r="D769" s="47">
        <v>11</v>
      </c>
      <c r="E769" s="48">
        <v>842</v>
      </c>
      <c r="F769" s="48">
        <v>0</v>
      </c>
      <c r="G769" s="48">
        <v>842</v>
      </c>
      <c r="H769" s="48">
        <v>20730.2</v>
      </c>
      <c r="I769" s="48">
        <v>161.5</v>
      </c>
      <c r="J769" s="48">
        <v>20891.7</v>
      </c>
      <c r="K769" s="48">
        <v>270.7</v>
      </c>
      <c r="L769" s="48">
        <v>13.8</v>
      </c>
      <c r="M769" s="48">
        <v>160</v>
      </c>
      <c r="N769" s="48">
        <v>0.5</v>
      </c>
    </row>
    <row r="770" spans="1:14" ht="10.050000000000001" customHeight="1">
      <c r="A770" s="45" t="s">
        <v>82</v>
      </c>
      <c r="B770" s="46">
        <v>2015</v>
      </c>
      <c r="C770" s="45" t="s">
        <v>122</v>
      </c>
      <c r="D770" s="47">
        <v>11</v>
      </c>
      <c r="E770" s="48">
        <v>25223.4</v>
      </c>
      <c r="F770" s="48">
        <v>1650.5</v>
      </c>
      <c r="G770" s="48">
        <v>26873.9</v>
      </c>
      <c r="H770" s="48">
        <v>198912.4</v>
      </c>
      <c r="I770" s="48">
        <v>14419.5</v>
      </c>
      <c r="J770" s="48">
        <v>213331.9</v>
      </c>
      <c r="K770" s="48">
        <v>19654.5</v>
      </c>
      <c r="L770" s="48">
        <v>4288.1000000000004</v>
      </c>
      <c r="M770" s="48">
        <v>5999.7</v>
      </c>
      <c r="N770" s="48">
        <v>1348.6</v>
      </c>
    </row>
    <row r="771" spans="1:14" ht="10.050000000000001" customHeight="1">
      <c r="A771" s="45" t="s">
        <v>81</v>
      </c>
      <c r="B771" s="46">
        <v>2015</v>
      </c>
      <c r="C771" s="45" t="s">
        <v>122</v>
      </c>
      <c r="D771" s="47">
        <v>11</v>
      </c>
      <c r="E771" s="48">
        <v>73115.399999999994</v>
      </c>
      <c r="F771" s="48">
        <v>-17.5</v>
      </c>
      <c r="G771" s="48">
        <v>73097.899999999994</v>
      </c>
      <c r="H771" s="48">
        <v>653815.30000000005</v>
      </c>
      <c r="I771" s="48">
        <v>6640.2</v>
      </c>
      <c r="J771" s="48">
        <v>660455.5</v>
      </c>
      <c r="K771" s="48">
        <v>114734.5</v>
      </c>
      <c r="L771" s="48">
        <v>9816.5</v>
      </c>
      <c r="M771" s="48">
        <v>54028.4</v>
      </c>
      <c r="N771" s="48">
        <v>1934.7</v>
      </c>
    </row>
    <row r="772" spans="1:14" ht="10.050000000000001" customHeight="1">
      <c r="A772" s="45" t="s">
        <v>80</v>
      </c>
      <c r="B772" s="46">
        <v>2015</v>
      </c>
      <c r="C772" s="45" t="s">
        <v>122</v>
      </c>
      <c r="D772" s="47">
        <v>12</v>
      </c>
      <c r="E772" s="48">
        <v>201963</v>
      </c>
      <c r="F772" s="48">
        <v>119.9</v>
      </c>
      <c r="G772" s="48">
        <v>202082.9</v>
      </c>
      <c r="H772" s="48">
        <v>1765844.8</v>
      </c>
      <c r="I772" s="48">
        <v>8795.6</v>
      </c>
      <c r="J772" s="48">
        <v>1774640.4</v>
      </c>
      <c r="K772" s="48">
        <v>627668.30000000005</v>
      </c>
      <c r="L772" s="48">
        <v>31923.5</v>
      </c>
      <c r="M772" s="48">
        <v>118158.1</v>
      </c>
      <c r="N772" s="48">
        <v>3752.2</v>
      </c>
    </row>
    <row r="773" spans="1:14" ht="10.050000000000001" customHeight="1">
      <c r="A773" s="45" t="s">
        <v>83</v>
      </c>
      <c r="B773" s="46">
        <v>2015</v>
      </c>
      <c r="C773" s="45" t="s">
        <v>122</v>
      </c>
      <c r="D773" s="47">
        <v>12</v>
      </c>
      <c r="E773" s="48">
        <v>680</v>
      </c>
      <c r="F773" s="48">
        <v>438.2</v>
      </c>
      <c r="G773" s="48">
        <v>1118.2</v>
      </c>
      <c r="H773" s="48">
        <v>18906.2</v>
      </c>
      <c r="I773" s="48">
        <v>597.9</v>
      </c>
      <c r="J773" s="48">
        <v>19504.099999999999</v>
      </c>
      <c r="K773" s="48">
        <v>229.2</v>
      </c>
      <c r="L773" s="48">
        <v>18.2</v>
      </c>
      <c r="M773" s="48">
        <v>64.400000000000006</v>
      </c>
      <c r="N773" s="48">
        <v>0.1</v>
      </c>
    </row>
    <row r="774" spans="1:14" ht="10.050000000000001" customHeight="1">
      <c r="A774" s="45" t="s">
        <v>82</v>
      </c>
      <c r="B774" s="46">
        <v>2015</v>
      </c>
      <c r="C774" s="45" t="s">
        <v>122</v>
      </c>
      <c r="D774" s="47">
        <v>12</v>
      </c>
      <c r="E774" s="48">
        <v>6981.4</v>
      </c>
      <c r="F774" s="48">
        <v>0</v>
      </c>
      <c r="G774" s="48">
        <v>6981.4</v>
      </c>
      <c r="H774" s="48">
        <v>188114.9</v>
      </c>
      <c r="I774" s="48">
        <v>13077.8</v>
      </c>
      <c r="J774" s="48">
        <v>201192.7</v>
      </c>
      <c r="K774" s="48">
        <v>17234.099999999999</v>
      </c>
      <c r="L774" s="48">
        <v>1079.5</v>
      </c>
      <c r="M774" s="48">
        <v>2654.8</v>
      </c>
      <c r="N774" s="48">
        <v>873.9</v>
      </c>
    </row>
    <row r="775" spans="1:14" ht="10.050000000000001" customHeight="1">
      <c r="A775" s="45" t="s">
        <v>81</v>
      </c>
      <c r="B775" s="46">
        <v>2015</v>
      </c>
      <c r="C775" s="45" t="s">
        <v>122</v>
      </c>
      <c r="D775" s="47">
        <v>12</v>
      </c>
      <c r="E775" s="48">
        <v>33361.199999999997</v>
      </c>
      <c r="F775" s="48">
        <v>71.400000000000006</v>
      </c>
      <c r="G775" s="48">
        <v>33432.6</v>
      </c>
      <c r="H775" s="48">
        <v>586020.69999999995</v>
      </c>
      <c r="I775" s="48">
        <v>5576.9</v>
      </c>
      <c r="J775" s="48">
        <v>591597.6</v>
      </c>
      <c r="K775" s="48">
        <v>87894.800000000105</v>
      </c>
      <c r="L775" s="48">
        <v>807</v>
      </c>
      <c r="M775" s="48">
        <v>21566</v>
      </c>
      <c r="N775" s="48">
        <v>6110.7</v>
      </c>
    </row>
    <row r="776" spans="1:14" ht="10.050000000000001" customHeight="1">
      <c r="A776" s="45" t="s">
        <v>80</v>
      </c>
      <c r="B776" s="46">
        <v>2016</v>
      </c>
      <c r="C776" s="45" t="s">
        <v>122</v>
      </c>
      <c r="D776" s="47">
        <v>1</v>
      </c>
      <c r="E776" s="48">
        <v>175344.8</v>
      </c>
      <c r="F776" s="48">
        <v>0</v>
      </c>
      <c r="G776" s="48">
        <v>175344.8</v>
      </c>
      <c r="H776" s="48">
        <v>1518923.1</v>
      </c>
      <c r="I776" s="48">
        <v>8655.1</v>
      </c>
      <c r="J776" s="48">
        <v>1527578.2</v>
      </c>
      <c r="K776" s="48">
        <v>532644.19999999995</v>
      </c>
      <c r="L776" s="48">
        <v>15415.5</v>
      </c>
      <c r="M776" s="48">
        <v>107903.4</v>
      </c>
      <c r="N776" s="48">
        <v>2535.8000000000002</v>
      </c>
    </row>
    <row r="777" spans="1:14" ht="10.050000000000001" customHeight="1">
      <c r="A777" s="45" t="s">
        <v>83</v>
      </c>
      <c r="B777" s="46">
        <v>2016</v>
      </c>
      <c r="C777" s="45" t="s">
        <v>122</v>
      </c>
      <c r="D777" s="47">
        <v>1</v>
      </c>
      <c r="E777" s="48">
        <v>495.3</v>
      </c>
      <c r="F777" s="48">
        <v>248.4</v>
      </c>
      <c r="G777" s="48">
        <v>743.7</v>
      </c>
      <c r="H777" s="48">
        <v>17475.8</v>
      </c>
      <c r="I777" s="48">
        <v>366.7</v>
      </c>
      <c r="J777" s="48">
        <v>17842.5</v>
      </c>
      <c r="K777" s="48">
        <v>200.4</v>
      </c>
      <c r="L777" s="48">
        <v>10.199999999999999</v>
      </c>
      <c r="M777" s="48">
        <v>12.7</v>
      </c>
      <c r="N777" s="48">
        <v>26.3</v>
      </c>
    </row>
    <row r="778" spans="1:14" ht="10.050000000000001" customHeight="1">
      <c r="A778" s="45" t="s">
        <v>82</v>
      </c>
      <c r="B778" s="46">
        <v>2016</v>
      </c>
      <c r="C778" s="45" t="s">
        <v>122</v>
      </c>
      <c r="D778" s="47">
        <v>1</v>
      </c>
      <c r="E778" s="48">
        <v>4982.5</v>
      </c>
      <c r="F778" s="48">
        <v>476.5</v>
      </c>
      <c r="G778" s="48">
        <v>5459</v>
      </c>
      <c r="H778" s="48">
        <v>173795.7</v>
      </c>
      <c r="I778" s="48">
        <v>11727.7</v>
      </c>
      <c r="J778" s="48">
        <v>185523.4</v>
      </c>
      <c r="K778" s="48">
        <v>14580.2</v>
      </c>
      <c r="L778" s="48">
        <v>723.5</v>
      </c>
      <c r="M778" s="48">
        <v>3092.5</v>
      </c>
      <c r="N778" s="48">
        <v>284.60000000000002</v>
      </c>
    </row>
    <row r="779" spans="1:14" ht="10.050000000000001" customHeight="1">
      <c r="A779" s="45" t="s">
        <v>81</v>
      </c>
      <c r="B779" s="46">
        <v>2016</v>
      </c>
      <c r="C779" s="45" t="s">
        <v>122</v>
      </c>
      <c r="D779" s="47">
        <v>1</v>
      </c>
      <c r="E779" s="48">
        <v>26437.9</v>
      </c>
      <c r="F779" s="48">
        <v>762</v>
      </c>
      <c r="G779" s="48">
        <v>27199.9</v>
      </c>
      <c r="H779" s="48">
        <v>486671.4</v>
      </c>
      <c r="I779" s="48">
        <v>4660.8</v>
      </c>
      <c r="J779" s="48">
        <v>491332.2</v>
      </c>
      <c r="K779" s="48">
        <v>69753</v>
      </c>
      <c r="L779" s="48">
        <v>871.2</v>
      </c>
      <c r="M779" s="48">
        <v>17573.5</v>
      </c>
      <c r="N779" s="48">
        <v>1440.4</v>
      </c>
    </row>
    <row r="780" spans="1:14" ht="10.050000000000001" customHeight="1">
      <c r="A780" s="45" t="s">
        <v>80</v>
      </c>
      <c r="B780" s="46">
        <v>2016</v>
      </c>
      <c r="C780" s="45" t="s">
        <v>122</v>
      </c>
      <c r="D780" s="47">
        <v>2</v>
      </c>
      <c r="E780" s="48">
        <v>199954.1</v>
      </c>
      <c r="F780" s="48">
        <v>247.2</v>
      </c>
      <c r="G780" s="48">
        <v>200201.3</v>
      </c>
      <c r="H780" s="48">
        <v>1286645.5</v>
      </c>
      <c r="I780" s="48">
        <v>7453.7</v>
      </c>
      <c r="J780" s="48">
        <v>1294099.2</v>
      </c>
      <c r="K780" s="48">
        <v>416830.9</v>
      </c>
      <c r="L780" s="48">
        <v>17597.900000000001</v>
      </c>
      <c r="M780" s="48">
        <v>129006.8</v>
      </c>
      <c r="N780" s="48">
        <v>4405.3999999999996</v>
      </c>
    </row>
    <row r="781" spans="1:14" ht="10.050000000000001" customHeight="1">
      <c r="A781" s="45" t="s">
        <v>83</v>
      </c>
      <c r="B781" s="46">
        <v>2016</v>
      </c>
      <c r="C781" s="45" t="s">
        <v>122</v>
      </c>
      <c r="D781" s="47">
        <v>2</v>
      </c>
      <c r="E781" s="48">
        <v>516.4</v>
      </c>
      <c r="F781" s="48">
        <v>0</v>
      </c>
      <c r="G781" s="48">
        <v>516.4</v>
      </c>
      <c r="H781" s="48">
        <v>15618.9</v>
      </c>
      <c r="I781" s="48">
        <v>258.60000000000002</v>
      </c>
      <c r="J781" s="48">
        <v>15877.5</v>
      </c>
      <c r="K781" s="48">
        <v>129</v>
      </c>
      <c r="L781" s="48">
        <v>14.2</v>
      </c>
      <c r="M781" s="48">
        <v>28.3</v>
      </c>
      <c r="N781" s="48">
        <v>57.3</v>
      </c>
    </row>
    <row r="782" spans="1:14" ht="10.050000000000001" customHeight="1">
      <c r="A782" s="45" t="s">
        <v>82</v>
      </c>
      <c r="B782" s="46">
        <v>2016</v>
      </c>
      <c r="C782" s="45" t="s">
        <v>122</v>
      </c>
      <c r="D782" s="47">
        <v>2</v>
      </c>
      <c r="E782" s="48">
        <v>3836.4</v>
      </c>
      <c r="F782" s="48">
        <v>179.2</v>
      </c>
      <c r="G782" s="48">
        <v>4015.6</v>
      </c>
      <c r="H782" s="48">
        <v>149085.6</v>
      </c>
      <c r="I782" s="48">
        <v>9447.1</v>
      </c>
      <c r="J782" s="48">
        <v>158532.70000000001</v>
      </c>
      <c r="K782" s="48">
        <v>10919.2</v>
      </c>
      <c r="L782" s="48">
        <v>350.5</v>
      </c>
      <c r="M782" s="48">
        <v>2173.5</v>
      </c>
      <c r="N782" s="48">
        <v>1971.6</v>
      </c>
    </row>
    <row r="783" spans="1:14" ht="10.050000000000001" customHeight="1">
      <c r="A783" s="45" t="s">
        <v>81</v>
      </c>
      <c r="B783" s="46">
        <v>2016</v>
      </c>
      <c r="C783" s="45" t="s">
        <v>122</v>
      </c>
      <c r="D783" s="47">
        <v>2</v>
      </c>
      <c r="E783" s="48">
        <v>19214.400000000001</v>
      </c>
      <c r="F783" s="48">
        <v>2546.5</v>
      </c>
      <c r="G783" s="48">
        <v>21760.9</v>
      </c>
      <c r="H783" s="48">
        <v>419876.6</v>
      </c>
      <c r="I783" s="48">
        <v>4367.3</v>
      </c>
      <c r="J783" s="48">
        <v>424243.9</v>
      </c>
      <c r="K783" s="48">
        <v>57777.1</v>
      </c>
      <c r="L783" s="48">
        <v>428.9</v>
      </c>
      <c r="M783" s="48">
        <v>11568</v>
      </c>
      <c r="N783" s="48">
        <v>836.3</v>
      </c>
    </row>
    <row r="784" spans="1:14" ht="10.050000000000001" customHeight="1">
      <c r="A784" s="45" t="s">
        <v>80</v>
      </c>
      <c r="B784" s="46">
        <v>2016</v>
      </c>
      <c r="C784" s="45" t="s">
        <v>122</v>
      </c>
      <c r="D784" s="47">
        <v>3</v>
      </c>
      <c r="E784" s="48">
        <v>205511.8</v>
      </c>
      <c r="F784" s="48">
        <v>0</v>
      </c>
      <c r="G784" s="48">
        <v>205511.8</v>
      </c>
      <c r="H784" s="48">
        <v>974218</v>
      </c>
      <c r="I784" s="48">
        <v>6549.6</v>
      </c>
      <c r="J784" s="48">
        <v>980767.60000000102</v>
      </c>
      <c r="K784" s="48">
        <v>285761.8</v>
      </c>
      <c r="L784" s="48">
        <v>14864.7</v>
      </c>
      <c r="M784" s="48">
        <v>142322</v>
      </c>
      <c r="N784" s="48">
        <v>3168.9</v>
      </c>
    </row>
    <row r="785" spans="1:14" ht="10.050000000000001" customHeight="1">
      <c r="A785" s="45" t="s">
        <v>83</v>
      </c>
      <c r="B785" s="46">
        <v>2016</v>
      </c>
      <c r="C785" s="45" t="s">
        <v>122</v>
      </c>
      <c r="D785" s="47">
        <v>3</v>
      </c>
      <c r="E785" s="48">
        <v>536.1</v>
      </c>
      <c r="F785" s="48">
        <v>505.5</v>
      </c>
      <c r="G785" s="48">
        <v>1041.5999999999999</v>
      </c>
      <c r="H785" s="48">
        <v>12725.8</v>
      </c>
      <c r="I785" s="48">
        <v>399.6</v>
      </c>
      <c r="J785" s="48">
        <v>13125.4</v>
      </c>
      <c r="K785" s="48">
        <v>94</v>
      </c>
      <c r="L785" s="48">
        <v>0</v>
      </c>
      <c r="M785" s="48">
        <v>8.9</v>
      </c>
      <c r="N785" s="48">
        <v>26.1</v>
      </c>
    </row>
    <row r="786" spans="1:14" ht="10.050000000000001" customHeight="1">
      <c r="A786" s="45" t="s">
        <v>82</v>
      </c>
      <c r="B786" s="46">
        <v>2016</v>
      </c>
      <c r="C786" s="45" t="s">
        <v>122</v>
      </c>
      <c r="D786" s="47">
        <v>3</v>
      </c>
      <c r="E786" s="48">
        <v>4595.8</v>
      </c>
      <c r="F786" s="48">
        <v>0</v>
      </c>
      <c r="G786" s="48">
        <v>4595.8</v>
      </c>
      <c r="H786" s="48">
        <v>131257.4</v>
      </c>
      <c r="I786" s="48">
        <v>7135.3</v>
      </c>
      <c r="J786" s="48">
        <v>138392.70000000001</v>
      </c>
      <c r="K786" s="48">
        <v>7861.5</v>
      </c>
      <c r="L786" s="48">
        <v>792.6</v>
      </c>
      <c r="M786" s="48">
        <v>2379.1</v>
      </c>
      <c r="N786" s="48">
        <v>1470.9</v>
      </c>
    </row>
    <row r="787" spans="1:14" ht="10.050000000000001" customHeight="1">
      <c r="A787" s="45" t="s">
        <v>81</v>
      </c>
      <c r="B787" s="46">
        <v>2016</v>
      </c>
      <c r="C787" s="45" t="s">
        <v>122</v>
      </c>
      <c r="D787" s="47">
        <v>3</v>
      </c>
      <c r="E787" s="48">
        <v>17783</v>
      </c>
      <c r="F787" s="48">
        <v>279.5</v>
      </c>
      <c r="G787" s="48">
        <v>18062.5</v>
      </c>
      <c r="H787" s="48">
        <v>341293.7</v>
      </c>
      <c r="I787" s="48">
        <v>4002.8</v>
      </c>
      <c r="J787" s="48">
        <v>345296.5</v>
      </c>
      <c r="K787" s="48">
        <v>46715.3</v>
      </c>
      <c r="L787" s="48">
        <v>346.7</v>
      </c>
      <c r="M787" s="48">
        <v>10588.4</v>
      </c>
      <c r="N787" s="48">
        <v>820.6</v>
      </c>
    </row>
    <row r="788" spans="1:14" ht="10.050000000000001" customHeight="1">
      <c r="A788" s="45" t="s">
        <v>80</v>
      </c>
      <c r="B788" s="46">
        <v>2016</v>
      </c>
      <c r="C788" s="45" t="s">
        <v>122</v>
      </c>
      <c r="D788" s="47">
        <v>4</v>
      </c>
      <c r="E788" s="48">
        <v>248181.7</v>
      </c>
      <c r="F788" s="48">
        <v>0</v>
      </c>
      <c r="G788" s="48">
        <v>248181.7</v>
      </c>
      <c r="H788" s="48">
        <v>686710</v>
      </c>
      <c r="I788" s="48">
        <v>7281.1</v>
      </c>
      <c r="J788" s="48">
        <v>693991.1</v>
      </c>
      <c r="K788" s="48">
        <v>133340.5</v>
      </c>
      <c r="L788" s="48">
        <v>23846.7</v>
      </c>
      <c r="M788" s="48">
        <v>174552.9</v>
      </c>
      <c r="N788" s="48">
        <v>2025.5</v>
      </c>
    </row>
    <row r="789" spans="1:14" ht="10.050000000000001" customHeight="1">
      <c r="A789" s="45" t="s">
        <v>83</v>
      </c>
      <c r="B789" s="46">
        <v>2016</v>
      </c>
      <c r="C789" s="45" t="s">
        <v>122</v>
      </c>
      <c r="D789" s="47">
        <v>4</v>
      </c>
      <c r="E789" s="48">
        <v>215.1</v>
      </c>
      <c r="F789" s="48">
        <v>0</v>
      </c>
      <c r="G789" s="48">
        <v>215.1</v>
      </c>
      <c r="H789" s="48">
        <v>10807.1</v>
      </c>
      <c r="I789" s="48">
        <v>397.9</v>
      </c>
      <c r="J789" s="48">
        <v>11205</v>
      </c>
      <c r="K789" s="48">
        <v>53.1</v>
      </c>
      <c r="L789" s="48">
        <v>0</v>
      </c>
      <c r="M789" s="48">
        <v>0</v>
      </c>
      <c r="N789" s="48">
        <v>40.799999999999997</v>
      </c>
    </row>
    <row r="790" spans="1:14" ht="10.050000000000001" customHeight="1">
      <c r="A790" s="45" t="s">
        <v>82</v>
      </c>
      <c r="B790" s="46">
        <v>2016</v>
      </c>
      <c r="C790" s="45" t="s">
        <v>122</v>
      </c>
      <c r="D790" s="47">
        <v>4</v>
      </c>
      <c r="E790" s="48">
        <v>4686.5</v>
      </c>
      <c r="F790" s="48">
        <v>0</v>
      </c>
      <c r="G790" s="48">
        <v>4686.5</v>
      </c>
      <c r="H790" s="48">
        <v>105819.2</v>
      </c>
      <c r="I790" s="48">
        <v>5569.2</v>
      </c>
      <c r="J790" s="48">
        <v>111388.4</v>
      </c>
      <c r="K790" s="48">
        <v>5105.5</v>
      </c>
      <c r="L790" s="48">
        <v>793.3</v>
      </c>
      <c r="M790" s="48">
        <v>2127.5</v>
      </c>
      <c r="N790" s="48">
        <v>1421.9</v>
      </c>
    </row>
    <row r="791" spans="1:14" ht="10.050000000000001" customHeight="1">
      <c r="A791" s="45" t="s">
        <v>81</v>
      </c>
      <c r="B791" s="46">
        <v>2016</v>
      </c>
      <c r="C791" s="45" t="s">
        <v>122</v>
      </c>
      <c r="D791" s="47">
        <v>4</v>
      </c>
      <c r="E791" s="48">
        <v>15009.1</v>
      </c>
      <c r="F791" s="48">
        <v>0</v>
      </c>
      <c r="G791" s="48">
        <v>15009.1</v>
      </c>
      <c r="H791" s="48">
        <v>247783</v>
      </c>
      <c r="I791" s="48">
        <v>3951.4</v>
      </c>
      <c r="J791" s="48">
        <v>251734.39999999999</v>
      </c>
      <c r="K791" s="48">
        <v>36286.6</v>
      </c>
      <c r="L791" s="48">
        <v>133.80000000000001</v>
      </c>
      <c r="M791" s="48">
        <v>9379</v>
      </c>
      <c r="N791" s="48">
        <v>1182.9000000000001</v>
      </c>
    </row>
    <row r="792" spans="1:14" ht="10.050000000000001" customHeight="1">
      <c r="A792" s="45" t="s">
        <v>80</v>
      </c>
      <c r="B792" s="46">
        <v>2016</v>
      </c>
      <c r="C792" s="45" t="s">
        <v>122</v>
      </c>
      <c r="D792" s="47">
        <v>5</v>
      </c>
      <c r="E792" s="48">
        <v>163500.70000000001</v>
      </c>
      <c r="F792" s="48">
        <v>0</v>
      </c>
      <c r="G792" s="48">
        <v>163500.70000000001</v>
      </c>
      <c r="H792" s="48">
        <v>409157</v>
      </c>
      <c r="I792" s="48">
        <v>5686.4</v>
      </c>
      <c r="J792" s="48">
        <v>414843.4</v>
      </c>
      <c r="K792" s="48">
        <v>45822.9</v>
      </c>
      <c r="L792" s="48">
        <v>11628.9</v>
      </c>
      <c r="M792" s="48">
        <v>96633.5</v>
      </c>
      <c r="N792" s="48">
        <v>2513</v>
      </c>
    </row>
    <row r="793" spans="1:14" ht="10.050000000000001" customHeight="1">
      <c r="A793" s="45" t="s">
        <v>83</v>
      </c>
      <c r="B793" s="46">
        <v>2016</v>
      </c>
      <c r="C793" s="45" t="s">
        <v>122</v>
      </c>
      <c r="D793" s="47">
        <v>5</v>
      </c>
      <c r="E793" s="48">
        <v>118.9</v>
      </c>
      <c r="F793" s="48">
        <v>197.9</v>
      </c>
      <c r="G793" s="48">
        <v>316.8</v>
      </c>
      <c r="H793" s="48">
        <v>9072.2000000000007</v>
      </c>
      <c r="I793" s="48">
        <v>357.9</v>
      </c>
      <c r="J793" s="48">
        <v>9430.1</v>
      </c>
      <c r="K793" s="48">
        <v>31</v>
      </c>
      <c r="L793" s="48">
        <v>0</v>
      </c>
      <c r="M793" s="48">
        <v>0</v>
      </c>
      <c r="N793" s="48">
        <v>22.1</v>
      </c>
    </row>
    <row r="794" spans="1:14" ht="10.050000000000001" customHeight="1">
      <c r="A794" s="45" t="s">
        <v>82</v>
      </c>
      <c r="B794" s="46">
        <v>2016</v>
      </c>
      <c r="C794" s="45" t="s">
        <v>122</v>
      </c>
      <c r="D794" s="47">
        <v>5</v>
      </c>
      <c r="E794" s="48">
        <v>4037.8</v>
      </c>
      <c r="F794" s="48">
        <v>0</v>
      </c>
      <c r="G794" s="48">
        <v>4037.8</v>
      </c>
      <c r="H794" s="48">
        <v>84638.3</v>
      </c>
      <c r="I794" s="48">
        <v>4648.3</v>
      </c>
      <c r="J794" s="48">
        <v>89286.6</v>
      </c>
      <c r="K794" s="48">
        <v>3586.4</v>
      </c>
      <c r="L794" s="48">
        <v>367.2</v>
      </c>
      <c r="M794" s="48">
        <v>1780.3</v>
      </c>
      <c r="N794" s="48">
        <v>103.4</v>
      </c>
    </row>
    <row r="795" spans="1:14" ht="10.050000000000001" customHeight="1">
      <c r="A795" s="45" t="s">
        <v>81</v>
      </c>
      <c r="B795" s="46">
        <v>2016</v>
      </c>
      <c r="C795" s="45" t="s">
        <v>122</v>
      </c>
      <c r="D795" s="47">
        <v>5</v>
      </c>
      <c r="E795" s="48">
        <v>24427.1</v>
      </c>
      <c r="F795" s="48">
        <v>0</v>
      </c>
      <c r="G795" s="48">
        <v>24427.1</v>
      </c>
      <c r="H795" s="48">
        <v>173456.8</v>
      </c>
      <c r="I795" s="48">
        <v>3936.6</v>
      </c>
      <c r="J795" s="48">
        <v>177393.4</v>
      </c>
      <c r="K795" s="48">
        <v>17861.599999999999</v>
      </c>
      <c r="L795" s="48">
        <v>352.7</v>
      </c>
      <c r="M795" s="48">
        <v>16947.599999999999</v>
      </c>
      <c r="N795" s="48">
        <v>1830.4</v>
      </c>
    </row>
    <row r="796" spans="1:14" ht="10.050000000000001" customHeight="1">
      <c r="A796" s="45" t="s">
        <v>80</v>
      </c>
      <c r="B796" s="46">
        <v>2016</v>
      </c>
      <c r="C796" s="45" t="s">
        <v>122</v>
      </c>
      <c r="D796" s="47">
        <v>6</v>
      </c>
      <c r="E796" s="48">
        <v>81270.3</v>
      </c>
      <c r="F796" s="48">
        <v>59.2</v>
      </c>
      <c r="G796" s="48">
        <v>81329.5</v>
      </c>
      <c r="H796" s="48">
        <v>112701.2</v>
      </c>
      <c r="I796" s="48">
        <v>4177.7</v>
      </c>
      <c r="J796" s="48">
        <v>116878.9</v>
      </c>
      <c r="K796" s="48">
        <v>16393.400000000001</v>
      </c>
      <c r="L796" s="48">
        <v>13159.1</v>
      </c>
      <c r="M796" s="48">
        <v>36888.800000000003</v>
      </c>
      <c r="N796" s="48">
        <v>6028.2</v>
      </c>
    </row>
    <row r="797" spans="1:14" ht="10.050000000000001" customHeight="1">
      <c r="A797" s="45" t="s">
        <v>83</v>
      </c>
      <c r="B797" s="46">
        <v>2016</v>
      </c>
      <c r="C797" s="45" t="s">
        <v>122</v>
      </c>
      <c r="D797" s="47">
        <v>6</v>
      </c>
      <c r="E797" s="48">
        <v>474.4</v>
      </c>
      <c r="F797" s="48">
        <v>0</v>
      </c>
      <c r="G797" s="48">
        <v>474.4</v>
      </c>
      <c r="H797" s="48">
        <v>5635.5</v>
      </c>
      <c r="I797" s="48">
        <v>137.4</v>
      </c>
      <c r="J797" s="48">
        <v>5772.9</v>
      </c>
      <c r="K797" s="48">
        <v>0</v>
      </c>
      <c r="L797" s="48">
        <v>0</v>
      </c>
      <c r="M797" s="48">
        <v>31</v>
      </c>
      <c r="N797" s="48">
        <v>0</v>
      </c>
    </row>
    <row r="798" spans="1:14" ht="10.050000000000001" customHeight="1">
      <c r="A798" s="45" t="s">
        <v>82</v>
      </c>
      <c r="B798" s="46">
        <v>2016</v>
      </c>
      <c r="C798" s="45" t="s">
        <v>122</v>
      </c>
      <c r="D798" s="47">
        <v>6</v>
      </c>
      <c r="E798" s="48">
        <v>5862.7</v>
      </c>
      <c r="F798" s="48">
        <v>6.4</v>
      </c>
      <c r="G798" s="48">
        <v>5869.1</v>
      </c>
      <c r="H798" s="48">
        <v>43142.1</v>
      </c>
      <c r="I798" s="48">
        <v>3774.2</v>
      </c>
      <c r="J798" s="48">
        <v>46916.3</v>
      </c>
      <c r="K798" s="48">
        <v>1261.2</v>
      </c>
      <c r="L798" s="48">
        <v>86.8</v>
      </c>
      <c r="M798" s="48">
        <v>1206.5999999999999</v>
      </c>
      <c r="N798" s="48">
        <v>1275</v>
      </c>
    </row>
    <row r="799" spans="1:14" ht="10.050000000000001" customHeight="1">
      <c r="A799" s="45" t="s">
        <v>81</v>
      </c>
      <c r="B799" s="46">
        <v>2016</v>
      </c>
      <c r="C799" s="45" t="s">
        <v>122</v>
      </c>
      <c r="D799" s="47">
        <v>6</v>
      </c>
      <c r="E799" s="48">
        <v>9126</v>
      </c>
      <c r="F799" s="48">
        <v>0</v>
      </c>
      <c r="G799" s="48">
        <v>9126</v>
      </c>
      <c r="H799" s="48">
        <v>78808.3</v>
      </c>
      <c r="I799" s="48">
        <v>3849.7</v>
      </c>
      <c r="J799" s="48">
        <v>82658</v>
      </c>
      <c r="K799" s="48">
        <v>8381.2000000000007</v>
      </c>
      <c r="L799" s="48">
        <v>928.6</v>
      </c>
      <c r="M799" s="48">
        <v>5353.9</v>
      </c>
      <c r="N799" s="48">
        <v>5020.5</v>
      </c>
    </row>
    <row r="800" spans="1:14" ht="10.050000000000001" customHeight="1">
      <c r="A800" s="45" t="s">
        <v>80</v>
      </c>
      <c r="B800" s="46">
        <v>2016</v>
      </c>
      <c r="C800" s="45" t="s">
        <v>123</v>
      </c>
      <c r="D800" s="47">
        <v>7</v>
      </c>
      <c r="E800" s="48">
        <v>2351990.9</v>
      </c>
      <c r="F800" s="48">
        <v>11266.4</v>
      </c>
      <c r="G800" s="48">
        <v>2363257.2999999998</v>
      </c>
      <c r="H800" s="48">
        <v>2190308.7000000002</v>
      </c>
      <c r="I800" s="48">
        <v>10960.4</v>
      </c>
      <c r="J800" s="48">
        <v>2201269.1</v>
      </c>
      <c r="K800" s="48">
        <v>1020334.2</v>
      </c>
      <c r="L800" s="48">
        <v>1106790.6000000001</v>
      </c>
      <c r="M800" s="48">
        <v>98637</v>
      </c>
      <c r="N800" s="48">
        <v>3852.6</v>
      </c>
    </row>
    <row r="801" spans="1:14" ht="10.050000000000001" customHeight="1">
      <c r="A801" s="45" t="s">
        <v>83</v>
      </c>
      <c r="B801" s="46">
        <v>2016</v>
      </c>
      <c r="C801" s="45" t="s">
        <v>123</v>
      </c>
      <c r="D801" s="47">
        <v>7</v>
      </c>
      <c r="E801" s="48">
        <v>8923.7999999999993</v>
      </c>
      <c r="F801" s="48">
        <v>0</v>
      </c>
      <c r="G801" s="48">
        <v>8923.7999999999993</v>
      </c>
      <c r="H801" s="48">
        <v>12255.5</v>
      </c>
      <c r="I801" s="48">
        <v>133.6</v>
      </c>
      <c r="J801" s="48">
        <v>12389.1</v>
      </c>
      <c r="K801" s="48">
        <v>1521.4</v>
      </c>
      <c r="L801" s="48">
        <v>2416.9</v>
      </c>
      <c r="M801" s="48">
        <v>895.6</v>
      </c>
      <c r="N801" s="48">
        <v>0</v>
      </c>
    </row>
    <row r="802" spans="1:14" ht="10.050000000000001" customHeight="1">
      <c r="A802" s="45" t="s">
        <v>82</v>
      </c>
      <c r="B802" s="46">
        <v>2016</v>
      </c>
      <c r="C802" s="45" t="s">
        <v>123</v>
      </c>
      <c r="D802" s="47">
        <v>7</v>
      </c>
      <c r="E802" s="48">
        <v>1404.2</v>
      </c>
      <c r="F802" s="48">
        <v>0</v>
      </c>
      <c r="G802" s="48">
        <v>1404.2</v>
      </c>
      <c r="H802" s="48">
        <v>35415.9</v>
      </c>
      <c r="I802" s="48">
        <v>3283.7</v>
      </c>
      <c r="J802" s="48">
        <v>38699.599999999999</v>
      </c>
      <c r="K802" s="48">
        <v>1787.2</v>
      </c>
      <c r="L802" s="48">
        <v>627.9</v>
      </c>
      <c r="M802" s="48">
        <v>670.5</v>
      </c>
      <c r="N802" s="48">
        <v>389.4</v>
      </c>
    </row>
    <row r="803" spans="1:14" ht="10.050000000000001" customHeight="1">
      <c r="A803" s="45" t="s">
        <v>81</v>
      </c>
      <c r="B803" s="46">
        <v>2016</v>
      </c>
      <c r="C803" s="45" t="s">
        <v>123</v>
      </c>
      <c r="D803" s="47">
        <v>7</v>
      </c>
      <c r="E803" s="48">
        <v>1609.2</v>
      </c>
      <c r="F803" s="48">
        <v>0</v>
      </c>
      <c r="G803" s="48">
        <v>1609.2</v>
      </c>
      <c r="H803" s="48">
        <v>46936.5</v>
      </c>
      <c r="I803" s="48">
        <v>3759.8</v>
      </c>
      <c r="J803" s="48">
        <v>50696.3</v>
      </c>
      <c r="K803" s="48">
        <v>7804.6</v>
      </c>
      <c r="L803" s="48">
        <v>579.1</v>
      </c>
      <c r="M803" s="48">
        <v>526.4</v>
      </c>
      <c r="N803" s="48">
        <v>629.20000000000005</v>
      </c>
    </row>
    <row r="804" spans="1:14" ht="10.050000000000001" customHeight="1">
      <c r="A804" s="45" t="s">
        <v>80</v>
      </c>
      <c r="B804" s="46">
        <v>2016</v>
      </c>
      <c r="C804" s="45" t="s">
        <v>123</v>
      </c>
      <c r="D804" s="47">
        <v>8</v>
      </c>
      <c r="E804" s="48">
        <v>615506.19999999995</v>
      </c>
      <c r="F804" s="48">
        <v>4671.3</v>
      </c>
      <c r="G804" s="48">
        <v>620177.49999999895</v>
      </c>
      <c r="H804" s="48">
        <v>2362735.5</v>
      </c>
      <c r="I804" s="48">
        <v>10868.3</v>
      </c>
      <c r="J804" s="48">
        <v>2373603.7999999998</v>
      </c>
      <c r="K804" s="48">
        <v>950062.2</v>
      </c>
      <c r="L804" s="48">
        <v>284968.40000000002</v>
      </c>
      <c r="M804" s="48">
        <v>347491.5</v>
      </c>
      <c r="N804" s="48">
        <v>5907.7</v>
      </c>
    </row>
    <row r="805" spans="1:14" ht="10.050000000000001" customHeight="1">
      <c r="A805" s="45" t="s">
        <v>83</v>
      </c>
      <c r="B805" s="46">
        <v>2016</v>
      </c>
      <c r="C805" s="45" t="s">
        <v>123</v>
      </c>
      <c r="D805" s="47">
        <v>8</v>
      </c>
      <c r="E805" s="48">
        <v>14186.1</v>
      </c>
      <c r="F805" s="48">
        <v>0</v>
      </c>
      <c r="G805" s="48">
        <v>14186.1</v>
      </c>
      <c r="H805" s="48">
        <v>25098.7</v>
      </c>
      <c r="I805" s="48">
        <v>131.80000000000001</v>
      </c>
      <c r="J805" s="48">
        <v>25230.5</v>
      </c>
      <c r="K805" s="48">
        <v>1244.8</v>
      </c>
      <c r="L805" s="48">
        <v>1262.3</v>
      </c>
      <c r="M805" s="48">
        <v>1484.8</v>
      </c>
      <c r="N805" s="48">
        <v>36.200000000000003</v>
      </c>
    </row>
    <row r="806" spans="1:14" ht="10.050000000000001" customHeight="1">
      <c r="A806" s="45" t="s">
        <v>82</v>
      </c>
      <c r="B806" s="46">
        <v>2016</v>
      </c>
      <c r="C806" s="45" t="s">
        <v>123</v>
      </c>
      <c r="D806" s="47">
        <v>8</v>
      </c>
      <c r="E806" s="48">
        <v>1419.2</v>
      </c>
      <c r="F806" s="48">
        <v>22.5</v>
      </c>
      <c r="G806" s="48">
        <v>1441.7</v>
      </c>
      <c r="H806" s="48">
        <v>28527.599999999999</v>
      </c>
      <c r="I806" s="48">
        <v>3279.1</v>
      </c>
      <c r="J806" s="48">
        <v>31806.7</v>
      </c>
      <c r="K806" s="48">
        <v>1736.7</v>
      </c>
      <c r="L806" s="48">
        <v>805.2</v>
      </c>
      <c r="M806" s="48">
        <v>834.6</v>
      </c>
      <c r="N806" s="48">
        <v>44.6</v>
      </c>
    </row>
    <row r="807" spans="1:14" ht="10.050000000000001" customHeight="1">
      <c r="A807" s="45" t="s">
        <v>81</v>
      </c>
      <c r="B807" s="46">
        <v>2016</v>
      </c>
      <c r="C807" s="45" t="s">
        <v>123</v>
      </c>
      <c r="D807" s="47">
        <v>8</v>
      </c>
      <c r="E807" s="48">
        <v>3821.2</v>
      </c>
      <c r="F807" s="48">
        <v>144.4</v>
      </c>
      <c r="G807" s="48">
        <v>3965.6</v>
      </c>
      <c r="H807" s="48">
        <v>30292.7</v>
      </c>
      <c r="I807" s="48">
        <v>3844.1</v>
      </c>
      <c r="J807" s="48">
        <v>34136.800000000003</v>
      </c>
      <c r="K807" s="48">
        <v>6237</v>
      </c>
      <c r="L807" s="48">
        <v>968.7</v>
      </c>
      <c r="M807" s="48">
        <v>613.9</v>
      </c>
      <c r="N807" s="48">
        <v>1922.8</v>
      </c>
    </row>
    <row r="808" spans="1:14" ht="10.050000000000001" customHeight="1">
      <c r="A808" s="45" t="s">
        <v>80</v>
      </c>
      <c r="B808" s="46">
        <v>2016</v>
      </c>
      <c r="C808" s="45" t="s">
        <v>123</v>
      </c>
      <c r="D808" s="47">
        <v>9</v>
      </c>
      <c r="E808" s="48">
        <v>239690.2</v>
      </c>
      <c r="F808" s="48">
        <v>404.7</v>
      </c>
      <c r="G808" s="48">
        <v>240094.9</v>
      </c>
      <c r="H808" s="48">
        <v>2238603.2000000002</v>
      </c>
      <c r="I808" s="48">
        <v>9058</v>
      </c>
      <c r="J808" s="48">
        <v>2247661.2000000002</v>
      </c>
      <c r="K808" s="48">
        <v>776887.6</v>
      </c>
      <c r="L808" s="48">
        <v>42815.4</v>
      </c>
      <c r="M808" s="48">
        <v>185115</v>
      </c>
      <c r="N808" s="48">
        <v>30874.3</v>
      </c>
    </row>
    <row r="809" spans="1:14" ht="10.050000000000001" customHeight="1">
      <c r="A809" s="45" t="s">
        <v>83</v>
      </c>
      <c r="B809" s="46">
        <v>2016</v>
      </c>
      <c r="C809" s="45" t="s">
        <v>123</v>
      </c>
      <c r="D809" s="47">
        <v>9</v>
      </c>
      <c r="E809" s="48">
        <v>3240.7</v>
      </c>
      <c r="F809" s="48">
        <v>29.1</v>
      </c>
      <c r="G809" s="48">
        <v>3269.8</v>
      </c>
      <c r="H809" s="48">
        <v>25324.799999999999</v>
      </c>
      <c r="I809" s="48">
        <v>136.9</v>
      </c>
      <c r="J809" s="48">
        <v>25461.7</v>
      </c>
      <c r="K809" s="48">
        <v>629.4</v>
      </c>
      <c r="L809" s="48">
        <v>165.8</v>
      </c>
      <c r="M809" s="48">
        <v>590.1</v>
      </c>
      <c r="N809" s="48">
        <v>172.3</v>
      </c>
    </row>
    <row r="810" spans="1:14" ht="10.050000000000001" customHeight="1">
      <c r="A810" s="45" t="s">
        <v>82</v>
      </c>
      <c r="B810" s="46">
        <v>2016</v>
      </c>
      <c r="C810" s="45" t="s">
        <v>123</v>
      </c>
      <c r="D810" s="47">
        <v>9</v>
      </c>
      <c r="E810" s="48">
        <v>69329.399999999994</v>
      </c>
      <c r="F810" s="48">
        <v>4370.6000000000004</v>
      </c>
      <c r="G810" s="48">
        <v>73700</v>
      </c>
      <c r="H810" s="48">
        <v>88369.7</v>
      </c>
      <c r="I810" s="48">
        <v>5143</v>
      </c>
      <c r="J810" s="48">
        <v>93512.7</v>
      </c>
      <c r="K810" s="48">
        <v>12258</v>
      </c>
      <c r="L810" s="48">
        <v>13086.1</v>
      </c>
      <c r="M810" s="48">
        <v>2179.9</v>
      </c>
      <c r="N810" s="48">
        <v>391.9</v>
      </c>
    </row>
    <row r="811" spans="1:14" ht="10.050000000000001" customHeight="1">
      <c r="A811" s="45" t="s">
        <v>81</v>
      </c>
      <c r="B811" s="46">
        <v>2016</v>
      </c>
      <c r="C811" s="45" t="s">
        <v>123</v>
      </c>
      <c r="D811" s="47">
        <v>9</v>
      </c>
      <c r="E811" s="48">
        <v>515569.9</v>
      </c>
      <c r="F811" s="48">
        <v>7608</v>
      </c>
      <c r="G811" s="48">
        <v>523177.9</v>
      </c>
      <c r="H811" s="48">
        <v>483535.8</v>
      </c>
      <c r="I811" s="48">
        <v>5155.2</v>
      </c>
      <c r="J811" s="48">
        <v>488691</v>
      </c>
      <c r="K811" s="48">
        <v>175895.7</v>
      </c>
      <c r="L811" s="48">
        <v>187034.1</v>
      </c>
      <c r="M811" s="48">
        <v>16963</v>
      </c>
      <c r="N811" s="48">
        <v>328.8</v>
      </c>
    </row>
    <row r="812" spans="1:14" ht="10.050000000000001" customHeight="1">
      <c r="A812" s="45" t="s">
        <v>80</v>
      </c>
      <c r="B812" s="46">
        <v>2016</v>
      </c>
      <c r="C812" s="45" t="s">
        <v>123</v>
      </c>
      <c r="D812" s="47">
        <v>10</v>
      </c>
      <c r="E812" s="48">
        <v>191085</v>
      </c>
      <c r="F812" s="48">
        <v>61.8</v>
      </c>
      <c r="G812" s="48">
        <v>191146.8</v>
      </c>
      <c r="H812" s="48">
        <v>2068340.5</v>
      </c>
      <c r="I812" s="48">
        <v>8945.4</v>
      </c>
      <c r="J812" s="48">
        <v>2077285.9</v>
      </c>
      <c r="K812" s="48">
        <v>639172.1</v>
      </c>
      <c r="L812" s="48">
        <v>10341</v>
      </c>
      <c r="M812" s="48">
        <v>143472.70000000001</v>
      </c>
      <c r="N812" s="48">
        <v>5696.6</v>
      </c>
    </row>
    <row r="813" spans="1:14" ht="10.050000000000001" customHeight="1">
      <c r="A813" s="45" t="s">
        <v>83</v>
      </c>
      <c r="B813" s="46">
        <v>2016</v>
      </c>
      <c r="C813" s="45" t="s">
        <v>123</v>
      </c>
      <c r="D813" s="47">
        <v>10</v>
      </c>
      <c r="E813" s="48">
        <v>1101.9000000000001</v>
      </c>
      <c r="F813" s="48">
        <v>612.20000000000005</v>
      </c>
      <c r="G813" s="48">
        <v>1714.1</v>
      </c>
      <c r="H813" s="48">
        <v>23235.9</v>
      </c>
      <c r="I813" s="48">
        <v>160</v>
      </c>
      <c r="J813" s="48">
        <v>23395.9</v>
      </c>
      <c r="K813" s="48">
        <v>542.4</v>
      </c>
      <c r="L813" s="48">
        <v>29.1</v>
      </c>
      <c r="M813" s="48">
        <v>111.5</v>
      </c>
      <c r="N813" s="48">
        <v>0.9</v>
      </c>
    </row>
    <row r="814" spans="1:14" ht="10.050000000000001" customHeight="1">
      <c r="A814" s="45" t="s">
        <v>82</v>
      </c>
      <c r="B814" s="46">
        <v>2016</v>
      </c>
      <c r="C814" s="45" t="s">
        <v>123</v>
      </c>
      <c r="D814" s="47">
        <v>10</v>
      </c>
      <c r="E814" s="48">
        <v>118739.3</v>
      </c>
      <c r="F814" s="48">
        <v>3945.5</v>
      </c>
      <c r="G814" s="48">
        <v>122684.8</v>
      </c>
      <c r="H814" s="48">
        <v>186666.5</v>
      </c>
      <c r="I814" s="48">
        <v>8937.2999999999993</v>
      </c>
      <c r="J814" s="48">
        <v>195603.8</v>
      </c>
      <c r="K814" s="48">
        <v>18665.900000000001</v>
      </c>
      <c r="L814" s="48">
        <v>17329</v>
      </c>
      <c r="M814" s="48">
        <v>10985.2</v>
      </c>
      <c r="N814" s="48">
        <v>311.7</v>
      </c>
    </row>
    <row r="815" spans="1:14" ht="10.050000000000001" customHeight="1">
      <c r="A815" s="45" t="s">
        <v>81</v>
      </c>
      <c r="B815" s="46">
        <v>2016</v>
      </c>
      <c r="C815" s="45" t="s">
        <v>123</v>
      </c>
      <c r="D815" s="47">
        <v>10</v>
      </c>
      <c r="E815" s="48">
        <v>281914.7</v>
      </c>
      <c r="F815" s="48">
        <v>1833.7</v>
      </c>
      <c r="G815" s="48">
        <v>283748.40000000002</v>
      </c>
      <c r="H815" s="48">
        <v>665720.19999999995</v>
      </c>
      <c r="I815" s="48">
        <v>5293</v>
      </c>
      <c r="J815" s="48">
        <v>671013.19999999995</v>
      </c>
      <c r="K815" s="48">
        <v>188124.79999999999</v>
      </c>
      <c r="L815" s="48">
        <v>77054.2</v>
      </c>
      <c r="M815" s="48">
        <v>60589</v>
      </c>
      <c r="N815" s="48">
        <v>4319.8</v>
      </c>
    </row>
    <row r="816" spans="1:14" ht="10.050000000000001" customHeight="1">
      <c r="A816" s="45" t="s">
        <v>80</v>
      </c>
      <c r="B816" s="46">
        <v>2016</v>
      </c>
      <c r="C816" s="45" t="s">
        <v>123</v>
      </c>
      <c r="D816" s="47">
        <v>11</v>
      </c>
      <c r="E816" s="48">
        <v>242444.6</v>
      </c>
      <c r="F816" s="48">
        <v>559.29999999999995</v>
      </c>
      <c r="G816" s="48">
        <v>243003.9</v>
      </c>
      <c r="H816" s="48">
        <v>1888273.4</v>
      </c>
      <c r="I816" s="48">
        <v>9099.7999999999993</v>
      </c>
      <c r="J816" s="48">
        <v>1897373.2</v>
      </c>
      <c r="K816" s="48">
        <v>480893.3</v>
      </c>
      <c r="L816" s="48">
        <v>15831.5</v>
      </c>
      <c r="M816" s="48">
        <v>165994.20000000001</v>
      </c>
      <c r="N816" s="48">
        <v>7882.1</v>
      </c>
    </row>
    <row r="817" spans="1:14" ht="10.050000000000001" customHeight="1">
      <c r="A817" s="45" t="s">
        <v>83</v>
      </c>
      <c r="B817" s="46">
        <v>2016</v>
      </c>
      <c r="C817" s="45" t="s">
        <v>123</v>
      </c>
      <c r="D817" s="47">
        <v>11</v>
      </c>
      <c r="E817" s="48">
        <v>454</v>
      </c>
      <c r="F817" s="48">
        <v>131.69999999999999</v>
      </c>
      <c r="G817" s="48">
        <v>585.70000000000005</v>
      </c>
      <c r="H817" s="48">
        <v>21764.7</v>
      </c>
      <c r="I817" s="48">
        <v>270.2</v>
      </c>
      <c r="J817" s="48">
        <v>22034.9</v>
      </c>
      <c r="K817" s="48">
        <v>477.9</v>
      </c>
      <c r="L817" s="48">
        <v>3.5</v>
      </c>
      <c r="M817" s="48">
        <v>68.2</v>
      </c>
      <c r="N817" s="48">
        <v>0</v>
      </c>
    </row>
    <row r="818" spans="1:14" ht="10.050000000000001" customHeight="1">
      <c r="A818" s="45" t="s">
        <v>82</v>
      </c>
      <c r="B818" s="46">
        <v>2016</v>
      </c>
      <c r="C818" s="45" t="s">
        <v>123</v>
      </c>
      <c r="D818" s="47">
        <v>11</v>
      </c>
      <c r="E818" s="48">
        <v>30190</v>
      </c>
      <c r="F818" s="48">
        <v>1364.3</v>
      </c>
      <c r="G818" s="48">
        <v>31554.3</v>
      </c>
      <c r="H818" s="48">
        <v>179461</v>
      </c>
      <c r="I818" s="48">
        <v>9877.2000000000007</v>
      </c>
      <c r="J818" s="48">
        <v>189338.2</v>
      </c>
      <c r="K818" s="48">
        <v>13933.2</v>
      </c>
      <c r="L818" s="48">
        <v>2595.3000000000002</v>
      </c>
      <c r="M818" s="48">
        <v>6003.8</v>
      </c>
      <c r="N818" s="48">
        <v>1481.8</v>
      </c>
    </row>
    <row r="819" spans="1:14" ht="10.050000000000001" customHeight="1">
      <c r="A819" s="45" t="s">
        <v>81</v>
      </c>
      <c r="B819" s="46">
        <v>2016</v>
      </c>
      <c r="C819" s="45" t="s">
        <v>123</v>
      </c>
      <c r="D819" s="47">
        <v>11</v>
      </c>
      <c r="E819" s="48">
        <v>66683.8</v>
      </c>
      <c r="F819" s="48">
        <v>1351.8</v>
      </c>
      <c r="G819" s="48">
        <v>68035.600000000006</v>
      </c>
      <c r="H819" s="48">
        <v>666254.19999999995</v>
      </c>
      <c r="I819" s="48">
        <v>5861.1</v>
      </c>
      <c r="J819" s="48">
        <v>672115.3</v>
      </c>
      <c r="K819" s="48">
        <v>144162.1</v>
      </c>
      <c r="L819" s="48">
        <v>9599.1</v>
      </c>
      <c r="M819" s="48">
        <v>46107.8</v>
      </c>
      <c r="N819" s="48">
        <v>7435.5</v>
      </c>
    </row>
    <row r="820" spans="1:14" ht="10.050000000000001" customHeight="1">
      <c r="A820" s="45" t="s">
        <v>80</v>
      </c>
      <c r="B820" s="46">
        <v>2016</v>
      </c>
      <c r="C820" s="45" t="s">
        <v>123</v>
      </c>
      <c r="D820" s="47">
        <v>12</v>
      </c>
      <c r="E820" s="48">
        <v>201216.4</v>
      </c>
      <c r="F820" s="48">
        <v>205.8</v>
      </c>
      <c r="G820" s="48">
        <v>201422.2</v>
      </c>
      <c r="H820" s="48">
        <v>1703415.9</v>
      </c>
      <c r="I820" s="48">
        <v>8769.5</v>
      </c>
      <c r="J820" s="48">
        <v>1712185.4</v>
      </c>
      <c r="K820" s="48">
        <v>389000.3</v>
      </c>
      <c r="L820" s="48">
        <v>37688.9</v>
      </c>
      <c r="M820" s="48">
        <v>126586.3</v>
      </c>
      <c r="N820" s="48">
        <v>2996.2</v>
      </c>
    </row>
    <row r="821" spans="1:14" ht="10.050000000000001" customHeight="1">
      <c r="A821" s="45" t="s">
        <v>83</v>
      </c>
      <c r="B821" s="46">
        <v>2016</v>
      </c>
      <c r="C821" s="45" t="s">
        <v>123</v>
      </c>
      <c r="D821" s="47">
        <v>12</v>
      </c>
      <c r="E821" s="48">
        <v>889.8</v>
      </c>
      <c r="F821" s="48">
        <v>0</v>
      </c>
      <c r="G821" s="48">
        <v>889.8</v>
      </c>
      <c r="H821" s="48">
        <v>20531.7</v>
      </c>
      <c r="I821" s="48">
        <v>264.3</v>
      </c>
      <c r="J821" s="48">
        <v>20796</v>
      </c>
      <c r="K821" s="48">
        <v>342</v>
      </c>
      <c r="L821" s="48">
        <v>2</v>
      </c>
      <c r="M821" s="48">
        <v>137.9</v>
      </c>
      <c r="N821" s="48">
        <v>0</v>
      </c>
    </row>
    <row r="822" spans="1:14" ht="10.050000000000001" customHeight="1">
      <c r="A822" s="45" t="s">
        <v>82</v>
      </c>
      <c r="B822" s="46">
        <v>2016</v>
      </c>
      <c r="C822" s="45" t="s">
        <v>123</v>
      </c>
      <c r="D822" s="47">
        <v>12</v>
      </c>
      <c r="E822" s="48">
        <v>7743.9</v>
      </c>
      <c r="F822" s="48">
        <v>193.8</v>
      </c>
      <c r="G822" s="48">
        <v>7937.7</v>
      </c>
      <c r="H822" s="48">
        <v>166040.70000000001</v>
      </c>
      <c r="I822" s="48">
        <v>9239.6</v>
      </c>
      <c r="J822" s="48">
        <v>175280.3</v>
      </c>
      <c r="K822" s="48">
        <v>10828</v>
      </c>
      <c r="L822" s="48">
        <v>1223.7</v>
      </c>
      <c r="M822" s="48">
        <v>3224.1</v>
      </c>
      <c r="N822" s="48">
        <v>1016.3</v>
      </c>
    </row>
    <row r="823" spans="1:14" ht="10.050000000000001" customHeight="1">
      <c r="A823" s="45" t="s">
        <v>81</v>
      </c>
      <c r="B823" s="46">
        <v>2016</v>
      </c>
      <c r="C823" s="45" t="s">
        <v>123</v>
      </c>
      <c r="D823" s="47">
        <v>12</v>
      </c>
      <c r="E823" s="48">
        <v>38577.300000000003</v>
      </c>
      <c r="F823" s="48">
        <v>36.5</v>
      </c>
      <c r="G823" s="48">
        <v>38613.800000000003</v>
      </c>
      <c r="H823" s="48">
        <v>642570.4</v>
      </c>
      <c r="I823" s="48">
        <v>4467</v>
      </c>
      <c r="J823" s="48">
        <v>647037.4</v>
      </c>
      <c r="K823" s="48">
        <v>113824.1</v>
      </c>
      <c r="L823" s="48">
        <v>1430.5</v>
      </c>
      <c r="M823" s="48">
        <v>27860.7</v>
      </c>
      <c r="N823" s="48">
        <v>3908</v>
      </c>
    </row>
    <row r="824" spans="1:14" ht="10.050000000000001" customHeight="1">
      <c r="A824" s="45" t="s">
        <v>80</v>
      </c>
      <c r="B824" s="46">
        <v>2017</v>
      </c>
      <c r="C824" s="45" t="s">
        <v>123</v>
      </c>
      <c r="D824" s="47">
        <v>1</v>
      </c>
      <c r="E824" s="48">
        <v>212327.9</v>
      </c>
      <c r="F824" s="48">
        <v>0</v>
      </c>
      <c r="G824" s="48">
        <v>212327.9</v>
      </c>
      <c r="H824" s="48">
        <v>1503871.9</v>
      </c>
      <c r="I824" s="48">
        <v>6887.2</v>
      </c>
      <c r="J824" s="48">
        <v>1510759.1</v>
      </c>
      <c r="K824" s="48">
        <v>277713.7</v>
      </c>
      <c r="L824" s="48">
        <v>20196.8</v>
      </c>
      <c r="M824" s="48">
        <v>127969.60000000001</v>
      </c>
      <c r="N824" s="48">
        <v>3514.4</v>
      </c>
    </row>
    <row r="825" spans="1:14" ht="10.050000000000001" customHeight="1">
      <c r="A825" s="45" t="s">
        <v>83</v>
      </c>
      <c r="B825" s="46">
        <v>2017</v>
      </c>
      <c r="C825" s="45" t="s">
        <v>123</v>
      </c>
      <c r="D825" s="47">
        <v>1</v>
      </c>
      <c r="E825" s="48">
        <v>906.6</v>
      </c>
      <c r="F825" s="48">
        <v>0</v>
      </c>
      <c r="G825" s="48">
        <v>906.6</v>
      </c>
      <c r="H825" s="48">
        <v>17829.599999999999</v>
      </c>
      <c r="I825" s="48">
        <v>162.1</v>
      </c>
      <c r="J825" s="48">
        <v>17991.7</v>
      </c>
      <c r="K825" s="48">
        <v>259.89999999999998</v>
      </c>
      <c r="L825" s="48">
        <v>3.1</v>
      </c>
      <c r="M825" s="48">
        <v>61.4</v>
      </c>
      <c r="N825" s="48">
        <v>23.8</v>
      </c>
    </row>
    <row r="826" spans="1:14" ht="10.050000000000001" customHeight="1">
      <c r="A826" s="45" t="s">
        <v>82</v>
      </c>
      <c r="B826" s="46">
        <v>2017</v>
      </c>
      <c r="C826" s="45" t="s">
        <v>123</v>
      </c>
      <c r="D826" s="47">
        <v>1</v>
      </c>
      <c r="E826" s="48">
        <v>8746.6</v>
      </c>
      <c r="F826" s="48">
        <v>288.5</v>
      </c>
      <c r="G826" s="48">
        <v>9035.1</v>
      </c>
      <c r="H826" s="48">
        <v>148228.5</v>
      </c>
      <c r="I826" s="48">
        <v>8582</v>
      </c>
      <c r="J826" s="48">
        <v>156810.5</v>
      </c>
      <c r="K826" s="48">
        <v>7244.2</v>
      </c>
      <c r="L826" s="48">
        <v>772.6</v>
      </c>
      <c r="M826" s="48">
        <v>3183.2</v>
      </c>
      <c r="N826" s="48">
        <v>1227.4000000000001</v>
      </c>
    </row>
    <row r="827" spans="1:14" ht="10.050000000000001" customHeight="1">
      <c r="A827" s="45" t="s">
        <v>81</v>
      </c>
      <c r="B827" s="46">
        <v>2017</v>
      </c>
      <c r="C827" s="45" t="s">
        <v>123</v>
      </c>
      <c r="D827" s="47">
        <v>1</v>
      </c>
      <c r="E827" s="48">
        <v>30856.6</v>
      </c>
      <c r="F827" s="48">
        <v>607.70000000000005</v>
      </c>
      <c r="G827" s="48">
        <v>31464.3</v>
      </c>
      <c r="H827" s="48">
        <v>596904.6</v>
      </c>
      <c r="I827" s="48">
        <v>3346.3</v>
      </c>
      <c r="J827" s="48">
        <v>600250.9</v>
      </c>
      <c r="K827" s="48">
        <v>87710.1</v>
      </c>
      <c r="L827" s="48">
        <v>706.5</v>
      </c>
      <c r="M827" s="48">
        <v>22207</v>
      </c>
      <c r="N827" s="48">
        <v>4613.8</v>
      </c>
    </row>
    <row r="828" spans="1:14" ht="10.050000000000001" customHeight="1">
      <c r="A828" s="45" t="s">
        <v>80</v>
      </c>
      <c r="B828" s="46">
        <v>2017</v>
      </c>
      <c r="C828" s="45" t="s">
        <v>123</v>
      </c>
      <c r="D828" s="47">
        <v>2</v>
      </c>
      <c r="E828" s="48">
        <v>199165.6</v>
      </c>
      <c r="F828" s="48">
        <v>0</v>
      </c>
      <c r="G828" s="48">
        <v>199165.6</v>
      </c>
      <c r="H828" s="48">
        <v>1223131.3999999999</v>
      </c>
      <c r="I828" s="48">
        <v>6886</v>
      </c>
      <c r="J828" s="48">
        <v>1230017.3999999999</v>
      </c>
      <c r="K828" s="48">
        <v>179469.1</v>
      </c>
      <c r="L828" s="48">
        <v>23084.6</v>
      </c>
      <c r="M828" s="48">
        <v>120085.9</v>
      </c>
      <c r="N828" s="48">
        <v>1243.7</v>
      </c>
    </row>
    <row r="829" spans="1:14" ht="10.050000000000001" customHeight="1">
      <c r="A829" s="45" t="s">
        <v>83</v>
      </c>
      <c r="B829" s="46">
        <v>2017</v>
      </c>
      <c r="C829" s="45" t="s">
        <v>123</v>
      </c>
      <c r="D829" s="47">
        <v>2</v>
      </c>
      <c r="E829" s="48">
        <v>491.5</v>
      </c>
      <c r="F829" s="48">
        <v>0</v>
      </c>
      <c r="G829" s="48">
        <v>491.5</v>
      </c>
      <c r="H829" s="48">
        <v>16103.1</v>
      </c>
      <c r="I829" s="48">
        <v>137.9</v>
      </c>
      <c r="J829" s="48">
        <v>16241</v>
      </c>
      <c r="K829" s="48">
        <v>230.6</v>
      </c>
      <c r="L829" s="48">
        <v>0</v>
      </c>
      <c r="M829" s="48">
        <v>29.3</v>
      </c>
      <c r="N829" s="48">
        <v>0</v>
      </c>
    </row>
    <row r="830" spans="1:14" ht="10.050000000000001" customHeight="1">
      <c r="A830" s="45" t="s">
        <v>82</v>
      </c>
      <c r="B830" s="46">
        <v>2017</v>
      </c>
      <c r="C830" s="45" t="s">
        <v>123</v>
      </c>
      <c r="D830" s="47">
        <v>2</v>
      </c>
      <c r="E830" s="48">
        <v>4117.6000000000004</v>
      </c>
      <c r="F830" s="48">
        <v>409</v>
      </c>
      <c r="G830" s="48">
        <v>4526.6000000000004</v>
      </c>
      <c r="H830" s="48">
        <v>134316.5</v>
      </c>
      <c r="I830" s="48">
        <v>6177</v>
      </c>
      <c r="J830" s="48">
        <v>140493.5</v>
      </c>
      <c r="K830" s="48">
        <v>5152.8999999999996</v>
      </c>
      <c r="L830" s="48">
        <v>644.9</v>
      </c>
      <c r="M830" s="48">
        <v>1745.7</v>
      </c>
      <c r="N830" s="48">
        <v>995.3</v>
      </c>
    </row>
    <row r="831" spans="1:14" ht="10.050000000000001" customHeight="1">
      <c r="A831" s="45" t="s">
        <v>81</v>
      </c>
      <c r="B831" s="46">
        <v>2017</v>
      </c>
      <c r="C831" s="45" t="s">
        <v>123</v>
      </c>
      <c r="D831" s="47">
        <v>2</v>
      </c>
      <c r="E831" s="48">
        <v>25019.5</v>
      </c>
      <c r="F831" s="48">
        <v>1431.4</v>
      </c>
      <c r="G831" s="48">
        <v>26450.9</v>
      </c>
      <c r="H831" s="48">
        <v>521579.2</v>
      </c>
      <c r="I831" s="48">
        <v>2913.2</v>
      </c>
      <c r="J831" s="48">
        <v>524492.4</v>
      </c>
      <c r="K831" s="48">
        <v>70734.100000000006</v>
      </c>
      <c r="L831" s="48">
        <v>1229.5999999999999</v>
      </c>
      <c r="M831" s="48">
        <v>16910.2</v>
      </c>
      <c r="N831" s="48">
        <v>1295.2</v>
      </c>
    </row>
    <row r="832" spans="1:14" ht="10.050000000000001" customHeight="1">
      <c r="A832" s="45" t="s">
        <v>80</v>
      </c>
      <c r="B832" s="46">
        <v>2017</v>
      </c>
      <c r="C832" s="45" t="s">
        <v>123</v>
      </c>
      <c r="D832" s="47">
        <v>3</v>
      </c>
      <c r="E832" s="48">
        <v>148973.9</v>
      </c>
      <c r="F832" s="48">
        <v>0</v>
      </c>
      <c r="G832" s="48">
        <v>148973.9</v>
      </c>
      <c r="H832" s="48">
        <v>928429</v>
      </c>
      <c r="I832" s="48">
        <v>4695.3999999999996</v>
      </c>
      <c r="J832" s="48">
        <v>933124.4</v>
      </c>
      <c r="K832" s="48">
        <v>111295</v>
      </c>
      <c r="L832" s="48">
        <v>16902.400000000001</v>
      </c>
      <c r="M832" s="48">
        <v>83066.3</v>
      </c>
      <c r="N832" s="48">
        <v>2009.9</v>
      </c>
    </row>
    <row r="833" spans="1:14" ht="10.050000000000001" customHeight="1">
      <c r="A833" s="45" t="s">
        <v>83</v>
      </c>
      <c r="B833" s="46">
        <v>2017</v>
      </c>
      <c r="C833" s="45" t="s">
        <v>123</v>
      </c>
      <c r="D833" s="47">
        <v>3</v>
      </c>
      <c r="E833" s="48">
        <v>557.20000000000005</v>
      </c>
      <c r="F833" s="48">
        <v>0</v>
      </c>
      <c r="G833" s="48">
        <v>557.20000000000005</v>
      </c>
      <c r="H833" s="48">
        <v>13777.8</v>
      </c>
      <c r="I833" s="48">
        <v>124.9</v>
      </c>
      <c r="J833" s="48">
        <v>13902.7</v>
      </c>
      <c r="K833" s="48">
        <v>218.4</v>
      </c>
      <c r="L833" s="48">
        <v>0</v>
      </c>
      <c r="M833" s="48">
        <v>9.8000000000000007</v>
      </c>
      <c r="N833" s="48">
        <v>2.4</v>
      </c>
    </row>
    <row r="834" spans="1:14" ht="10.050000000000001" customHeight="1">
      <c r="A834" s="45" t="s">
        <v>82</v>
      </c>
      <c r="B834" s="46">
        <v>2017</v>
      </c>
      <c r="C834" s="45" t="s">
        <v>123</v>
      </c>
      <c r="D834" s="47">
        <v>3</v>
      </c>
      <c r="E834" s="48">
        <v>3671.7</v>
      </c>
      <c r="F834" s="48">
        <v>0</v>
      </c>
      <c r="G834" s="48">
        <v>3671.7</v>
      </c>
      <c r="H834" s="48">
        <v>113645.2</v>
      </c>
      <c r="I834" s="48">
        <v>5117.8999999999996</v>
      </c>
      <c r="J834" s="48">
        <v>118763.1</v>
      </c>
      <c r="K834" s="48">
        <v>4476.7</v>
      </c>
      <c r="L834" s="48">
        <v>871.3</v>
      </c>
      <c r="M834" s="48">
        <v>1259</v>
      </c>
      <c r="N834" s="48">
        <v>330.1</v>
      </c>
    </row>
    <row r="835" spans="1:14" ht="10.050000000000001" customHeight="1">
      <c r="A835" s="45" t="s">
        <v>81</v>
      </c>
      <c r="B835" s="46">
        <v>2017</v>
      </c>
      <c r="C835" s="45" t="s">
        <v>123</v>
      </c>
      <c r="D835" s="47">
        <v>3</v>
      </c>
      <c r="E835" s="48">
        <v>30077.4</v>
      </c>
      <c r="F835" s="48">
        <v>593</v>
      </c>
      <c r="G835" s="48">
        <v>30670.400000000001</v>
      </c>
      <c r="H835" s="48">
        <v>399403.4</v>
      </c>
      <c r="I835" s="48">
        <v>3009.4</v>
      </c>
      <c r="J835" s="48">
        <v>402412.79999999999</v>
      </c>
      <c r="K835" s="48">
        <v>51259.4</v>
      </c>
      <c r="L835" s="48">
        <v>624.70000000000005</v>
      </c>
      <c r="M835" s="48">
        <v>16172.6</v>
      </c>
      <c r="N835" s="48">
        <v>3927.1</v>
      </c>
    </row>
    <row r="836" spans="1:14" ht="10.050000000000001" customHeight="1">
      <c r="A836" s="45" t="s">
        <v>80</v>
      </c>
      <c r="B836" s="46">
        <v>2017</v>
      </c>
      <c r="C836" s="45" t="s">
        <v>123</v>
      </c>
      <c r="D836" s="47">
        <v>4</v>
      </c>
      <c r="E836" s="48">
        <v>98320.400000000096</v>
      </c>
      <c r="F836" s="48">
        <v>0</v>
      </c>
      <c r="G836" s="48">
        <v>98320.400000000096</v>
      </c>
      <c r="H836" s="48">
        <v>645257.19999999995</v>
      </c>
      <c r="I836" s="48">
        <v>4170.5</v>
      </c>
      <c r="J836" s="48">
        <v>649427.69999999995</v>
      </c>
      <c r="K836" s="48">
        <v>63662.5</v>
      </c>
      <c r="L836" s="48">
        <v>8481.1</v>
      </c>
      <c r="M836" s="48">
        <v>54827.4</v>
      </c>
      <c r="N836" s="48">
        <v>1286.3</v>
      </c>
    </row>
    <row r="837" spans="1:14" ht="10.050000000000001" customHeight="1">
      <c r="A837" s="45" t="s">
        <v>83</v>
      </c>
      <c r="B837" s="46">
        <v>2017</v>
      </c>
      <c r="C837" s="45" t="s">
        <v>123</v>
      </c>
      <c r="D837" s="47">
        <v>4</v>
      </c>
      <c r="E837" s="48">
        <v>345.8</v>
      </c>
      <c r="F837" s="48">
        <v>1220.3</v>
      </c>
      <c r="G837" s="48">
        <v>1566.1</v>
      </c>
      <c r="H837" s="48">
        <v>12093.1</v>
      </c>
      <c r="I837" s="48">
        <v>754.3</v>
      </c>
      <c r="J837" s="48">
        <v>12847.4</v>
      </c>
      <c r="K837" s="48">
        <v>133.69999999999999</v>
      </c>
      <c r="L837" s="48">
        <v>22.4</v>
      </c>
      <c r="M837" s="48">
        <v>107.1</v>
      </c>
      <c r="N837" s="48">
        <v>0</v>
      </c>
    </row>
    <row r="838" spans="1:14" ht="10.050000000000001" customHeight="1">
      <c r="A838" s="45" t="s">
        <v>82</v>
      </c>
      <c r="B838" s="46">
        <v>2017</v>
      </c>
      <c r="C838" s="45" t="s">
        <v>123</v>
      </c>
      <c r="D838" s="47">
        <v>4</v>
      </c>
      <c r="E838" s="48">
        <v>3747</v>
      </c>
      <c r="F838" s="48">
        <v>0</v>
      </c>
      <c r="G838" s="48">
        <v>3747</v>
      </c>
      <c r="H838" s="48">
        <v>94047.2</v>
      </c>
      <c r="I838" s="48">
        <v>4699.6000000000004</v>
      </c>
      <c r="J838" s="48">
        <v>98746.8</v>
      </c>
      <c r="K838" s="48">
        <v>3519.4</v>
      </c>
      <c r="L838" s="48">
        <v>724.9</v>
      </c>
      <c r="M838" s="48">
        <v>1350.6</v>
      </c>
      <c r="N838" s="48">
        <v>339.5</v>
      </c>
    </row>
    <row r="839" spans="1:14" ht="10.050000000000001" customHeight="1">
      <c r="A839" s="45" t="s">
        <v>81</v>
      </c>
      <c r="B839" s="46">
        <v>2017</v>
      </c>
      <c r="C839" s="45" t="s">
        <v>123</v>
      </c>
      <c r="D839" s="47">
        <v>4</v>
      </c>
      <c r="E839" s="48">
        <v>21974.9</v>
      </c>
      <c r="F839" s="48">
        <v>0</v>
      </c>
      <c r="G839" s="48">
        <v>21974.9</v>
      </c>
      <c r="H839" s="48">
        <v>318481.8</v>
      </c>
      <c r="I839" s="48">
        <v>2418.6</v>
      </c>
      <c r="J839" s="48">
        <v>320900.40000000002</v>
      </c>
      <c r="K839" s="48">
        <v>37197</v>
      </c>
      <c r="L839" s="48">
        <v>461.5</v>
      </c>
      <c r="M839" s="48">
        <v>13021.6</v>
      </c>
      <c r="N839" s="48">
        <v>1572.2</v>
      </c>
    </row>
    <row r="840" spans="1:14" ht="10.050000000000001" customHeight="1">
      <c r="A840" s="45" t="s">
        <v>80</v>
      </c>
      <c r="B840" s="46">
        <v>2017</v>
      </c>
      <c r="C840" s="45" t="s">
        <v>123</v>
      </c>
      <c r="D840" s="47">
        <v>5</v>
      </c>
      <c r="E840" s="48">
        <v>85195.4</v>
      </c>
      <c r="F840" s="48">
        <v>0</v>
      </c>
      <c r="G840" s="48">
        <v>85195.4</v>
      </c>
      <c r="H840" s="48">
        <v>355714.9</v>
      </c>
      <c r="I840" s="48">
        <v>3775.2</v>
      </c>
      <c r="J840" s="48">
        <v>359490.1</v>
      </c>
      <c r="K840" s="48">
        <v>19770.599999999999</v>
      </c>
      <c r="L840" s="48">
        <v>5119.8</v>
      </c>
      <c r="M840" s="48">
        <v>47641.3</v>
      </c>
      <c r="N840" s="48">
        <v>1457.3</v>
      </c>
    </row>
    <row r="841" spans="1:14" ht="10.050000000000001" customHeight="1">
      <c r="A841" s="45" t="s">
        <v>83</v>
      </c>
      <c r="B841" s="46">
        <v>2017</v>
      </c>
      <c r="C841" s="45" t="s">
        <v>123</v>
      </c>
      <c r="D841" s="47">
        <v>5</v>
      </c>
      <c r="E841" s="48">
        <v>310.8</v>
      </c>
      <c r="F841" s="48">
        <v>184.7</v>
      </c>
      <c r="G841" s="48">
        <v>495.5</v>
      </c>
      <c r="H841" s="48">
        <v>10344.5</v>
      </c>
      <c r="I841" s="48">
        <v>906.8</v>
      </c>
      <c r="J841" s="48">
        <v>11251.3</v>
      </c>
      <c r="K841" s="48">
        <v>91.9</v>
      </c>
      <c r="L841" s="48">
        <v>0.1</v>
      </c>
      <c r="M841" s="48">
        <v>19.2</v>
      </c>
      <c r="N841" s="48">
        <v>22.7</v>
      </c>
    </row>
    <row r="842" spans="1:14" ht="10.050000000000001" customHeight="1">
      <c r="A842" s="45" t="s">
        <v>82</v>
      </c>
      <c r="B842" s="46">
        <v>2017</v>
      </c>
      <c r="C842" s="45" t="s">
        <v>123</v>
      </c>
      <c r="D842" s="47">
        <v>5</v>
      </c>
      <c r="E842" s="48">
        <v>3627.4</v>
      </c>
      <c r="F842" s="48">
        <v>-88.4</v>
      </c>
      <c r="G842" s="48">
        <v>3539</v>
      </c>
      <c r="H842" s="48">
        <v>80511</v>
      </c>
      <c r="I842" s="48">
        <v>4384.3</v>
      </c>
      <c r="J842" s="48">
        <v>84895.3</v>
      </c>
      <c r="K842" s="48">
        <v>2859.7</v>
      </c>
      <c r="L842" s="48">
        <v>708</v>
      </c>
      <c r="M842" s="48">
        <v>1010.8</v>
      </c>
      <c r="N842" s="48">
        <v>368.3</v>
      </c>
    </row>
    <row r="843" spans="1:14" ht="10.050000000000001" customHeight="1">
      <c r="A843" s="45" t="s">
        <v>81</v>
      </c>
      <c r="B843" s="46">
        <v>2017</v>
      </c>
      <c r="C843" s="45" t="s">
        <v>123</v>
      </c>
      <c r="D843" s="47">
        <v>5</v>
      </c>
      <c r="E843" s="48">
        <v>19851.5</v>
      </c>
      <c r="F843" s="48">
        <v>0</v>
      </c>
      <c r="G843" s="48">
        <v>19851.5</v>
      </c>
      <c r="H843" s="48">
        <v>206934.6</v>
      </c>
      <c r="I843" s="48">
        <v>2356.6999999999998</v>
      </c>
      <c r="J843" s="48">
        <v>209291.3</v>
      </c>
      <c r="K843" s="48">
        <v>16977.599999999999</v>
      </c>
      <c r="L843" s="48">
        <v>595.1</v>
      </c>
      <c r="M843" s="48">
        <v>13640.4</v>
      </c>
      <c r="N843" s="48">
        <v>7174.5</v>
      </c>
    </row>
    <row r="844" spans="1:14" ht="10.050000000000001" customHeight="1">
      <c r="A844" s="45" t="s">
        <v>80</v>
      </c>
      <c r="B844" s="46">
        <v>2017</v>
      </c>
      <c r="C844" s="45" t="s">
        <v>123</v>
      </c>
      <c r="D844" s="47">
        <v>6</v>
      </c>
      <c r="E844" s="48">
        <v>29013.8</v>
      </c>
      <c r="F844" s="48">
        <v>164.3</v>
      </c>
      <c r="G844" s="48">
        <v>29178.1</v>
      </c>
      <c r="H844" s="48">
        <v>128640.7</v>
      </c>
      <c r="I844" s="48">
        <v>2941.9</v>
      </c>
      <c r="J844" s="48">
        <v>131582.6</v>
      </c>
      <c r="K844" s="48">
        <v>11421.2</v>
      </c>
      <c r="L844" s="48">
        <v>7142.2</v>
      </c>
      <c r="M844" s="48">
        <v>13023.8</v>
      </c>
      <c r="N844" s="48">
        <v>3305.9</v>
      </c>
    </row>
    <row r="845" spans="1:14" ht="10.050000000000001" customHeight="1">
      <c r="A845" s="45" t="s">
        <v>83</v>
      </c>
      <c r="B845" s="46">
        <v>2017</v>
      </c>
      <c r="C845" s="45" t="s">
        <v>123</v>
      </c>
      <c r="D845" s="47">
        <v>6</v>
      </c>
      <c r="E845" s="48">
        <v>350.8</v>
      </c>
      <c r="F845" s="48">
        <v>0</v>
      </c>
      <c r="G845" s="48">
        <v>350.8</v>
      </c>
      <c r="H845" s="48">
        <v>7365.6</v>
      </c>
      <c r="I845" s="48">
        <v>713.9</v>
      </c>
      <c r="J845" s="48">
        <v>8079.5</v>
      </c>
      <c r="K845" s="48">
        <v>17</v>
      </c>
      <c r="L845" s="48">
        <v>51.4</v>
      </c>
      <c r="M845" s="48">
        <v>51.5</v>
      </c>
      <c r="N845" s="48">
        <v>74.8</v>
      </c>
    </row>
    <row r="846" spans="1:14" ht="10.050000000000001" customHeight="1">
      <c r="A846" s="45" t="s">
        <v>82</v>
      </c>
      <c r="B846" s="46">
        <v>2017</v>
      </c>
      <c r="C846" s="45" t="s">
        <v>123</v>
      </c>
      <c r="D846" s="47">
        <v>6</v>
      </c>
      <c r="E846" s="48">
        <v>4675.7</v>
      </c>
      <c r="F846" s="48">
        <v>7.7</v>
      </c>
      <c r="G846" s="48">
        <v>4683.3999999999996</v>
      </c>
      <c r="H846" s="48">
        <v>55395.199999999997</v>
      </c>
      <c r="I846" s="48">
        <v>2300.1999999999998</v>
      </c>
      <c r="J846" s="48">
        <v>57695.4</v>
      </c>
      <c r="K846" s="48">
        <v>2246.1</v>
      </c>
      <c r="L846" s="48">
        <v>1163.5999999999999</v>
      </c>
      <c r="M846" s="48">
        <v>1282.5</v>
      </c>
      <c r="N846" s="48">
        <v>536.20000000000005</v>
      </c>
    </row>
    <row r="847" spans="1:14" ht="10.050000000000001" customHeight="1">
      <c r="A847" s="45" t="s">
        <v>81</v>
      </c>
      <c r="B847" s="46">
        <v>2017</v>
      </c>
      <c r="C847" s="45" t="s">
        <v>123</v>
      </c>
      <c r="D847" s="47">
        <v>6</v>
      </c>
      <c r="E847" s="48">
        <v>13468.3</v>
      </c>
      <c r="F847" s="48">
        <v>-135.80000000000001</v>
      </c>
      <c r="G847" s="48">
        <v>13332.5</v>
      </c>
      <c r="H847" s="48">
        <v>90093.7</v>
      </c>
      <c r="I847" s="48">
        <v>435.3</v>
      </c>
      <c r="J847" s="48">
        <v>90529</v>
      </c>
      <c r="K847" s="48">
        <v>7025.1</v>
      </c>
      <c r="L847" s="48">
        <v>637.70000000000005</v>
      </c>
      <c r="M847" s="48">
        <v>7617.5</v>
      </c>
      <c r="N847" s="48">
        <v>2934.5</v>
      </c>
    </row>
    <row r="848" spans="1:14" ht="10.050000000000001" customHeight="1">
      <c r="A848" s="45" t="s">
        <v>80</v>
      </c>
      <c r="B848" s="46">
        <v>2017</v>
      </c>
      <c r="C848" s="45" t="s">
        <v>124</v>
      </c>
      <c r="D848" s="47">
        <v>7</v>
      </c>
      <c r="E848" s="48">
        <v>2771439.3</v>
      </c>
      <c r="F848" s="48">
        <v>13412.8</v>
      </c>
      <c r="G848" s="48">
        <v>2784852.1</v>
      </c>
      <c r="H848" s="48">
        <v>2549559.2000000002</v>
      </c>
      <c r="I848" s="48">
        <v>11566</v>
      </c>
      <c r="J848" s="48">
        <v>2561125.2000000002</v>
      </c>
      <c r="K848" s="48">
        <v>1367174.6</v>
      </c>
      <c r="L848" s="48">
        <v>1608703.7</v>
      </c>
      <c r="M848" s="48">
        <v>245325</v>
      </c>
      <c r="N848" s="48">
        <v>6098.8</v>
      </c>
    </row>
    <row r="849" spans="1:14" ht="10.050000000000001" customHeight="1">
      <c r="A849" s="45" t="s">
        <v>83</v>
      </c>
      <c r="B849" s="46">
        <v>2017</v>
      </c>
      <c r="C849" s="45" t="s">
        <v>124</v>
      </c>
      <c r="D849" s="47">
        <v>7</v>
      </c>
      <c r="E849" s="48">
        <v>15788.9</v>
      </c>
      <c r="F849" s="48">
        <v>0</v>
      </c>
      <c r="G849" s="48">
        <v>15788.9</v>
      </c>
      <c r="H849" s="48">
        <v>21631</v>
      </c>
      <c r="I849" s="48">
        <v>711.2</v>
      </c>
      <c r="J849" s="48">
        <v>22342.2</v>
      </c>
      <c r="K849" s="48">
        <v>2024.9</v>
      </c>
      <c r="L849" s="48">
        <v>2945.2</v>
      </c>
      <c r="M849" s="48">
        <v>937.3</v>
      </c>
      <c r="N849" s="48">
        <v>0</v>
      </c>
    </row>
    <row r="850" spans="1:14" ht="10.050000000000001" customHeight="1">
      <c r="A850" s="45" t="s">
        <v>82</v>
      </c>
      <c r="B850" s="46">
        <v>2017</v>
      </c>
      <c r="C850" s="45" t="s">
        <v>124</v>
      </c>
      <c r="D850" s="47">
        <v>7</v>
      </c>
      <c r="E850" s="48">
        <v>1480.5</v>
      </c>
      <c r="F850" s="48">
        <v>0</v>
      </c>
      <c r="G850" s="48">
        <v>1480.5</v>
      </c>
      <c r="H850" s="48">
        <v>43423.199999999997</v>
      </c>
      <c r="I850" s="48">
        <v>2089.1999999999998</v>
      </c>
      <c r="J850" s="48">
        <v>45512.4</v>
      </c>
      <c r="K850" s="48">
        <v>1816.8</v>
      </c>
      <c r="L850" s="48">
        <v>778.8</v>
      </c>
      <c r="M850" s="48">
        <v>538.20000000000005</v>
      </c>
      <c r="N850" s="48">
        <v>716.8</v>
      </c>
    </row>
    <row r="851" spans="1:14" ht="10.050000000000001" customHeight="1">
      <c r="A851" s="45" t="s">
        <v>81</v>
      </c>
      <c r="B851" s="46">
        <v>2017</v>
      </c>
      <c r="C851" s="45" t="s">
        <v>124</v>
      </c>
      <c r="D851" s="47">
        <v>7</v>
      </c>
      <c r="E851" s="48">
        <v>877.3</v>
      </c>
      <c r="F851" s="48">
        <v>0</v>
      </c>
      <c r="G851" s="48">
        <v>877.3</v>
      </c>
      <c r="H851" s="48">
        <v>61316.9</v>
      </c>
      <c r="I851" s="48">
        <v>418.6</v>
      </c>
      <c r="J851" s="48">
        <v>61735.5</v>
      </c>
      <c r="K851" s="48">
        <v>7068.5</v>
      </c>
      <c r="L851" s="48">
        <v>941</v>
      </c>
      <c r="M851" s="48">
        <v>432.3</v>
      </c>
      <c r="N851" s="48">
        <v>505.3</v>
      </c>
    </row>
    <row r="852" spans="1:14" ht="10.050000000000001" customHeight="1">
      <c r="A852" s="45" t="s">
        <v>80</v>
      </c>
      <c r="B852" s="46">
        <v>2017</v>
      </c>
      <c r="C852" s="45" t="s">
        <v>124</v>
      </c>
      <c r="D852" s="47">
        <v>8</v>
      </c>
      <c r="E852" s="48">
        <v>422631.3</v>
      </c>
      <c r="F852" s="48">
        <v>216</v>
      </c>
      <c r="G852" s="48">
        <v>422847.3</v>
      </c>
      <c r="H852" s="48">
        <v>2529325.1</v>
      </c>
      <c r="I852" s="48">
        <v>10511.1</v>
      </c>
      <c r="J852" s="48">
        <v>2539836.2000000002</v>
      </c>
      <c r="K852" s="48">
        <v>1161649.2</v>
      </c>
      <c r="L852" s="48">
        <v>94304.4</v>
      </c>
      <c r="M852" s="48">
        <v>279053.3</v>
      </c>
      <c r="N852" s="48">
        <v>20776.400000000001</v>
      </c>
    </row>
    <row r="853" spans="1:14" ht="10.050000000000001" customHeight="1">
      <c r="A853" s="45" t="s">
        <v>83</v>
      </c>
      <c r="B853" s="46">
        <v>2017</v>
      </c>
      <c r="C853" s="45" t="s">
        <v>124</v>
      </c>
      <c r="D853" s="47">
        <v>8</v>
      </c>
      <c r="E853" s="48">
        <v>14157.9</v>
      </c>
      <c r="F853" s="48">
        <v>143.6</v>
      </c>
      <c r="G853" s="48">
        <v>14301.5</v>
      </c>
      <c r="H853" s="48">
        <v>33369</v>
      </c>
      <c r="I853" s="48">
        <v>854.7</v>
      </c>
      <c r="J853" s="48">
        <v>34223.699999999997</v>
      </c>
      <c r="K853" s="48">
        <v>1410.7</v>
      </c>
      <c r="L853" s="48">
        <v>2169.1</v>
      </c>
      <c r="M853" s="48">
        <v>2783.3</v>
      </c>
      <c r="N853" s="48">
        <v>0.2</v>
      </c>
    </row>
    <row r="854" spans="1:14" ht="10.050000000000001" customHeight="1">
      <c r="A854" s="45" t="s">
        <v>82</v>
      </c>
      <c r="B854" s="46">
        <v>2017</v>
      </c>
      <c r="C854" s="45" t="s">
        <v>124</v>
      </c>
      <c r="D854" s="47">
        <v>8</v>
      </c>
      <c r="E854" s="48">
        <v>2651.8</v>
      </c>
      <c r="F854" s="48">
        <v>349.8</v>
      </c>
      <c r="G854" s="48">
        <v>3001.6</v>
      </c>
      <c r="H854" s="48">
        <v>37173.699999999997</v>
      </c>
      <c r="I854" s="48">
        <v>2161.8000000000002</v>
      </c>
      <c r="J854" s="48">
        <v>39335.5</v>
      </c>
      <c r="K854" s="48">
        <v>2137.9</v>
      </c>
      <c r="L854" s="48">
        <v>1255.5</v>
      </c>
      <c r="M854" s="48">
        <v>830</v>
      </c>
      <c r="N854" s="48">
        <v>159.9</v>
      </c>
    </row>
    <row r="855" spans="1:14" ht="10.050000000000001" customHeight="1">
      <c r="A855" s="45" t="s">
        <v>81</v>
      </c>
      <c r="B855" s="46">
        <v>2017</v>
      </c>
      <c r="C855" s="45" t="s">
        <v>124</v>
      </c>
      <c r="D855" s="47">
        <v>8</v>
      </c>
      <c r="E855" s="48">
        <v>39484.800000000003</v>
      </c>
      <c r="F855" s="48">
        <v>1301.5999999999999</v>
      </c>
      <c r="G855" s="48">
        <v>40786.400000000001</v>
      </c>
      <c r="H855" s="48">
        <v>76551</v>
      </c>
      <c r="I855" s="48">
        <v>563.5</v>
      </c>
      <c r="J855" s="48">
        <v>77114.5</v>
      </c>
      <c r="K855" s="48">
        <v>37434.699999999997</v>
      </c>
      <c r="L855" s="48">
        <v>31885.599999999999</v>
      </c>
      <c r="M855" s="48">
        <v>1509.3</v>
      </c>
      <c r="N855" s="48">
        <v>8.3000000000000007</v>
      </c>
    </row>
    <row r="856" spans="1:14" ht="10.050000000000001" customHeight="1">
      <c r="A856" s="45" t="s">
        <v>80</v>
      </c>
      <c r="B856" s="46">
        <v>2017</v>
      </c>
      <c r="C856" s="45" t="s">
        <v>124</v>
      </c>
      <c r="D856" s="47">
        <v>9</v>
      </c>
      <c r="E856" s="48">
        <v>282398.2</v>
      </c>
      <c r="F856" s="48">
        <v>16.899999999999999</v>
      </c>
      <c r="G856" s="48">
        <v>282415.09999999998</v>
      </c>
      <c r="H856" s="48">
        <v>2424861.9</v>
      </c>
      <c r="I856" s="48">
        <v>8462.7999999999993</v>
      </c>
      <c r="J856" s="48">
        <v>2433324.7000000002</v>
      </c>
      <c r="K856" s="48">
        <v>960655</v>
      </c>
      <c r="L856" s="48">
        <v>36211.199999999997</v>
      </c>
      <c r="M856" s="48">
        <v>215659.2</v>
      </c>
      <c r="N856" s="48">
        <v>21346.2</v>
      </c>
    </row>
    <row r="857" spans="1:14" ht="10.050000000000001" customHeight="1">
      <c r="A857" s="45" t="s">
        <v>83</v>
      </c>
      <c r="B857" s="46">
        <v>2017</v>
      </c>
      <c r="C857" s="45" t="s">
        <v>124</v>
      </c>
      <c r="D857" s="47">
        <v>9</v>
      </c>
      <c r="E857" s="48">
        <v>3349.9</v>
      </c>
      <c r="F857" s="48">
        <v>1.1000000000000001</v>
      </c>
      <c r="G857" s="48">
        <v>3351</v>
      </c>
      <c r="H857" s="48">
        <v>33882</v>
      </c>
      <c r="I857" s="48">
        <v>812.7</v>
      </c>
      <c r="J857" s="48">
        <v>34694.699999999997</v>
      </c>
      <c r="K857" s="48">
        <v>1005.2</v>
      </c>
      <c r="L857" s="48">
        <v>369.9</v>
      </c>
      <c r="M857" s="48">
        <v>744.9</v>
      </c>
      <c r="N857" s="48">
        <v>43.1</v>
      </c>
    </row>
    <row r="858" spans="1:14" ht="10.050000000000001" customHeight="1">
      <c r="A858" s="45" t="s">
        <v>82</v>
      </c>
      <c r="B858" s="46">
        <v>2017</v>
      </c>
      <c r="C858" s="45" t="s">
        <v>124</v>
      </c>
      <c r="D858" s="47">
        <v>9</v>
      </c>
      <c r="E858" s="48">
        <v>127666.7</v>
      </c>
      <c r="F858" s="48">
        <v>6454.9</v>
      </c>
      <c r="G858" s="48">
        <v>134121.60000000001</v>
      </c>
      <c r="H858" s="48">
        <v>150687.79999999999</v>
      </c>
      <c r="I858" s="48">
        <v>6463</v>
      </c>
      <c r="J858" s="48">
        <v>157150.79999999999</v>
      </c>
      <c r="K858" s="48">
        <v>20909.900000000001</v>
      </c>
      <c r="L858" s="48">
        <v>25008.799999999999</v>
      </c>
      <c r="M858" s="48">
        <v>5899.7</v>
      </c>
      <c r="N858" s="48">
        <v>230.7</v>
      </c>
    </row>
    <row r="859" spans="1:14" ht="10.050000000000001" customHeight="1">
      <c r="A859" s="45" t="s">
        <v>81</v>
      </c>
      <c r="B859" s="46">
        <v>2017</v>
      </c>
      <c r="C859" s="45" t="s">
        <v>124</v>
      </c>
      <c r="D859" s="47">
        <v>9</v>
      </c>
      <c r="E859" s="48">
        <v>850751</v>
      </c>
      <c r="F859" s="48">
        <v>7596.4</v>
      </c>
      <c r="G859" s="48">
        <v>858347.4</v>
      </c>
      <c r="H859" s="48">
        <v>797789.6</v>
      </c>
      <c r="I859" s="48">
        <v>4815.8</v>
      </c>
      <c r="J859" s="48">
        <v>802605.4</v>
      </c>
      <c r="K859" s="48">
        <v>296898.90000000002</v>
      </c>
      <c r="L859" s="48">
        <v>329102.09999999998</v>
      </c>
      <c r="M859" s="48">
        <v>68794.100000000006</v>
      </c>
      <c r="N859" s="48">
        <v>805.7</v>
      </c>
    </row>
    <row r="860" spans="1:14" ht="10.050000000000001" customHeight="1">
      <c r="A860" s="45" t="s">
        <v>80</v>
      </c>
      <c r="B860" s="46">
        <v>2017</v>
      </c>
      <c r="C860" s="45" t="s">
        <v>124</v>
      </c>
      <c r="D860" s="47">
        <v>10</v>
      </c>
      <c r="E860" s="48">
        <v>137825.9</v>
      </c>
      <c r="F860" s="48">
        <v>31.6</v>
      </c>
      <c r="G860" s="48">
        <v>137857.5</v>
      </c>
      <c r="H860" s="48">
        <v>2190271.1</v>
      </c>
      <c r="I860" s="48">
        <v>8471.2000000000007</v>
      </c>
      <c r="J860" s="48">
        <v>2198742.2999999998</v>
      </c>
      <c r="K860" s="48">
        <v>865448.6</v>
      </c>
      <c r="L860" s="48">
        <v>12595.5</v>
      </c>
      <c r="M860" s="48">
        <v>103672</v>
      </c>
      <c r="N860" s="48">
        <v>4091.1</v>
      </c>
    </row>
    <row r="861" spans="1:14" ht="10.050000000000001" customHeight="1">
      <c r="A861" s="45" t="s">
        <v>83</v>
      </c>
      <c r="B861" s="46">
        <v>2017</v>
      </c>
      <c r="C861" s="45" t="s">
        <v>124</v>
      </c>
      <c r="D861" s="47">
        <v>10</v>
      </c>
      <c r="E861" s="48">
        <v>1211.4000000000001</v>
      </c>
      <c r="F861" s="48">
        <v>608.20000000000005</v>
      </c>
      <c r="G861" s="48">
        <v>1819.6</v>
      </c>
      <c r="H861" s="48">
        <v>32873</v>
      </c>
      <c r="I861" s="48">
        <v>958.2</v>
      </c>
      <c r="J861" s="48">
        <v>33831.199999999997</v>
      </c>
      <c r="K861" s="48">
        <v>859.1</v>
      </c>
      <c r="L861" s="48">
        <v>40.700000000000003</v>
      </c>
      <c r="M861" s="48">
        <v>181.8</v>
      </c>
      <c r="N861" s="48">
        <v>7.6</v>
      </c>
    </row>
    <row r="862" spans="1:14" ht="10.050000000000001" customHeight="1">
      <c r="A862" s="45" t="s">
        <v>82</v>
      </c>
      <c r="B862" s="46">
        <v>2017</v>
      </c>
      <c r="C862" s="45" t="s">
        <v>124</v>
      </c>
      <c r="D862" s="47">
        <v>10</v>
      </c>
      <c r="E862" s="48">
        <v>147248.4</v>
      </c>
      <c r="F862" s="48">
        <v>4260.5</v>
      </c>
      <c r="G862" s="48">
        <v>151508.9</v>
      </c>
      <c r="H862" s="48">
        <v>277892.3</v>
      </c>
      <c r="I862" s="48">
        <v>9900.7999999999993</v>
      </c>
      <c r="J862" s="48">
        <v>287793.09999999998</v>
      </c>
      <c r="K862" s="48">
        <v>29852.6</v>
      </c>
      <c r="L862" s="48">
        <v>30639</v>
      </c>
      <c r="M862" s="48">
        <v>21524.5</v>
      </c>
      <c r="N862" s="48">
        <v>171.9</v>
      </c>
    </row>
    <row r="863" spans="1:14" ht="10.050000000000001" customHeight="1">
      <c r="A863" s="45" t="s">
        <v>81</v>
      </c>
      <c r="B863" s="46">
        <v>2017</v>
      </c>
      <c r="C863" s="45" t="s">
        <v>124</v>
      </c>
      <c r="D863" s="47">
        <v>10</v>
      </c>
      <c r="E863" s="48">
        <v>244510.8</v>
      </c>
      <c r="F863" s="48">
        <v>3776.7</v>
      </c>
      <c r="G863" s="48">
        <v>248287.5</v>
      </c>
      <c r="H863" s="48">
        <v>916964.5</v>
      </c>
      <c r="I863" s="48">
        <v>5907.3</v>
      </c>
      <c r="J863" s="48">
        <v>922871.8</v>
      </c>
      <c r="K863" s="48">
        <v>270958.59999999998</v>
      </c>
      <c r="L863" s="48">
        <v>74606.7</v>
      </c>
      <c r="M863" s="48">
        <v>97966.7</v>
      </c>
      <c r="N863" s="48">
        <v>2456.5</v>
      </c>
    </row>
    <row r="864" spans="1:14" ht="10.050000000000001" customHeight="1">
      <c r="A864" s="45" t="s">
        <v>80</v>
      </c>
      <c r="B864" s="46">
        <v>2017</v>
      </c>
      <c r="C864" s="45" t="s">
        <v>124</v>
      </c>
      <c r="D864" s="47">
        <v>11</v>
      </c>
      <c r="E864" s="48">
        <v>273237.90000000002</v>
      </c>
      <c r="F864" s="48">
        <v>222.1</v>
      </c>
      <c r="G864" s="48">
        <v>273460</v>
      </c>
      <c r="H864" s="48">
        <v>1998760.7</v>
      </c>
      <c r="I864" s="48">
        <v>8471.2000000000007</v>
      </c>
      <c r="J864" s="48">
        <v>2007231.9</v>
      </c>
      <c r="K864" s="48">
        <v>691328.9</v>
      </c>
      <c r="L864" s="48">
        <v>26593.599999999999</v>
      </c>
      <c r="M864" s="48">
        <v>173659.8</v>
      </c>
      <c r="N864" s="48">
        <v>27054</v>
      </c>
    </row>
    <row r="865" spans="1:14" ht="10.050000000000001" customHeight="1">
      <c r="A865" s="45" t="s">
        <v>83</v>
      </c>
      <c r="B865" s="46">
        <v>2017</v>
      </c>
      <c r="C865" s="45" t="s">
        <v>124</v>
      </c>
      <c r="D865" s="47">
        <v>11</v>
      </c>
      <c r="E865" s="48">
        <v>1158.8</v>
      </c>
      <c r="F865" s="48">
        <v>109.4</v>
      </c>
      <c r="G865" s="48">
        <v>1268.2</v>
      </c>
      <c r="H865" s="48">
        <v>31159.9</v>
      </c>
      <c r="I865" s="48">
        <v>1033.7</v>
      </c>
      <c r="J865" s="48">
        <v>32193.599999999999</v>
      </c>
      <c r="K865" s="48">
        <v>1868.3</v>
      </c>
      <c r="L865" s="48">
        <v>1384</v>
      </c>
      <c r="M865" s="48">
        <v>361.3</v>
      </c>
      <c r="N865" s="48">
        <v>13.4</v>
      </c>
    </row>
    <row r="866" spans="1:14" ht="10.050000000000001" customHeight="1">
      <c r="A866" s="45" t="s">
        <v>82</v>
      </c>
      <c r="B866" s="46">
        <v>2017</v>
      </c>
      <c r="C866" s="45" t="s">
        <v>124</v>
      </c>
      <c r="D866" s="47">
        <v>11</v>
      </c>
      <c r="E866" s="48">
        <v>33341.199999999997</v>
      </c>
      <c r="F866" s="48">
        <v>2160.4</v>
      </c>
      <c r="G866" s="48">
        <v>35501.599999999999</v>
      </c>
      <c r="H866" s="48">
        <v>273646.2</v>
      </c>
      <c r="I866" s="48">
        <v>11853.6</v>
      </c>
      <c r="J866" s="48">
        <v>285499.8</v>
      </c>
      <c r="K866" s="48">
        <v>21122.1</v>
      </c>
      <c r="L866" s="48">
        <v>3596.8</v>
      </c>
      <c r="M866" s="48">
        <v>10898.4</v>
      </c>
      <c r="N866" s="48">
        <v>1448.2</v>
      </c>
    </row>
    <row r="867" spans="1:14" ht="10.050000000000001" customHeight="1">
      <c r="A867" s="45" t="s">
        <v>81</v>
      </c>
      <c r="B867" s="46">
        <v>2017</v>
      </c>
      <c r="C867" s="45" t="s">
        <v>124</v>
      </c>
      <c r="D867" s="47">
        <v>11</v>
      </c>
      <c r="E867" s="48">
        <v>80666.899999999994</v>
      </c>
      <c r="F867" s="48">
        <v>2704.2</v>
      </c>
      <c r="G867" s="48">
        <v>83371.100000000006</v>
      </c>
      <c r="H867" s="48">
        <v>886457.6</v>
      </c>
      <c r="I867" s="48">
        <v>6612.5</v>
      </c>
      <c r="J867" s="48">
        <v>893070.1</v>
      </c>
      <c r="K867" s="48">
        <v>203870.4</v>
      </c>
      <c r="L867" s="48">
        <v>4358.8</v>
      </c>
      <c r="M867" s="48">
        <v>63605.1</v>
      </c>
      <c r="N867" s="48">
        <v>7598.8</v>
      </c>
    </row>
    <row r="868" spans="1:14" ht="10.050000000000001" customHeight="1">
      <c r="A868" s="45" t="s">
        <v>80</v>
      </c>
      <c r="B868" s="46">
        <v>2017</v>
      </c>
      <c r="C868" s="45" t="s">
        <v>124</v>
      </c>
      <c r="D868" s="47">
        <v>12</v>
      </c>
      <c r="E868" s="48">
        <v>135144</v>
      </c>
      <c r="F868" s="48">
        <v>541.29999999999995</v>
      </c>
      <c r="G868" s="48">
        <v>135685.29999999999</v>
      </c>
      <c r="H868" s="48">
        <v>1752660</v>
      </c>
      <c r="I868" s="48">
        <v>7670.4</v>
      </c>
      <c r="J868" s="48">
        <v>1760330.4</v>
      </c>
      <c r="K868" s="48">
        <v>624942.6</v>
      </c>
      <c r="L868" s="48">
        <v>21860.7</v>
      </c>
      <c r="M868" s="48">
        <v>80634</v>
      </c>
      <c r="N868" s="48">
        <v>7612.4</v>
      </c>
    </row>
    <row r="869" spans="1:14" ht="10.050000000000001" customHeight="1">
      <c r="A869" s="45" t="s">
        <v>83</v>
      </c>
      <c r="B869" s="46">
        <v>2017</v>
      </c>
      <c r="C869" s="45" t="s">
        <v>124</v>
      </c>
      <c r="D869" s="47">
        <v>12</v>
      </c>
      <c r="E869" s="48">
        <v>636.29999999999995</v>
      </c>
      <c r="F869" s="48">
        <v>0</v>
      </c>
      <c r="G869" s="48">
        <v>636.29999999999995</v>
      </c>
      <c r="H869" s="48">
        <v>29577.8</v>
      </c>
      <c r="I869" s="48">
        <v>1030.8</v>
      </c>
      <c r="J869" s="48">
        <v>30608.6</v>
      </c>
      <c r="K869" s="48">
        <v>510.1</v>
      </c>
      <c r="L869" s="48">
        <v>1</v>
      </c>
      <c r="M869" s="48">
        <v>46.3</v>
      </c>
      <c r="N869" s="48">
        <v>1312.9</v>
      </c>
    </row>
    <row r="870" spans="1:14" ht="10.050000000000001" customHeight="1">
      <c r="A870" s="45" t="s">
        <v>82</v>
      </c>
      <c r="B870" s="46">
        <v>2017</v>
      </c>
      <c r="C870" s="45" t="s">
        <v>124</v>
      </c>
      <c r="D870" s="47">
        <v>12</v>
      </c>
      <c r="E870" s="48">
        <v>7973.6</v>
      </c>
      <c r="F870" s="48">
        <v>271.5</v>
      </c>
      <c r="G870" s="48">
        <v>8245.1</v>
      </c>
      <c r="H870" s="48">
        <v>251990.8</v>
      </c>
      <c r="I870" s="48">
        <v>11047.1</v>
      </c>
      <c r="J870" s="48">
        <v>263037.90000000002</v>
      </c>
      <c r="K870" s="48">
        <v>18066</v>
      </c>
      <c r="L870" s="48">
        <v>756.1</v>
      </c>
      <c r="M870" s="48">
        <v>3074.6</v>
      </c>
      <c r="N870" s="48">
        <v>782</v>
      </c>
    </row>
    <row r="871" spans="1:14" ht="10.050000000000001" customHeight="1">
      <c r="A871" s="45" t="s">
        <v>81</v>
      </c>
      <c r="B871" s="46">
        <v>2017</v>
      </c>
      <c r="C871" s="45" t="s">
        <v>124</v>
      </c>
      <c r="D871" s="47">
        <v>12</v>
      </c>
      <c r="E871" s="48">
        <v>37248.6</v>
      </c>
      <c r="F871" s="48">
        <v>107.1</v>
      </c>
      <c r="G871" s="48">
        <v>37355.699999999997</v>
      </c>
      <c r="H871" s="48">
        <v>848445.3</v>
      </c>
      <c r="I871" s="48">
        <v>5059.1000000000004</v>
      </c>
      <c r="J871" s="48">
        <v>853504.4</v>
      </c>
      <c r="K871" s="48">
        <v>177070.8</v>
      </c>
      <c r="L871" s="48">
        <v>5573.9</v>
      </c>
      <c r="M871" s="48">
        <v>28487.7</v>
      </c>
      <c r="N871" s="48">
        <v>3885.6</v>
      </c>
    </row>
    <row r="872" spans="1:14" ht="10.050000000000001" customHeight="1">
      <c r="A872" s="45" t="s">
        <v>80</v>
      </c>
      <c r="B872" s="46">
        <v>2018</v>
      </c>
      <c r="C872" s="45" t="s">
        <v>124</v>
      </c>
      <c r="D872" s="47">
        <v>1</v>
      </c>
      <c r="E872" s="48">
        <v>135590.6</v>
      </c>
      <c r="F872" s="48">
        <v>0</v>
      </c>
      <c r="G872" s="48">
        <v>135590.6</v>
      </c>
      <c r="H872" s="48">
        <v>1456056</v>
      </c>
      <c r="I872" s="48">
        <v>3481.4</v>
      </c>
      <c r="J872" s="48">
        <v>1459537.4</v>
      </c>
      <c r="K872" s="48">
        <v>550677.1</v>
      </c>
      <c r="L872" s="48">
        <v>19414.099999999999</v>
      </c>
      <c r="M872" s="48">
        <v>87717.7</v>
      </c>
      <c r="N872" s="48">
        <v>5962</v>
      </c>
    </row>
    <row r="873" spans="1:14" ht="10.050000000000001" customHeight="1">
      <c r="A873" s="45" t="s">
        <v>83</v>
      </c>
      <c r="B873" s="46">
        <v>2018</v>
      </c>
      <c r="C873" s="45" t="s">
        <v>124</v>
      </c>
      <c r="D873" s="47">
        <v>1</v>
      </c>
      <c r="E873" s="48">
        <v>863</v>
      </c>
      <c r="F873" s="48">
        <v>0</v>
      </c>
      <c r="G873" s="48">
        <v>863</v>
      </c>
      <c r="H873" s="48">
        <v>27553.1</v>
      </c>
      <c r="I873" s="48">
        <v>929.1</v>
      </c>
      <c r="J873" s="48">
        <v>28482.2</v>
      </c>
      <c r="K873" s="48">
        <v>422.1</v>
      </c>
      <c r="L873" s="48">
        <v>0.6</v>
      </c>
      <c r="M873" s="48">
        <v>88.5</v>
      </c>
      <c r="N873" s="48">
        <v>0</v>
      </c>
    </row>
    <row r="874" spans="1:14" ht="10.050000000000001" customHeight="1">
      <c r="A874" s="45" t="s">
        <v>82</v>
      </c>
      <c r="B874" s="46">
        <v>2018</v>
      </c>
      <c r="C874" s="45" t="s">
        <v>124</v>
      </c>
      <c r="D874" s="47">
        <v>1</v>
      </c>
      <c r="E874" s="48">
        <v>7821.1</v>
      </c>
      <c r="F874" s="48">
        <v>389.4</v>
      </c>
      <c r="G874" s="48">
        <v>8210.5</v>
      </c>
      <c r="H874" s="48">
        <v>233652.9</v>
      </c>
      <c r="I874" s="48">
        <v>9893.9</v>
      </c>
      <c r="J874" s="48">
        <v>243546.8</v>
      </c>
      <c r="K874" s="48">
        <v>14437.8</v>
      </c>
      <c r="L874" s="48">
        <v>808.3</v>
      </c>
      <c r="M874" s="48">
        <v>4034.7</v>
      </c>
      <c r="N874" s="48">
        <v>463.5</v>
      </c>
    </row>
    <row r="875" spans="1:14" ht="10.050000000000001" customHeight="1">
      <c r="A875" s="45" t="s">
        <v>81</v>
      </c>
      <c r="B875" s="46">
        <v>2018</v>
      </c>
      <c r="C875" s="45" t="s">
        <v>124</v>
      </c>
      <c r="D875" s="47">
        <v>1</v>
      </c>
      <c r="E875" s="48">
        <v>34052.199999999997</v>
      </c>
      <c r="F875" s="48">
        <v>422.9</v>
      </c>
      <c r="G875" s="48">
        <v>34475.1</v>
      </c>
      <c r="H875" s="48">
        <v>775318.8</v>
      </c>
      <c r="I875" s="48">
        <v>3764.7</v>
      </c>
      <c r="J875" s="48">
        <v>779083.5</v>
      </c>
      <c r="K875" s="48">
        <v>148516.1</v>
      </c>
      <c r="L875" s="48">
        <v>2266.8000000000002</v>
      </c>
      <c r="M875" s="48">
        <v>23099.1</v>
      </c>
      <c r="N875" s="48">
        <v>7722.6</v>
      </c>
    </row>
    <row r="876" spans="1:14" ht="10.050000000000001" customHeight="1">
      <c r="A876" s="45" t="s">
        <v>80</v>
      </c>
      <c r="B876" s="46">
        <v>2018</v>
      </c>
      <c r="C876" s="45" t="s">
        <v>124</v>
      </c>
      <c r="D876" s="47">
        <v>2</v>
      </c>
      <c r="E876" s="48">
        <v>174152.9</v>
      </c>
      <c r="F876" s="48">
        <v>0</v>
      </c>
      <c r="G876" s="48">
        <v>174152.9</v>
      </c>
      <c r="H876" s="48">
        <v>1159408.7</v>
      </c>
      <c r="I876" s="48">
        <v>3380.9</v>
      </c>
      <c r="J876" s="48">
        <v>1162789.6000000001</v>
      </c>
      <c r="K876" s="48">
        <v>468760.4</v>
      </c>
      <c r="L876" s="48">
        <v>20489.2</v>
      </c>
      <c r="M876" s="48">
        <v>94568.9</v>
      </c>
      <c r="N876" s="48">
        <v>7559</v>
      </c>
    </row>
    <row r="877" spans="1:14" ht="10.050000000000001" customHeight="1">
      <c r="A877" s="45" t="s">
        <v>83</v>
      </c>
      <c r="B877" s="46">
        <v>2018</v>
      </c>
      <c r="C877" s="45" t="s">
        <v>124</v>
      </c>
      <c r="D877" s="47">
        <v>2</v>
      </c>
      <c r="E877" s="48">
        <v>681.8</v>
      </c>
      <c r="F877" s="48">
        <v>0</v>
      </c>
      <c r="G877" s="48">
        <v>681.8</v>
      </c>
      <c r="H877" s="48">
        <v>24811.7</v>
      </c>
      <c r="I877" s="48">
        <v>696</v>
      </c>
      <c r="J877" s="48">
        <v>25507.7</v>
      </c>
      <c r="K877" s="48">
        <v>383.1</v>
      </c>
      <c r="L877" s="48">
        <v>0.7</v>
      </c>
      <c r="M877" s="48">
        <v>39.700000000000003</v>
      </c>
      <c r="N877" s="48">
        <v>0</v>
      </c>
    </row>
    <row r="878" spans="1:14" ht="10.050000000000001" customHeight="1">
      <c r="A878" s="45" t="s">
        <v>82</v>
      </c>
      <c r="B878" s="46">
        <v>2018</v>
      </c>
      <c r="C878" s="45" t="s">
        <v>124</v>
      </c>
      <c r="D878" s="47">
        <v>2</v>
      </c>
      <c r="E878" s="48">
        <v>6125.5</v>
      </c>
      <c r="F878" s="48">
        <v>151.9</v>
      </c>
      <c r="G878" s="48">
        <v>6277.4</v>
      </c>
      <c r="H878" s="48">
        <v>202620.2</v>
      </c>
      <c r="I878" s="48">
        <v>9080.9</v>
      </c>
      <c r="J878" s="48">
        <v>211701.1</v>
      </c>
      <c r="K878" s="48">
        <v>11812.4</v>
      </c>
      <c r="L878" s="48">
        <v>576.20000000000005</v>
      </c>
      <c r="M878" s="48">
        <v>2757.3</v>
      </c>
      <c r="N878" s="48">
        <v>444.4</v>
      </c>
    </row>
    <row r="879" spans="1:14" ht="10.050000000000001" customHeight="1">
      <c r="A879" s="45" t="s">
        <v>81</v>
      </c>
      <c r="B879" s="46">
        <v>2018</v>
      </c>
      <c r="C879" s="45" t="s">
        <v>124</v>
      </c>
      <c r="D879" s="47">
        <v>2</v>
      </c>
      <c r="E879" s="48">
        <v>30532.5</v>
      </c>
      <c r="F879" s="48">
        <v>1437</v>
      </c>
      <c r="G879" s="48">
        <v>31969.5</v>
      </c>
      <c r="H879" s="48">
        <v>670959.40000000095</v>
      </c>
      <c r="I879" s="48">
        <v>3124.7</v>
      </c>
      <c r="J879" s="48">
        <v>674084.10000000102</v>
      </c>
      <c r="K879" s="48">
        <v>122955.8</v>
      </c>
      <c r="L879" s="48">
        <v>830.8</v>
      </c>
      <c r="M879" s="48">
        <v>22521.5</v>
      </c>
      <c r="N879" s="48">
        <v>3323.6</v>
      </c>
    </row>
    <row r="880" spans="1:14" ht="10.050000000000001" customHeight="1">
      <c r="A880" s="45" t="s">
        <v>80</v>
      </c>
      <c r="B880" s="46">
        <v>2018</v>
      </c>
      <c r="C880" s="45" t="s">
        <v>124</v>
      </c>
      <c r="D880" s="47">
        <v>3</v>
      </c>
      <c r="E880" s="48">
        <v>184208.4</v>
      </c>
      <c r="F880" s="48">
        <v>0</v>
      </c>
      <c r="G880" s="48">
        <v>184208.4</v>
      </c>
      <c r="H880" s="48">
        <v>908150.2</v>
      </c>
      <c r="I880" s="48">
        <v>3325.9</v>
      </c>
      <c r="J880" s="48">
        <v>911476.1</v>
      </c>
      <c r="K880" s="48">
        <v>358643.6</v>
      </c>
      <c r="L880" s="48">
        <v>20546.2</v>
      </c>
      <c r="M880" s="48">
        <v>127133.7</v>
      </c>
      <c r="N880" s="48">
        <v>3739.4</v>
      </c>
    </row>
    <row r="881" spans="1:14" ht="10.050000000000001" customHeight="1">
      <c r="A881" s="45" t="s">
        <v>83</v>
      </c>
      <c r="B881" s="46">
        <v>2018</v>
      </c>
      <c r="C881" s="45" t="s">
        <v>124</v>
      </c>
      <c r="D881" s="47">
        <v>3</v>
      </c>
      <c r="E881" s="48">
        <v>1021.8</v>
      </c>
      <c r="F881" s="48">
        <v>34.5</v>
      </c>
      <c r="G881" s="48">
        <v>1056.3</v>
      </c>
      <c r="H881" s="48">
        <v>22757.7</v>
      </c>
      <c r="I881" s="48">
        <v>722.1</v>
      </c>
      <c r="J881" s="48">
        <v>23479.8</v>
      </c>
      <c r="K881" s="48">
        <v>351.6</v>
      </c>
      <c r="L881" s="48">
        <v>50.1</v>
      </c>
      <c r="M881" s="48">
        <v>80.5</v>
      </c>
      <c r="N881" s="48">
        <v>1.2</v>
      </c>
    </row>
    <row r="882" spans="1:14" ht="10.050000000000001" customHeight="1">
      <c r="A882" s="45" t="s">
        <v>82</v>
      </c>
      <c r="B882" s="46">
        <v>2018</v>
      </c>
      <c r="C882" s="45" t="s">
        <v>124</v>
      </c>
      <c r="D882" s="47">
        <v>3</v>
      </c>
      <c r="E882" s="48">
        <v>8748.7000000000098</v>
      </c>
      <c r="F882" s="48">
        <v>25.6</v>
      </c>
      <c r="G882" s="48">
        <v>8774.3000000000102</v>
      </c>
      <c r="H882" s="48">
        <v>180671.9</v>
      </c>
      <c r="I882" s="48">
        <v>8861.2999999999993</v>
      </c>
      <c r="J882" s="48">
        <v>189533.2</v>
      </c>
      <c r="K882" s="48">
        <v>8029.6</v>
      </c>
      <c r="L882" s="48">
        <v>1336.8</v>
      </c>
      <c r="M882" s="48">
        <v>4264.5</v>
      </c>
      <c r="N882" s="48">
        <v>890.4</v>
      </c>
    </row>
    <row r="883" spans="1:14" ht="10.050000000000001" customHeight="1">
      <c r="A883" s="45" t="s">
        <v>81</v>
      </c>
      <c r="B883" s="46">
        <v>2018</v>
      </c>
      <c r="C883" s="45" t="s">
        <v>124</v>
      </c>
      <c r="D883" s="47">
        <v>3</v>
      </c>
      <c r="E883" s="48">
        <v>47322.8</v>
      </c>
      <c r="F883" s="48">
        <v>544.4</v>
      </c>
      <c r="G883" s="48">
        <v>47867.199999999997</v>
      </c>
      <c r="H883" s="48">
        <v>531761.9</v>
      </c>
      <c r="I883" s="48">
        <v>2351.5</v>
      </c>
      <c r="J883" s="48">
        <v>534113.4</v>
      </c>
      <c r="K883" s="48">
        <v>83410.3</v>
      </c>
      <c r="L883" s="48">
        <v>758.4</v>
      </c>
      <c r="M883" s="48">
        <v>36040.199999999997</v>
      </c>
      <c r="N883" s="48">
        <v>4859.2</v>
      </c>
    </row>
    <row r="884" spans="1:14" ht="10.050000000000001" customHeight="1">
      <c r="A884" s="45" t="s">
        <v>80</v>
      </c>
      <c r="B884" s="46">
        <v>2018</v>
      </c>
      <c r="C884" s="45" t="s">
        <v>124</v>
      </c>
      <c r="D884" s="47">
        <v>4</v>
      </c>
      <c r="E884" s="48">
        <v>272649.8</v>
      </c>
      <c r="F884" s="48">
        <v>0</v>
      </c>
      <c r="G884" s="48">
        <v>272649.8</v>
      </c>
      <c r="H884" s="48">
        <v>768232.2</v>
      </c>
      <c r="I884" s="48">
        <v>3283.7</v>
      </c>
      <c r="J884" s="48">
        <v>771515.9</v>
      </c>
      <c r="K884" s="48">
        <v>175616.6</v>
      </c>
      <c r="L884" s="48">
        <v>21362.1</v>
      </c>
      <c r="M884" s="48">
        <v>193685.8</v>
      </c>
      <c r="N884" s="48">
        <v>10722.1</v>
      </c>
    </row>
    <row r="885" spans="1:14" ht="10.050000000000001" customHeight="1">
      <c r="A885" s="45" t="s">
        <v>83</v>
      </c>
      <c r="B885" s="46">
        <v>2018</v>
      </c>
      <c r="C885" s="45" t="s">
        <v>124</v>
      </c>
      <c r="D885" s="47">
        <v>4</v>
      </c>
      <c r="E885" s="48">
        <v>428</v>
      </c>
      <c r="F885" s="48">
        <v>649.6</v>
      </c>
      <c r="G885" s="48">
        <v>1077.5999999999999</v>
      </c>
      <c r="H885" s="48">
        <v>20662.900000000001</v>
      </c>
      <c r="I885" s="48">
        <v>749.6</v>
      </c>
      <c r="J885" s="48">
        <v>21412.5</v>
      </c>
      <c r="K885" s="48">
        <v>292.60000000000002</v>
      </c>
      <c r="L885" s="48">
        <v>0</v>
      </c>
      <c r="M885" s="48">
        <v>59</v>
      </c>
      <c r="N885" s="48">
        <v>0</v>
      </c>
    </row>
    <row r="886" spans="1:14" ht="10.050000000000001" customHeight="1">
      <c r="A886" s="45" t="s">
        <v>82</v>
      </c>
      <c r="B886" s="46">
        <v>2018</v>
      </c>
      <c r="C886" s="45" t="s">
        <v>124</v>
      </c>
      <c r="D886" s="47">
        <v>4</v>
      </c>
      <c r="E886" s="48">
        <v>6495.2</v>
      </c>
      <c r="F886" s="48">
        <v>0</v>
      </c>
      <c r="G886" s="48">
        <v>6495.2</v>
      </c>
      <c r="H886" s="48">
        <v>156482</v>
      </c>
      <c r="I886" s="48">
        <v>7085.4</v>
      </c>
      <c r="J886" s="48">
        <v>163567.4</v>
      </c>
      <c r="K886" s="48">
        <v>5687</v>
      </c>
      <c r="L886" s="48">
        <v>703.4</v>
      </c>
      <c r="M886" s="48">
        <v>2618.5</v>
      </c>
      <c r="N886" s="48">
        <v>550.9</v>
      </c>
    </row>
    <row r="887" spans="1:14" ht="10.050000000000001" customHeight="1">
      <c r="A887" s="45" t="s">
        <v>81</v>
      </c>
      <c r="B887" s="46">
        <v>2018</v>
      </c>
      <c r="C887" s="45" t="s">
        <v>124</v>
      </c>
      <c r="D887" s="47">
        <v>4</v>
      </c>
      <c r="E887" s="48">
        <v>39043.4</v>
      </c>
      <c r="F887" s="48">
        <v>0</v>
      </c>
      <c r="G887" s="48">
        <v>39043.4</v>
      </c>
      <c r="H887" s="48">
        <v>438612.3</v>
      </c>
      <c r="I887" s="48">
        <v>2102.6999999999998</v>
      </c>
      <c r="J887" s="48">
        <v>440715</v>
      </c>
      <c r="K887" s="48">
        <v>53158.7</v>
      </c>
      <c r="L887" s="48">
        <v>1264.7</v>
      </c>
      <c r="M887" s="48">
        <v>28890.5</v>
      </c>
      <c r="N887" s="48">
        <v>2057.1</v>
      </c>
    </row>
    <row r="888" spans="1:14" ht="10.050000000000001" customHeight="1">
      <c r="A888" s="45" t="s">
        <v>80</v>
      </c>
      <c r="B888" s="46">
        <v>2018</v>
      </c>
      <c r="C888" s="45" t="s">
        <v>124</v>
      </c>
      <c r="D888" s="47">
        <v>5</v>
      </c>
      <c r="E888" s="48">
        <v>195072.6</v>
      </c>
      <c r="F888" s="48">
        <v>0</v>
      </c>
      <c r="G888" s="48">
        <v>195072.6</v>
      </c>
      <c r="H888" s="48">
        <v>527984.30000000005</v>
      </c>
      <c r="I888" s="48">
        <v>3235.1</v>
      </c>
      <c r="J888" s="48">
        <v>531219.4</v>
      </c>
      <c r="K888" s="48">
        <v>59905.3</v>
      </c>
      <c r="L888" s="48">
        <v>16397.900000000001</v>
      </c>
      <c r="M888" s="48">
        <v>120328.1</v>
      </c>
      <c r="N888" s="48">
        <v>11816.2</v>
      </c>
    </row>
    <row r="889" spans="1:14" ht="10.050000000000001" customHeight="1">
      <c r="A889" s="45" t="s">
        <v>83</v>
      </c>
      <c r="B889" s="46">
        <v>2018</v>
      </c>
      <c r="C889" s="45" t="s">
        <v>124</v>
      </c>
      <c r="D889" s="47">
        <v>5</v>
      </c>
      <c r="E889" s="48">
        <v>732.4</v>
      </c>
      <c r="F889" s="48">
        <v>162.9</v>
      </c>
      <c r="G889" s="48">
        <v>895.3</v>
      </c>
      <c r="H889" s="48">
        <v>18051.5</v>
      </c>
      <c r="I889" s="48">
        <v>715.1</v>
      </c>
      <c r="J889" s="48">
        <v>18766.599999999999</v>
      </c>
      <c r="K889" s="48">
        <v>108.7</v>
      </c>
      <c r="L889" s="48">
        <v>0</v>
      </c>
      <c r="M889" s="48">
        <v>67.5</v>
      </c>
      <c r="N889" s="48">
        <v>116.4</v>
      </c>
    </row>
    <row r="890" spans="1:14" ht="10.050000000000001" customHeight="1">
      <c r="A890" s="45" t="s">
        <v>82</v>
      </c>
      <c r="B890" s="46">
        <v>2018</v>
      </c>
      <c r="C890" s="45" t="s">
        <v>124</v>
      </c>
      <c r="D890" s="47">
        <v>5</v>
      </c>
      <c r="E890" s="48">
        <v>5359.9</v>
      </c>
      <c r="F890" s="48">
        <v>0</v>
      </c>
      <c r="G890" s="48">
        <v>5359.9</v>
      </c>
      <c r="H890" s="48">
        <v>127830.6</v>
      </c>
      <c r="I890" s="48">
        <v>5965.6</v>
      </c>
      <c r="J890" s="48">
        <v>133796.20000000001</v>
      </c>
      <c r="K890" s="48">
        <v>4049.4</v>
      </c>
      <c r="L890" s="48">
        <v>632.4</v>
      </c>
      <c r="M890" s="48">
        <v>1399.6</v>
      </c>
      <c r="N890" s="48">
        <v>909.3</v>
      </c>
    </row>
    <row r="891" spans="1:14" ht="10.050000000000001" customHeight="1">
      <c r="A891" s="45" t="s">
        <v>81</v>
      </c>
      <c r="B891" s="46">
        <v>2018</v>
      </c>
      <c r="C891" s="45" t="s">
        <v>124</v>
      </c>
      <c r="D891" s="47">
        <v>5</v>
      </c>
      <c r="E891" s="48">
        <v>44213.9</v>
      </c>
      <c r="F891" s="48">
        <v>-0.1</v>
      </c>
      <c r="G891" s="48">
        <v>44213.8</v>
      </c>
      <c r="H891" s="48">
        <v>318977.40000000002</v>
      </c>
      <c r="I891" s="48">
        <v>2085.5</v>
      </c>
      <c r="J891" s="48">
        <v>321062.90000000002</v>
      </c>
      <c r="K891" s="48">
        <v>22155.9</v>
      </c>
      <c r="L891" s="48">
        <v>1059.0999999999999</v>
      </c>
      <c r="M891" s="48">
        <v>29495.1</v>
      </c>
      <c r="N891" s="48">
        <v>2557.1999999999998</v>
      </c>
    </row>
    <row r="892" spans="1:14" ht="10.050000000000001" customHeight="1">
      <c r="A892" s="45" t="s">
        <v>80</v>
      </c>
      <c r="B892" s="46">
        <v>2018</v>
      </c>
      <c r="C892" s="45" t="s">
        <v>124</v>
      </c>
      <c r="D892" s="47">
        <v>6</v>
      </c>
      <c r="E892" s="48">
        <v>97058.1</v>
      </c>
      <c r="F892" s="48">
        <v>0</v>
      </c>
      <c r="G892" s="48">
        <v>97058.1</v>
      </c>
      <c r="H892" s="48">
        <v>224985.1</v>
      </c>
      <c r="I892" s="48">
        <v>2602</v>
      </c>
      <c r="J892" s="48">
        <v>227587.1</v>
      </c>
      <c r="K892" s="48">
        <v>63920</v>
      </c>
      <c r="L892" s="48">
        <v>61665.7</v>
      </c>
      <c r="M892" s="48">
        <v>44247.199999999997</v>
      </c>
      <c r="N892" s="48">
        <v>13736.3</v>
      </c>
    </row>
    <row r="893" spans="1:14" ht="10.050000000000001" customHeight="1">
      <c r="A893" s="45" t="s">
        <v>83</v>
      </c>
      <c r="B893" s="46">
        <v>2018</v>
      </c>
      <c r="C893" s="45" t="s">
        <v>124</v>
      </c>
      <c r="D893" s="47">
        <v>6</v>
      </c>
      <c r="E893" s="48">
        <v>655.8</v>
      </c>
      <c r="F893" s="48">
        <v>0</v>
      </c>
      <c r="G893" s="48">
        <v>655.8</v>
      </c>
      <c r="H893" s="48">
        <v>13902.8</v>
      </c>
      <c r="I893" s="48">
        <v>701.9</v>
      </c>
      <c r="J893" s="48">
        <v>14604.7</v>
      </c>
      <c r="K893" s="48">
        <v>32.5</v>
      </c>
      <c r="L893" s="48">
        <v>7.3</v>
      </c>
      <c r="M893" s="48">
        <v>63</v>
      </c>
      <c r="N893" s="48">
        <v>20.5</v>
      </c>
    </row>
    <row r="894" spans="1:14" ht="10.050000000000001" customHeight="1">
      <c r="A894" s="45" t="s">
        <v>82</v>
      </c>
      <c r="B894" s="46">
        <v>2018</v>
      </c>
      <c r="C894" s="45" t="s">
        <v>124</v>
      </c>
      <c r="D894" s="47">
        <v>6</v>
      </c>
      <c r="E894" s="48">
        <v>6817.6</v>
      </c>
      <c r="F894" s="48">
        <v>5.8</v>
      </c>
      <c r="G894" s="48">
        <v>6823.4</v>
      </c>
      <c r="H894" s="48">
        <v>83048.2</v>
      </c>
      <c r="I894" s="48">
        <v>3338.8</v>
      </c>
      <c r="J894" s="48">
        <v>86387</v>
      </c>
      <c r="K894" s="48">
        <v>3609.9</v>
      </c>
      <c r="L894" s="48">
        <v>1404.9</v>
      </c>
      <c r="M894" s="48">
        <v>1708.2</v>
      </c>
      <c r="N894" s="48">
        <v>271.10000000000002</v>
      </c>
    </row>
    <row r="895" spans="1:14" ht="10.050000000000001" customHeight="1">
      <c r="A895" s="45" t="s">
        <v>81</v>
      </c>
      <c r="B895" s="46">
        <v>2018</v>
      </c>
      <c r="C895" s="45" t="s">
        <v>124</v>
      </c>
      <c r="D895" s="47">
        <v>6</v>
      </c>
      <c r="E895" s="48">
        <v>29339</v>
      </c>
      <c r="F895" s="48">
        <v>-53</v>
      </c>
      <c r="G895" s="48">
        <v>29286</v>
      </c>
      <c r="H895" s="48">
        <v>158819.29999999999</v>
      </c>
      <c r="I895" s="48">
        <v>1731.5</v>
      </c>
      <c r="J895" s="48">
        <v>160550.79999999999</v>
      </c>
      <c r="K895" s="48">
        <v>7643.6</v>
      </c>
      <c r="L895" s="48">
        <v>2580.6</v>
      </c>
      <c r="M895" s="48">
        <v>13320.3</v>
      </c>
      <c r="N895" s="48">
        <v>3780.1</v>
      </c>
    </row>
    <row r="896" spans="1:14" ht="10.050000000000001" customHeight="1">
      <c r="A896" s="45" t="s">
        <v>80</v>
      </c>
      <c r="B896" s="46">
        <v>2018</v>
      </c>
      <c r="C896" s="45" t="s">
        <v>125</v>
      </c>
      <c r="D896" s="47">
        <v>7</v>
      </c>
      <c r="E896" s="48">
        <v>2655825.6</v>
      </c>
      <c r="F896" s="48">
        <v>13460.1</v>
      </c>
      <c r="G896" s="48">
        <v>2669285.7000000002</v>
      </c>
      <c r="H896" s="48">
        <v>2548528.1</v>
      </c>
      <c r="I896" s="48">
        <v>10249.700000000001</v>
      </c>
      <c r="J896" s="48">
        <v>2558777.7999999998</v>
      </c>
      <c r="K896" s="48">
        <v>1227489.2</v>
      </c>
      <c r="L896" s="48">
        <v>1477311.8</v>
      </c>
      <c r="M896" s="48">
        <v>308641.3</v>
      </c>
      <c r="N896" s="48">
        <v>4655.3999999999996</v>
      </c>
    </row>
    <row r="897" spans="1:14" ht="10.050000000000001" customHeight="1">
      <c r="A897" s="45" t="s">
        <v>83</v>
      </c>
      <c r="B897" s="46">
        <v>2018</v>
      </c>
      <c r="C897" s="45" t="s">
        <v>125</v>
      </c>
      <c r="D897" s="47">
        <v>7</v>
      </c>
      <c r="E897" s="48">
        <v>13568.3</v>
      </c>
      <c r="F897" s="48">
        <v>0</v>
      </c>
      <c r="G897" s="48">
        <v>13568.3</v>
      </c>
      <c r="H897" s="48">
        <v>24062.1</v>
      </c>
      <c r="I897" s="48">
        <v>701.9</v>
      </c>
      <c r="J897" s="48">
        <v>24764</v>
      </c>
      <c r="K897" s="48">
        <v>2817.3</v>
      </c>
      <c r="L897" s="48">
        <v>3689.8</v>
      </c>
      <c r="M897" s="48">
        <v>905</v>
      </c>
      <c r="N897" s="48">
        <v>0</v>
      </c>
    </row>
    <row r="898" spans="1:14" ht="10.050000000000001" customHeight="1">
      <c r="A898" s="45" t="s">
        <v>82</v>
      </c>
      <c r="B898" s="46">
        <v>2018</v>
      </c>
      <c r="C898" s="45" t="s">
        <v>125</v>
      </c>
      <c r="D898" s="47">
        <v>7</v>
      </c>
      <c r="E898" s="48">
        <v>1517.5</v>
      </c>
      <c r="F898" s="48">
        <v>0</v>
      </c>
      <c r="G898" s="48">
        <v>1517.5</v>
      </c>
      <c r="H898" s="48">
        <v>66529.899999999994</v>
      </c>
      <c r="I898" s="48">
        <v>3116</v>
      </c>
      <c r="J898" s="48">
        <v>69645.899999999994</v>
      </c>
      <c r="K898" s="48">
        <v>2855.3</v>
      </c>
      <c r="L898" s="48">
        <v>816.4</v>
      </c>
      <c r="M898" s="48">
        <v>524.29999999999995</v>
      </c>
      <c r="N898" s="48">
        <v>1014.1</v>
      </c>
    </row>
    <row r="899" spans="1:14" ht="10.050000000000001" customHeight="1">
      <c r="A899" s="45" t="s">
        <v>81</v>
      </c>
      <c r="B899" s="46">
        <v>2018</v>
      </c>
      <c r="C899" s="45" t="s">
        <v>125</v>
      </c>
      <c r="D899" s="47">
        <v>7</v>
      </c>
      <c r="E899" s="48">
        <v>3856.7</v>
      </c>
      <c r="F899" s="48">
        <v>0</v>
      </c>
      <c r="G899" s="48">
        <v>3856.7</v>
      </c>
      <c r="H899" s="48">
        <v>96056.3</v>
      </c>
      <c r="I899" s="48">
        <v>1709.7</v>
      </c>
      <c r="J899" s="48">
        <v>97766</v>
      </c>
      <c r="K899" s="48">
        <v>6781.2</v>
      </c>
      <c r="L899" s="48">
        <v>358.9</v>
      </c>
      <c r="M899" s="48">
        <v>952.7</v>
      </c>
      <c r="N899" s="48">
        <v>261.3</v>
      </c>
    </row>
    <row r="900" spans="1:14" ht="10.050000000000001" customHeight="1">
      <c r="A900" s="45" t="s">
        <v>80</v>
      </c>
      <c r="B900" s="46">
        <v>2018</v>
      </c>
      <c r="C900" s="45" t="s">
        <v>125</v>
      </c>
      <c r="D900" s="47">
        <v>8</v>
      </c>
      <c r="E900" s="48">
        <v>408102.1</v>
      </c>
      <c r="F900" s="48">
        <v>944.8</v>
      </c>
      <c r="G900" s="48">
        <v>409046.9</v>
      </c>
      <c r="H900" s="48">
        <v>2592021.2000000002</v>
      </c>
      <c r="I900" s="48">
        <v>9279.4</v>
      </c>
      <c r="J900" s="48">
        <v>2601300.6</v>
      </c>
      <c r="K900" s="48">
        <v>956942.4</v>
      </c>
      <c r="L900" s="48">
        <v>60729.7</v>
      </c>
      <c r="M900" s="48">
        <v>318941</v>
      </c>
      <c r="N900" s="48">
        <v>12268.5</v>
      </c>
    </row>
    <row r="901" spans="1:14" ht="10.050000000000001" customHeight="1">
      <c r="A901" s="45" t="s">
        <v>83</v>
      </c>
      <c r="B901" s="46">
        <v>2018</v>
      </c>
      <c r="C901" s="45" t="s">
        <v>125</v>
      </c>
      <c r="D901" s="47">
        <v>8</v>
      </c>
      <c r="E901" s="48">
        <v>6590.2</v>
      </c>
      <c r="F901" s="48">
        <v>62.6</v>
      </c>
      <c r="G901" s="48">
        <v>6652.8</v>
      </c>
      <c r="H901" s="48">
        <v>27951.5</v>
      </c>
      <c r="I901" s="48">
        <v>764.5</v>
      </c>
      <c r="J901" s="48">
        <v>28716</v>
      </c>
      <c r="K901" s="48">
        <v>1028.5</v>
      </c>
      <c r="L901" s="48">
        <v>604.6</v>
      </c>
      <c r="M901" s="48">
        <v>2387.6</v>
      </c>
      <c r="N901" s="48">
        <v>5.9</v>
      </c>
    </row>
    <row r="902" spans="1:14" ht="10.050000000000001" customHeight="1">
      <c r="A902" s="45" t="s">
        <v>82</v>
      </c>
      <c r="B902" s="46">
        <v>2018</v>
      </c>
      <c r="C902" s="45" t="s">
        <v>125</v>
      </c>
      <c r="D902" s="47">
        <v>8</v>
      </c>
      <c r="E902" s="48">
        <v>2726.4</v>
      </c>
      <c r="F902" s="48">
        <v>578.29999999999995</v>
      </c>
      <c r="G902" s="48">
        <v>3304.7</v>
      </c>
      <c r="H902" s="48">
        <v>52682.9</v>
      </c>
      <c r="I902" s="48">
        <v>3487</v>
      </c>
      <c r="J902" s="48">
        <v>56169.9</v>
      </c>
      <c r="K902" s="48">
        <v>2801.5</v>
      </c>
      <c r="L902" s="48">
        <v>1061.5999999999999</v>
      </c>
      <c r="M902" s="48">
        <v>756</v>
      </c>
      <c r="N902" s="48">
        <v>359</v>
      </c>
    </row>
    <row r="903" spans="1:14" ht="10.050000000000001" customHeight="1">
      <c r="A903" s="45" t="s">
        <v>81</v>
      </c>
      <c r="B903" s="46">
        <v>2018</v>
      </c>
      <c r="C903" s="45" t="s">
        <v>125</v>
      </c>
      <c r="D903" s="47">
        <v>8</v>
      </c>
      <c r="E903" s="48">
        <v>26606.2</v>
      </c>
      <c r="F903" s="48">
        <v>1746.9</v>
      </c>
      <c r="G903" s="48">
        <v>28353.1</v>
      </c>
      <c r="H903" s="48">
        <v>86559.3</v>
      </c>
      <c r="I903" s="48">
        <v>2137</v>
      </c>
      <c r="J903" s="48">
        <v>88696.3</v>
      </c>
      <c r="K903" s="48">
        <v>19809.7</v>
      </c>
      <c r="L903" s="48">
        <v>14224.2</v>
      </c>
      <c r="M903" s="48">
        <v>1187.4000000000001</v>
      </c>
      <c r="N903" s="48">
        <v>8.1</v>
      </c>
    </row>
    <row r="904" spans="1:14" ht="10.050000000000001" customHeight="1">
      <c r="A904" s="45" t="s">
        <v>80</v>
      </c>
      <c r="B904" s="46">
        <v>2018</v>
      </c>
      <c r="C904" s="45" t="s">
        <v>125</v>
      </c>
      <c r="D904" s="47">
        <v>9</v>
      </c>
      <c r="E904" s="48">
        <v>214335.5</v>
      </c>
      <c r="F904" s="48">
        <v>2132.9</v>
      </c>
      <c r="G904" s="48">
        <v>216468.4</v>
      </c>
      <c r="H904" s="48">
        <v>2475043</v>
      </c>
      <c r="I904" s="48">
        <v>9316.7000000000007</v>
      </c>
      <c r="J904" s="48">
        <v>2484359.7000000002</v>
      </c>
      <c r="K904" s="48">
        <v>831656.9</v>
      </c>
      <c r="L904" s="48">
        <v>36410.300000000003</v>
      </c>
      <c r="M904" s="48">
        <v>151713.60000000001</v>
      </c>
      <c r="N904" s="48">
        <v>9033.2999999999993</v>
      </c>
    </row>
    <row r="905" spans="1:14" ht="10.050000000000001" customHeight="1">
      <c r="A905" s="45" t="s">
        <v>83</v>
      </c>
      <c r="B905" s="46">
        <v>2018</v>
      </c>
      <c r="C905" s="45" t="s">
        <v>125</v>
      </c>
      <c r="D905" s="47">
        <v>9</v>
      </c>
      <c r="E905" s="48">
        <v>1875</v>
      </c>
      <c r="F905" s="48">
        <v>5.3</v>
      </c>
      <c r="G905" s="48">
        <v>1880.3</v>
      </c>
      <c r="H905" s="48">
        <v>26969.5</v>
      </c>
      <c r="I905" s="48">
        <v>752</v>
      </c>
      <c r="J905" s="48">
        <v>27721.5</v>
      </c>
      <c r="K905" s="48">
        <v>742</v>
      </c>
      <c r="L905" s="48">
        <v>141.5</v>
      </c>
      <c r="M905" s="48">
        <v>426.4</v>
      </c>
      <c r="N905" s="48">
        <v>1.7</v>
      </c>
    </row>
    <row r="906" spans="1:14" ht="10.050000000000001" customHeight="1">
      <c r="A906" s="45" t="s">
        <v>82</v>
      </c>
      <c r="B906" s="46">
        <v>2018</v>
      </c>
      <c r="C906" s="45" t="s">
        <v>125</v>
      </c>
      <c r="D906" s="47">
        <v>9</v>
      </c>
      <c r="E906" s="48">
        <v>124082.6</v>
      </c>
      <c r="F906" s="48">
        <v>6009.6</v>
      </c>
      <c r="G906" s="48">
        <v>130092.2</v>
      </c>
      <c r="H906" s="48">
        <v>164470.29999999999</v>
      </c>
      <c r="I906" s="48">
        <v>8040</v>
      </c>
      <c r="J906" s="48">
        <v>172510.3</v>
      </c>
      <c r="K906" s="48">
        <v>31224.1</v>
      </c>
      <c r="L906" s="48">
        <v>40609.1</v>
      </c>
      <c r="M906" s="48">
        <v>11415.7</v>
      </c>
      <c r="N906" s="48">
        <v>520.6</v>
      </c>
    </row>
    <row r="907" spans="1:14" ht="10.050000000000001" customHeight="1">
      <c r="A907" s="45" t="s">
        <v>81</v>
      </c>
      <c r="B907" s="46">
        <v>2018</v>
      </c>
      <c r="C907" s="45" t="s">
        <v>125</v>
      </c>
      <c r="D907" s="47">
        <v>9</v>
      </c>
      <c r="E907" s="48">
        <v>610867</v>
      </c>
      <c r="F907" s="48">
        <v>8018.3</v>
      </c>
      <c r="G907" s="48">
        <v>618885.30000000005</v>
      </c>
      <c r="H907" s="48">
        <v>592031.69999999995</v>
      </c>
      <c r="I907" s="48">
        <v>7150.1</v>
      </c>
      <c r="J907" s="48">
        <v>599181.80000000005</v>
      </c>
      <c r="K907" s="48">
        <v>191929.8</v>
      </c>
      <c r="L907" s="48">
        <v>222815.4</v>
      </c>
      <c r="M907" s="48">
        <v>49059.5</v>
      </c>
      <c r="N907" s="48">
        <v>1636.1</v>
      </c>
    </row>
    <row r="908" spans="1:14" ht="10.050000000000001" customHeight="1">
      <c r="A908" s="45" t="s">
        <v>80</v>
      </c>
      <c r="B908" s="46">
        <v>2018</v>
      </c>
      <c r="C908" s="45" t="s">
        <v>125</v>
      </c>
      <c r="D908" s="47">
        <v>10</v>
      </c>
      <c r="E908" s="48">
        <v>152627.5</v>
      </c>
      <c r="F908" s="48">
        <v>16</v>
      </c>
      <c r="G908" s="48">
        <v>152643.5</v>
      </c>
      <c r="H908" s="48">
        <v>2312334.1</v>
      </c>
      <c r="I908" s="48">
        <v>8352.2999999999993</v>
      </c>
      <c r="J908" s="48">
        <v>2320686.4</v>
      </c>
      <c r="K908" s="48">
        <v>735702.6</v>
      </c>
      <c r="L908" s="48">
        <v>16384.7</v>
      </c>
      <c r="M908" s="48">
        <v>104108</v>
      </c>
      <c r="N908" s="48">
        <v>8357.4</v>
      </c>
    </row>
    <row r="909" spans="1:14" ht="10.050000000000001" customHeight="1">
      <c r="A909" s="45" t="s">
        <v>83</v>
      </c>
      <c r="B909" s="46">
        <v>2018</v>
      </c>
      <c r="C909" s="45" t="s">
        <v>125</v>
      </c>
      <c r="D909" s="47">
        <v>10</v>
      </c>
      <c r="E909" s="48">
        <v>1250.4000000000001</v>
      </c>
      <c r="F909" s="48">
        <v>21.1</v>
      </c>
      <c r="G909" s="48">
        <v>1271.5</v>
      </c>
      <c r="H909" s="48">
        <v>25674.799999999999</v>
      </c>
      <c r="I909" s="48">
        <v>773.1</v>
      </c>
      <c r="J909" s="48">
        <v>26447.9</v>
      </c>
      <c r="K909" s="48">
        <v>630.9</v>
      </c>
      <c r="L909" s="48">
        <v>78.3</v>
      </c>
      <c r="M909" s="48">
        <v>129</v>
      </c>
      <c r="N909" s="48">
        <v>60.5</v>
      </c>
    </row>
    <row r="910" spans="1:14" ht="10.050000000000001" customHeight="1">
      <c r="A910" s="45" t="s">
        <v>82</v>
      </c>
      <c r="B910" s="46">
        <v>2018</v>
      </c>
      <c r="C910" s="45" t="s">
        <v>125</v>
      </c>
      <c r="D910" s="47">
        <v>10</v>
      </c>
      <c r="E910" s="48">
        <v>114501.1</v>
      </c>
      <c r="F910" s="48">
        <v>2488.1999999999998</v>
      </c>
      <c r="G910" s="48">
        <v>116989.3</v>
      </c>
      <c r="H910" s="48">
        <v>256630.9</v>
      </c>
      <c r="I910" s="48">
        <v>10255.1</v>
      </c>
      <c r="J910" s="48">
        <v>266886</v>
      </c>
      <c r="K910" s="48">
        <v>29421.3</v>
      </c>
      <c r="L910" s="48">
        <v>18816.8</v>
      </c>
      <c r="M910" s="48">
        <v>19843.900000000001</v>
      </c>
      <c r="N910" s="48">
        <v>762.6</v>
      </c>
    </row>
    <row r="911" spans="1:14" ht="10.050000000000001" customHeight="1">
      <c r="A911" s="45" t="s">
        <v>81</v>
      </c>
      <c r="B911" s="46">
        <v>2018</v>
      </c>
      <c r="C911" s="45" t="s">
        <v>125</v>
      </c>
      <c r="D911" s="47">
        <v>10</v>
      </c>
      <c r="E911" s="48">
        <v>242812.2</v>
      </c>
      <c r="F911" s="48">
        <v>1387.6</v>
      </c>
      <c r="G911" s="48">
        <v>244199.8</v>
      </c>
      <c r="H911" s="48">
        <v>678017.7</v>
      </c>
      <c r="I911" s="48">
        <v>5588.6</v>
      </c>
      <c r="J911" s="48">
        <v>683606.3</v>
      </c>
      <c r="K911" s="48">
        <v>157040.5</v>
      </c>
      <c r="L911" s="48">
        <v>43776.4</v>
      </c>
      <c r="M911" s="48">
        <v>76738</v>
      </c>
      <c r="N911" s="48">
        <v>2019.3</v>
      </c>
    </row>
    <row r="912" spans="1:14" ht="10.050000000000001" customHeight="1">
      <c r="A912" s="45" t="s">
        <v>80</v>
      </c>
      <c r="B912" s="46">
        <v>2018</v>
      </c>
      <c r="C912" s="45" t="s">
        <v>125</v>
      </c>
      <c r="D912" s="47">
        <v>11</v>
      </c>
      <c r="E912" s="48">
        <v>199568.3</v>
      </c>
      <c r="F912" s="48">
        <v>450.7</v>
      </c>
      <c r="G912" s="48">
        <v>200019</v>
      </c>
      <c r="H912" s="48">
        <v>2195700.1</v>
      </c>
      <c r="I912" s="48">
        <v>4482.1000000000004</v>
      </c>
      <c r="J912" s="48">
        <v>2200182.2000000002</v>
      </c>
      <c r="K912" s="48">
        <v>651326.9</v>
      </c>
      <c r="L912" s="48">
        <v>52912.7</v>
      </c>
      <c r="M912" s="48">
        <v>128549.1</v>
      </c>
      <c r="N912" s="48">
        <v>8533.7000000000007</v>
      </c>
    </row>
    <row r="913" spans="1:14" ht="10.050000000000001" customHeight="1">
      <c r="A913" s="45" t="s">
        <v>83</v>
      </c>
      <c r="B913" s="46">
        <v>2018</v>
      </c>
      <c r="C913" s="45" t="s">
        <v>125</v>
      </c>
      <c r="D913" s="47">
        <v>11</v>
      </c>
      <c r="E913" s="48">
        <v>1119.0999999999999</v>
      </c>
      <c r="F913" s="48">
        <v>537.6</v>
      </c>
      <c r="G913" s="48">
        <v>1656.7</v>
      </c>
      <c r="H913" s="48">
        <v>24109.1</v>
      </c>
      <c r="I913" s="48">
        <v>931.1</v>
      </c>
      <c r="J913" s="48">
        <v>25040.2</v>
      </c>
      <c r="K913" s="48">
        <v>472</v>
      </c>
      <c r="L913" s="48">
        <v>81</v>
      </c>
      <c r="M913" s="48">
        <v>238.6</v>
      </c>
      <c r="N913" s="48">
        <v>1.2</v>
      </c>
    </row>
    <row r="914" spans="1:14" ht="10.050000000000001" customHeight="1">
      <c r="A914" s="45" t="s">
        <v>82</v>
      </c>
      <c r="B914" s="46">
        <v>2018</v>
      </c>
      <c r="C914" s="45" t="s">
        <v>125</v>
      </c>
      <c r="D914" s="47">
        <v>11</v>
      </c>
      <c r="E914" s="48">
        <v>31726.5</v>
      </c>
      <c r="F914" s="48">
        <v>1323.8</v>
      </c>
      <c r="G914" s="48">
        <v>33050.300000000003</v>
      </c>
      <c r="H914" s="48">
        <v>248231.8</v>
      </c>
      <c r="I914" s="48">
        <v>11401.4</v>
      </c>
      <c r="J914" s="48">
        <v>259633.2</v>
      </c>
      <c r="K914" s="48">
        <v>20728.400000000001</v>
      </c>
      <c r="L914" s="48">
        <v>2768.6</v>
      </c>
      <c r="M914" s="48">
        <v>10414.5</v>
      </c>
      <c r="N914" s="48">
        <v>1004.2</v>
      </c>
    </row>
    <row r="915" spans="1:14" ht="10.050000000000001" customHeight="1">
      <c r="A915" s="45" t="s">
        <v>81</v>
      </c>
      <c r="B915" s="46">
        <v>2018</v>
      </c>
      <c r="C915" s="45" t="s">
        <v>125</v>
      </c>
      <c r="D915" s="47">
        <v>11</v>
      </c>
      <c r="E915" s="48">
        <v>68357.3</v>
      </c>
      <c r="F915" s="48">
        <v>285.60000000000002</v>
      </c>
      <c r="G915" s="48">
        <v>68642.899999999994</v>
      </c>
      <c r="H915" s="48">
        <v>637863.1</v>
      </c>
      <c r="I915" s="48">
        <v>4513.6000000000004</v>
      </c>
      <c r="J915" s="48">
        <v>642376.69999999995</v>
      </c>
      <c r="K915" s="48">
        <v>114964.4</v>
      </c>
      <c r="L915" s="48">
        <v>3250.8</v>
      </c>
      <c r="M915" s="48">
        <v>41914.400000000001</v>
      </c>
      <c r="N915" s="48">
        <v>3335.3</v>
      </c>
    </row>
    <row r="916" spans="1:14" ht="10.050000000000001" customHeight="1">
      <c r="A916" s="45" t="s">
        <v>80</v>
      </c>
      <c r="B916" s="46">
        <v>2018</v>
      </c>
      <c r="C916" s="45" t="s">
        <v>125</v>
      </c>
      <c r="D916" s="47">
        <v>12</v>
      </c>
      <c r="E916" s="48">
        <v>148208</v>
      </c>
      <c r="F916" s="48">
        <v>256.3</v>
      </c>
      <c r="G916" s="48">
        <v>148464.29999999999</v>
      </c>
      <c r="H916" s="48">
        <v>1980679</v>
      </c>
      <c r="I916" s="48">
        <v>4651.5</v>
      </c>
      <c r="J916" s="48">
        <v>1985330.5</v>
      </c>
      <c r="K916" s="48">
        <v>594480.80000000005</v>
      </c>
      <c r="L916" s="48">
        <v>30033.4</v>
      </c>
      <c r="M916" s="48">
        <v>82001.7</v>
      </c>
      <c r="N916" s="48">
        <v>4789.8</v>
      </c>
    </row>
    <row r="917" spans="1:14" ht="10.050000000000001" customHeight="1">
      <c r="A917" s="45" t="s">
        <v>83</v>
      </c>
      <c r="B917" s="46">
        <v>2018</v>
      </c>
      <c r="C917" s="45" t="s">
        <v>125</v>
      </c>
      <c r="D917" s="47">
        <v>12</v>
      </c>
      <c r="E917" s="48">
        <v>904.9</v>
      </c>
      <c r="F917" s="48">
        <v>0</v>
      </c>
      <c r="G917" s="48">
        <v>904.9</v>
      </c>
      <c r="H917" s="48">
        <v>22684.5</v>
      </c>
      <c r="I917" s="48">
        <v>859</v>
      </c>
      <c r="J917" s="48">
        <v>23543.5</v>
      </c>
      <c r="K917" s="48">
        <v>372.3</v>
      </c>
      <c r="L917" s="48">
        <v>18.899999999999999</v>
      </c>
      <c r="M917" s="48">
        <v>118.1</v>
      </c>
      <c r="N917" s="48">
        <v>0.6</v>
      </c>
    </row>
    <row r="918" spans="1:14" ht="10.050000000000001" customHeight="1">
      <c r="A918" s="45" t="s">
        <v>82</v>
      </c>
      <c r="B918" s="46">
        <v>2018</v>
      </c>
      <c r="C918" s="45" t="s">
        <v>125</v>
      </c>
      <c r="D918" s="47">
        <v>12</v>
      </c>
      <c r="E918" s="48">
        <v>12068</v>
      </c>
      <c r="F918" s="48">
        <v>901.4</v>
      </c>
      <c r="G918" s="48">
        <v>12969.4</v>
      </c>
      <c r="H918" s="48">
        <v>238522.3</v>
      </c>
      <c r="I918" s="48">
        <v>10880.8</v>
      </c>
      <c r="J918" s="48">
        <v>249403.1</v>
      </c>
      <c r="K918" s="48">
        <v>15920.5</v>
      </c>
      <c r="L918" s="48">
        <v>840</v>
      </c>
      <c r="M918" s="48">
        <v>4242.8</v>
      </c>
      <c r="N918" s="48">
        <v>1405.1</v>
      </c>
    </row>
    <row r="919" spans="1:14" ht="10.050000000000001" customHeight="1">
      <c r="A919" s="45" t="s">
        <v>81</v>
      </c>
      <c r="B919" s="46">
        <v>2018</v>
      </c>
      <c r="C919" s="45" t="s">
        <v>125</v>
      </c>
      <c r="D919" s="47">
        <v>12</v>
      </c>
      <c r="E919" s="48">
        <v>29997.200000000001</v>
      </c>
      <c r="F919" s="48">
        <v>668.6</v>
      </c>
      <c r="G919" s="48">
        <v>30665.8</v>
      </c>
      <c r="H919" s="48">
        <v>577516.69999999995</v>
      </c>
      <c r="I919" s="48">
        <v>4291.3</v>
      </c>
      <c r="J919" s="48">
        <v>581808</v>
      </c>
      <c r="K919" s="48">
        <v>91292.9</v>
      </c>
      <c r="L919" s="48">
        <v>1091</v>
      </c>
      <c r="M919" s="48">
        <v>22409.4</v>
      </c>
      <c r="N919" s="48">
        <v>2361.6</v>
      </c>
    </row>
    <row r="920" spans="1:14" ht="10.050000000000001" customHeight="1">
      <c r="A920" s="45" t="s">
        <v>80</v>
      </c>
      <c r="B920" s="46">
        <v>2019</v>
      </c>
      <c r="C920" s="45" t="s">
        <v>125</v>
      </c>
      <c r="D920" s="47">
        <v>1</v>
      </c>
      <c r="E920" s="48">
        <v>197351.5</v>
      </c>
      <c r="F920" s="48">
        <v>264.2</v>
      </c>
      <c r="G920" s="48">
        <v>197615.7</v>
      </c>
      <c r="H920" s="48">
        <v>1712697.1</v>
      </c>
      <c r="I920" s="48">
        <v>4709.3</v>
      </c>
      <c r="J920" s="48">
        <v>1717406.4</v>
      </c>
      <c r="K920" s="48">
        <v>468635.8</v>
      </c>
      <c r="L920" s="48">
        <v>27358</v>
      </c>
      <c r="M920" s="48">
        <v>112317.1</v>
      </c>
      <c r="N920" s="48">
        <v>41033.300000000003</v>
      </c>
    </row>
    <row r="921" spans="1:14" ht="10.050000000000001" customHeight="1">
      <c r="A921" s="45" t="s">
        <v>83</v>
      </c>
      <c r="B921" s="46">
        <v>2019</v>
      </c>
      <c r="C921" s="45" t="s">
        <v>125</v>
      </c>
      <c r="D921" s="47">
        <v>1</v>
      </c>
      <c r="E921" s="48">
        <v>662.6</v>
      </c>
      <c r="F921" s="48">
        <v>0</v>
      </c>
      <c r="G921" s="48">
        <v>662.6</v>
      </c>
      <c r="H921" s="48">
        <v>20815.7</v>
      </c>
      <c r="I921" s="48">
        <v>672.5</v>
      </c>
      <c r="J921" s="48">
        <v>21488.2</v>
      </c>
      <c r="K921" s="48">
        <v>381.6</v>
      </c>
      <c r="L921" s="48">
        <v>43.1</v>
      </c>
      <c r="M921" s="48">
        <v>33.9</v>
      </c>
      <c r="N921" s="48">
        <v>0</v>
      </c>
    </row>
    <row r="922" spans="1:14" ht="10.050000000000001" customHeight="1">
      <c r="A922" s="45" t="s">
        <v>82</v>
      </c>
      <c r="B922" s="46">
        <v>2019</v>
      </c>
      <c r="C922" s="45" t="s">
        <v>125</v>
      </c>
      <c r="D922" s="47">
        <v>1</v>
      </c>
      <c r="E922" s="48">
        <v>6861</v>
      </c>
      <c r="F922" s="48">
        <v>222.8</v>
      </c>
      <c r="G922" s="48">
        <v>7083.8</v>
      </c>
      <c r="H922" s="48">
        <v>207558.3</v>
      </c>
      <c r="I922" s="48">
        <v>9332.6</v>
      </c>
      <c r="J922" s="48">
        <v>216890.9</v>
      </c>
      <c r="K922" s="48">
        <v>12621.8</v>
      </c>
      <c r="L922" s="48">
        <v>988.7</v>
      </c>
      <c r="M922" s="48">
        <v>3796.6</v>
      </c>
      <c r="N922" s="48">
        <v>504</v>
      </c>
    </row>
    <row r="923" spans="1:14" ht="10.050000000000001" customHeight="1">
      <c r="A923" s="45" t="s">
        <v>81</v>
      </c>
      <c r="B923" s="46">
        <v>2019</v>
      </c>
      <c r="C923" s="45" t="s">
        <v>125</v>
      </c>
      <c r="D923" s="47">
        <v>1</v>
      </c>
      <c r="E923" s="48">
        <v>27497.7</v>
      </c>
      <c r="F923" s="48">
        <v>785.3</v>
      </c>
      <c r="G923" s="48">
        <v>28283</v>
      </c>
      <c r="H923" s="48">
        <v>490831.4</v>
      </c>
      <c r="I923" s="48">
        <v>3899.7</v>
      </c>
      <c r="J923" s="48">
        <v>494731.1</v>
      </c>
      <c r="K923" s="48">
        <v>72288</v>
      </c>
      <c r="L923" s="48">
        <v>1368.3</v>
      </c>
      <c r="M923" s="48">
        <v>18274.7</v>
      </c>
      <c r="N923" s="48">
        <v>2097.8000000000002</v>
      </c>
    </row>
    <row r="924" spans="1:14" ht="10.050000000000001" customHeight="1">
      <c r="A924" s="45" t="s">
        <v>80</v>
      </c>
      <c r="B924" s="46">
        <v>2019</v>
      </c>
      <c r="C924" s="45" t="s">
        <v>125</v>
      </c>
      <c r="D924" s="47">
        <v>2</v>
      </c>
      <c r="E924" s="48">
        <v>219680.9</v>
      </c>
      <c r="F924" s="48">
        <v>0</v>
      </c>
      <c r="G924" s="48">
        <v>219680.9</v>
      </c>
      <c r="H924" s="48">
        <v>1516742.1</v>
      </c>
      <c r="I924" s="48">
        <v>3410.5</v>
      </c>
      <c r="J924" s="48">
        <v>1520152.6</v>
      </c>
      <c r="K924" s="48">
        <v>355703.1</v>
      </c>
      <c r="L924" s="48">
        <v>24492.799999999999</v>
      </c>
      <c r="M924" s="48">
        <v>125361.8</v>
      </c>
      <c r="N924" s="48">
        <v>12216.5</v>
      </c>
    </row>
    <row r="925" spans="1:14" ht="10.050000000000001" customHeight="1">
      <c r="A925" s="45" t="s">
        <v>83</v>
      </c>
      <c r="B925" s="46">
        <v>2019</v>
      </c>
      <c r="C925" s="45" t="s">
        <v>125</v>
      </c>
      <c r="D925" s="47">
        <v>2</v>
      </c>
      <c r="E925" s="48">
        <v>555.5</v>
      </c>
      <c r="F925" s="48">
        <v>15.7</v>
      </c>
      <c r="G925" s="48">
        <v>571.20000000000005</v>
      </c>
      <c r="H925" s="48">
        <v>18388.2</v>
      </c>
      <c r="I925" s="48">
        <v>646.70000000000005</v>
      </c>
      <c r="J925" s="48">
        <v>19034.900000000001</v>
      </c>
      <c r="K925" s="48">
        <v>339.5</v>
      </c>
      <c r="L925" s="48">
        <v>0</v>
      </c>
      <c r="M925" s="48">
        <v>42.1</v>
      </c>
      <c r="N925" s="48">
        <v>0</v>
      </c>
    </row>
    <row r="926" spans="1:14" ht="10.050000000000001" customHeight="1">
      <c r="A926" s="45" t="s">
        <v>82</v>
      </c>
      <c r="B926" s="46">
        <v>2019</v>
      </c>
      <c r="C926" s="45" t="s">
        <v>125</v>
      </c>
      <c r="D926" s="47">
        <v>2</v>
      </c>
      <c r="E926" s="48">
        <v>5038</v>
      </c>
      <c r="F926" s="48">
        <v>25.1</v>
      </c>
      <c r="G926" s="48">
        <v>5063.1000000000004</v>
      </c>
      <c r="H926" s="48">
        <v>191946.9</v>
      </c>
      <c r="I926" s="48">
        <v>8659.2999999999993</v>
      </c>
      <c r="J926" s="48">
        <v>200606.2</v>
      </c>
      <c r="K926" s="48">
        <v>11047.6</v>
      </c>
      <c r="L926" s="48">
        <v>621</v>
      </c>
      <c r="M926" s="48">
        <v>1848.9</v>
      </c>
      <c r="N926" s="48">
        <v>548.5</v>
      </c>
    </row>
    <row r="927" spans="1:14" ht="10.050000000000001" customHeight="1">
      <c r="A927" s="45" t="s">
        <v>81</v>
      </c>
      <c r="B927" s="46">
        <v>2019</v>
      </c>
      <c r="C927" s="45" t="s">
        <v>125</v>
      </c>
      <c r="D927" s="47">
        <v>2</v>
      </c>
      <c r="E927" s="48">
        <v>25870.2</v>
      </c>
      <c r="F927" s="48">
        <v>1648.5</v>
      </c>
      <c r="G927" s="48">
        <v>27518.7</v>
      </c>
      <c r="H927" s="48">
        <v>415018.5</v>
      </c>
      <c r="I927" s="48">
        <v>3683</v>
      </c>
      <c r="J927" s="48">
        <v>418701.5</v>
      </c>
      <c r="K927" s="48">
        <v>54252.9</v>
      </c>
      <c r="L927" s="48">
        <v>768</v>
      </c>
      <c r="M927" s="48">
        <v>16596</v>
      </c>
      <c r="N927" s="48">
        <v>2207.5</v>
      </c>
    </row>
    <row r="928" spans="1:14" ht="10.050000000000001" customHeight="1">
      <c r="A928" s="45" t="s">
        <v>80</v>
      </c>
      <c r="B928" s="46">
        <v>2019</v>
      </c>
      <c r="C928" s="45" t="s">
        <v>125</v>
      </c>
      <c r="D928" s="47">
        <v>3</v>
      </c>
      <c r="E928" s="48">
        <v>170499.3</v>
      </c>
      <c r="F928" s="48">
        <v>0</v>
      </c>
      <c r="G928" s="48">
        <v>170499.3</v>
      </c>
      <c r="H928" s="48">
        <v>1199964.5</v>
      </c>
      <c r="I928" s="48">
        <v>3267.9</v>
      </c>
      <c r="J928" s="48">
        <v>1203232.3999999999</v>
      </c>
      <c r="K928" s="48">
        <v>281252.59999999998</v>
      </c>
      <c r="L928" s="48">
        <v>17694.599999999999</v>
      </c>
      <c r="M928" s="48">
        <v>85036.800000000003</v>
      </c>
      <c r="N928" s="48">
        <v>6911.9</v>
      </c>
    </row>
    <row r="929" spans="1:14" ht="10.050000000000001" customHeight="1">
      <c r="A929" s="45" t="s">
        <v>83</v>
      </c>
      <c r="B929" s="46">
        <v>2019</v>
      </c>
      <c r="C929" s="45" t="s">
        <v>125</v>
      </c>
      <c r="D929" s="47">
        <v>3</v>
      </c>
      <c r="E929" s="48">
        <v>795</v>
      </c>
      <c r="F929" s="48">
        <v>225.7</v>
      </c>
      <c r="G929" s="48">
        <v>1020.7</v>
      </c>
      <c r="H929" s="48">
        <v>16258.9</v>
      </c>
      <c r="I929" s="48">
        <v>636.9</v>
      </c>
      <c r="J929" s="48">
        <v>16895.8</v>
      </c>
      <c r="K929" s="48">
        <v>246.1</v>
      </c>
      <c r="L929" s="48">
        <v>27.2</v>
      </c>
      <c r="M929" s="48">
        <v>107.4</v>
      </c>
      <c r="N929" s="48">
        <v>13.1</v>
      </c>
    </row>
    <row r="930" spans="1:14" ht="10.050000000000001" customHeight="1">
      <c r="A930" s="45" t="s">
        <v>82</v>
      </c>
      <c r="B930" s="46">
        <v>2019</v>
      </c>
      <c r="C930" s="45" t="s">
        <v>125</v>
      </c>
      <c r="D930" s="47">
        <v>3</v>
      </c>
      <c r="E930" s="48">
        <v>6994.2</v>
      </c>
      <c r="F930" s="48">
        <v>32.200000000000003</v>
      </c>
      <c r="G930" s="48">
        <v>7026.4</v>
      </c>
      <c r="H930" s="48">
        <v>178031.7</v>
      </c>
      <c r="I930" s="48">
        <v>6128.8</v>
      </c>
      <c r="J930" s="48">
        <v>184160.5</v>
      </c>
      <c r="K930" s="48">
        <v>9350.2999999999993</v>
      </c>
      <c r="L930" s="48">
        <v>723</v>
      </c>
      <c r="M930" s="48">
        <v>1499.4</v>
      </c>
      <c r="N930" s="48">
        <v>936</v>
      </c>
    </row>
    <row r="931" spans="1:14" ht="10.050000000000001" customHeight="1">
      <c r="A931" s="45" t="s">
        <v>81</v>
      </c>
      <c r="B931" s="46">
        <v>2019</v>
      </c>
      <c r="C931" s="45" t="s">
        <v>125</v>
      </c>
      <c r="D931" s="47">
        <v>3</v>
      </c>
      <c r="E931" s="48">
        <v>29612.3</v>
      </c>
      <c r="F931" s="48">
        <v>3094.8</v>
      </c>
      <c r="G931" s="48">
        <v>32707.1</v>
      </c>
      <c r="H931" s="48">
        <v>353371.8</v>
      </c>
      <c r="I931" s="48">
        <v>3710.3</v>
      </c>
      <c r="J931" s="48">
        <v>357082.1</v>
      </c>
      <c r="K931" s="48">
        <v>34669.4</v>
      </c>
      <c r="L931" s="48">
        <v>751.3</v>
      </c>
      <c r="M931" s="48">
        <v>19116.5</v>
      </c>
      <c r="N931" s="48">
        <v>1218.3</v>
      </c>
    </row>
    <row r="932" spans="1:14" ht="10.050000000000001" customHeight="1">
      <c r="A932" s="45" t="s">
        <v>80</v>
      </c>
      <c r="B932" s="46">
        <v>2019</v>
      </c>
      <c r="C932" s="45" t="s">
        <v>125</v>
      </c>
      <c r="D932" s="47">
        <v>4</v>
      </c>
      <c r="E932" s="48">
        <v>218556.7</v>
      </c>
      <c r="F932" s="48">
        <v>0</v>
      </c>
      <c r="G932" s="48">
        <v>218556.7</v>
      </c>
      <c r="H932" s="48">
        <v>883986.4</v>
      </c>
      <c r="I932" s="48">
        <v>3103.4</v>
      </c>
      <c r="J932" s="48">
        <v>887089.8</v>
      </c>
      <c r="K932" s="48">
        <v>151425.9</v>
      </c>
      <c r="L932" s="48">
        <v>18881.3</v>
      </c>
      <c r="M932" s="48">
        <v>131121.60000000001</v>
      </c>
      <c r="N932" s="48">
        <v>17538.2</v>
      </c>
    </row>
    <row r="933" spans="1:14" ht="10.050000000000001" customHeight="1">
      <c r="A933" s="45" t="s">
        <v>83</v>
      </c>
      <c r="B933" s="46">
        <v>2019</v>
      </c>
      <c r="C933" s="45" t="s">
        <v>125</v>
      </c>
      <c r="D933" s="47">
        <v>4</v>
      </c>
      <c r="E933" s="48">
        <v>370.9</v>
      </c>
      <c r="F933" s="48">
        <v>438.9</v>
      </c>
      <c r="G933" s="48">
        <v>809.8</v>
      </c>
      <c r="H933" s="48">
        <v>13040.9</v>
      </c>
      <c r="I933" s="48">
        <v>645.29999999999995</v>
      </c>
      <c r="J933" s="48">
        <v>13686.2</v>
      </c>
      <c r="K933" s="48">
        <v>227.2</v>
      </c>
      <c r="L933" s="48">
        <v>19.5</v>
      </c>
      <c r="M933" s="48">
        <v>38.4</v>
      </c>
      <c r="N933" s="48">
        <v>0</v>
      </c>
    </row>
    <row r="934" spans="1:14" ht="10.050000000000001" customHeight="1">
      <c r="A934" s="45" t="s">
        <v>82</v>
      </c>
      <c r="B934" s="46">
        <v>2019</v>
      </c>
      <c r="C934" s="45" t="s">
        <v>125</v>
      </c>
      <c r="D934" s="47">
        <v>4</v>
      </c>
      <c r="E934" s="48">
        <v>4746.7</v>
      </c>
      <c r="F934" s="48">
        <v>27.6</v>
      </c>
      <c r="G934" s="48">
        <v>4774.3</v>
      </c>
      <c r="H934" s="48">
        <v>155170.9</v>
      </c>
      <c r="I934" s="48">
        <v>4784.8999999999996</v>
      </c>
      <c r="J934" s="48">
        <v>159955.79999999999</v>
      </c>
      <c r="K934" s="48">
        <v>7106.8</v>
      </c>
      <c r="L934" s="48">
        <v>829.2</v>
      </c>
      <c r="M934" s="48">
        <v>2404</v>
      </c>
      <c r="N934" s="48">
        <v>468.8</v>
      </c>
    </row>
    <row r="935" spans="1:14" ht="10.050000000000001" customHeight="1">
      <c r="A935" s="45" t="s">
        <v>81</v>
      </c>
      <c r="B935" s="46">
        <v>2019</v>
      </c>
      <c r="C935" s="45" t="s">
        <v>125</v>
      </c>
      <c r="D935" s="47">
        <v>4</v>
      </c>
      <c r="E935" s="48">
        <v>26543.5</v>
      </c>
      <c r="F935" s="48">
        <v>0</v>
      </c>
      <c r="G935" s="48">
        <v>26543.5</v>
      </c>
      <c r="H935" s="48">
        <v>264009.59999999998</v>
      </c>
      <c r="I935" s="48">
        <v>3261.3</v>
      </c>
      <c r="J935" s="48">
        <v>267270.90000000002</v>
      </c>
      <c r="K935" s="48">
        <v>19560.8</v>
      </c>
      <c r="L935" s="48">
        <v>648.4</v>
      </c>
      <c r="M935" s="48">
        <v>14362.8</v>
      </c>
      <c r="N935" s="48">
        <v>1394.7</v>
      </c>
    </row>
    <row r="936" spans="1:14" ht="10.050000000000001" customHeight="1">
      <c r="A936" s="45" t="s">
        <v>80</v>
      </c>
      <c r="B936" s="46">
        <v>2019</v>
      </c>
      <c r="C936" s="45" t="s">
        <v>125</v>
      </c>
      <c r="D936" s="47">
        <v>5</v>
      </c>
      <c r="E936" s="48">
        <v>188240.1</v>
      </c>
      <c r="F936" s="48">
        <v>0</v>
      </c>
      <c r="G936" s="48">
        <v>188240.1</v>
      </c>
      <c r="H936" s="48">
        <v>543594.4</v>
      </c>
      <c r="I936" s="48">
        <v>3433.4</v>
      </c>
      <c r="J936" s="48">
        <v>547027.80000000005</v>
      </c>
      <c r="K936" s="48">
        <v>53055.3</v>
      </c>
      <c r="L936" s="48">
        <v>18261.5</v>
      </c>
      <c r="M936" s="48">
        <v>111873.7</v>
      </c>
      <c r="N936" s="48">
        <v>5031.8999999999996</v>
      </c>
    </row>
    <row r="937" spans="1:14" ht="10.050000000000001" customHeight="1">
      <c r="A937" s="45" t="s">
        <v>83</v>
      </c>
      <c r="B937" s="46">
        <v>2019</v>
      </c>
      <c r="C937" s="45" t="s">
        <v>125</v>
      </c>
      <c r="D937" s="47">
        <v>5</v>
      </c>
      <c r="E937" s="48">
        <v>363.5</v>
      </c>
      <c r="F937" s="48">
        <v>0</v>
      </c>
      <c r="G937" s="48">
        <v>363.5</v>
      </c>
      <c r="H937" s="48">
        <v>10372.200000000001</v>
      </c>
      <c r="I937" s="48">
        <v>645.29999999999995</v>
      </c>
      <c r="J937" s="48">
        <v>11017.5</v>
      </c>
      <c r="K937" s="48">
        <v>199.1</v>
      </c>
      <c r="L937" s="48">
        <v>6.3</v>
      </c>
      <c r="M937" s="48">
        <v>28.1</v>
      </c>
      <c r="N937" s="48">
        <v>6.3</v>
      </c>
    </row>
    <row r="938" spans="1:14" ht="10.050000000000001" customHeight="1">
      <c r="A938" s="45" t="s">
        <v>82</v>
      </c>
      <c r="B938" s="46">
        <v>2019</v>
      </c>
      <c r="C938" s="45" t="s">
        <v>125</v>
      </c>
      <c r="D938" s="47">
        <v>5</v>
      </c>
      <c r="E938" s="48">
        <v>5305.5</v>
      </c>
      <c r="F938" s="48">
        <v>0</v>
      </c>
      <c r="G938" s="48">
        <v>5305.5</v>
      </c>
      <c r="H938" s="48">
        <v>129527.2</v>
      </c>
      <c r="I938" s="48">
        <v>3977.2</v>
      </c>
      <c r="J938" s="48">
        <v>133504.4</v>
      </c>
      <c r="K938" s="48">
        <v>4754.3999999999996</v>
      </c>
      <c r="L938" s="48">
        <v>740.1</v>
      </c>
      <c r="M938" s="48">
        <v>1994.4</v>
      </c>
      <c r="N938" s="48">
        <v>1224</v>
      </c>
    </row>
    <row r="939" spans="1:14" ht="10.050000000000001" customHeight="1">
      <c r="A939" s="45" t="s">
        <v>81</v>
      </c>
      <c r="B939" s="46">
        <v>2019</v>
      </c>
      <c r="C939" s="45" t="s">
        <v>125</v>
      </c>
      <c r="D939" s="47">
        <v>5</v>
      </c>
      <c r="E939" s="48">
        <v>21139.5</v>
      </c>
      <c r="F939" s="48">
        <v>0</v>
      </c>
      <c r="G939" s="48">
        <v>21139.5</v>
      </c>
      <c r="H939" s="48">
        <v>167233.4</v>
      </c>
      <c r="I939" s="48">
        <v>3058.7</v>
      </c>
      <c r="J939" s="48">
        <v>170292.1</v>
      </c>
      <c r="K939" s="48">
        <v>7901.5</v>
      </c>
      <c r="L939" s="48">
        <v>805</v>
      </c>
      <c r="M939" s="48">
        <v>11405.5</v>
      </c>
      <c r="N939" s="48">
        <v>1057.7</v>
      </c>
    </row>
    <row r="940" spans="1:14" ht="10.050000000000001" customHeight="1">
      <c r="A940" s="45" t="s">
        <v>80</v>
      </c>
      <c r="B940" s="46">
        <v>2019</v>
      </c>
      <c r="C940" s="45" t="s">
        <v>125</v>
      </c>
      <c r="D940" s="47">
        <v>6</v>
      </c>
      <c r="E940" s="48">
        <v>72916.5</v>
      </c>
      <c r="F940" s="48">
        <v>11.9</v>
      </c>
      <c r="G940" s="48">
        <v>72928.399999999994</v>
      </c>
      <c r="H940" s="48">
        <v>197911.3</v>
      </c>
      <c r="I940" s="48">
        <v>3073.7</v>
      </c>
      <c r="J940" s="48">
        <v>200985</v>
      </c>
      <c r="K940" s="48">
        <v>25117.4</v>
      </c>
      <c r="L940" s="48">
        <v>12049.5</v>
      </c>
      <c r="M940" s="48">
        <v>30569.5</v>
      </c>
      <c r="N940" s="48">
        <v>9634.1</v>
      </c>
    </row>
    <row r="941" spans="1:14" ht="10.050000000000001" customHeight="1">
      <c r="A941" s="45" t="s">
        <v>83</v>
      </c>
      <c r="B941" s="46">
        <v>2019</v>
      </c>
      <c r="C941" s="45" t="s">
        <v>125</v>
      </c>
      <c r="D941" s="47">
        <v>6</v>
      </c>
      <c r="E941" s="48">
        <v>687.9</v>
      </c>
      <c r="F941" s="48">
        <v>0</v>
      </c>
      <c r="G941" s="48">
        <v>687.9</v>
      </c>
      <c r="H941" s="48">
        <v>6243.1</v>
      </c>
      <c r="I941" s="48">
        <v>621.6</v>
      </c>
      <c r="J941" s="48">
        <v>6864.7</v>
      </c>
      <c r="K941" s="48">
        <v>122.1</v>
      </c>
      <c r="L941" s="48">
        <v>26.1</v>
      </c>
      <c r="M941" s="48">
        <v>103.1</v>
      </c>
      <c r="N941" s="48">
        <v>0</v>
      </c>
    </row>
    <row r="942" spans="1:14" ht="10.050000000000001" customHeight="1">
      <c r="A942" s="45" t="s">
        <v>82</v>
      </c>
      <c r="B942" s="46">
        <v>2019</v>
      </c>
      <c r="C942" s="45" t="s">
        <v>125</v>
      </c>
      <c r="D942" s="47">
        <v>6</v>
      </c>
      <c r="E942" s="48">
        <v>4891</v>
      </c>
      <c r="F942" s="48">
        <v>32.200000000000003</v>
      </c>
      <c r="G942" s="48">
        <v>4923.2</v>
      </c>
      <c r="H942" s="48">
        <v>89536.9</v>
      </c>
      <c r="I942" s="48">
        <v>2850.1</v>
      </c>
      <c r="J942" s="48">
        <v>92387</v>
      </c>
      <c r="K942" s="48">
        <v>3620</v>
      </c>
      <c r="L942" s="48">
        <v>1270</v>
      </c>
      <c r="M942" s="48">
        <v>2059.9</v>
      </c>
      <c r="N942" s="48">
        <v>566.4</v>
      </c>
    </row>
    <row r="943" spans="1:14" ht="10.050000000000001" customHeight="1">
      <c r="A943" s="45" t="s">
        <v>81</v>
      </c>
      <c r="B943" s="46">
        <v>2019</v>
      </c>
      <c r="C943" s="45" t="s">
        <v>125</v>
      </c>
      <c r="D943" s="47">
        <v>6</v>
      </c>
      <c r="E943" s="48">
        <v>11719.4</v>
      </c>
      <c r="F943" s="48">
        <v>-252</v>
      </c>
      <c r="G943" s="48">
        <v>11467.4</v>
      </c>
      <c r="H943" s="48">
        <v>77900.100000000006</v>
      </c>
      <c r="I943" s="48">
        <v>2741</v>
      </c>
      <c r="J943" s="48">
        <v>80641.100000000006</v>
      </c>
      <c r="K943" s="48">
        <v>3336.4</v>
      </c>
      <c r="L943" s="48">
        <v>2522.3000000000002</v>
      </c>
      <c r="M943" s="48">
        <v>3957.6</v>
      </c>
      <c r="N943" s="48">
        <v>3215.9</v>
      </c>
    </row>
    <row r="944" spans="1:14" ht="10.050000000000001" customHeight="1">
      <c r="A944" s="45" t="s">
        <v>80</v>
      </c>
      <c r="B944" s="46">
        <v>2019</v>
      </c>
      <c r="C944" s="45" t="s">
        <v>126</v>
      </c>
      <c r="D944" s="47">
        <v>7</v>
      </c>
      <c r="E944" s="48">
        <v>1633064.2</v>
      </c>
      <c r="F944" s="48">
        <v>22345.8</v>
      </c>
      <c r="G944" s="48">
        <v>1655410</v>
      </c>
      <c r="H944" s="48">
        <v>1651966.7</v>
      </c>
      <c r="I944" s="48">
        <v>16444.099999999999</v>
      </c>
      <c r="J944" s="48">
        <v>1668410.8</v>
      </c>
      <c r="K944" s="48">
        <v>830441.8</v>
      </c>
      <c r="L944" s="48">
        <v>938691.9</v>
      </c>
      <c r="M944" s="48">
        <v>126047.1</v>
      </c>
      <c r="N944" s="48">
        <v>6834.1</v>
      </c>
    </row>
    <row r="945" spans="1:14" ht="10.050000000000001" customHeight="1">
      <c r="A945" s="45" t="s">
        <v>83</v>
      </c>
      <c r="B945" s="46">
        <v>2019</v>
      </c>
      <c r="C945" s="45" t="s">
        <v>126</v>
      </c>
      <c r="D945" s="47">
        <v>7</v>
      </c>
      <c r="E945" s="48">
        <v>13475.1</v>
      </c>
      <c r="F945" s="48">
        <v>4.7</v>
      </c>
      <c r="G945" s="48">
        <v>13479.8</v>
      </c>
      <c r="H945" s="48">
        <v>17581.099999999999</v>
      </c>
      <c r="I945" s="48">
        <v>604.29999999999995</v>
      </c>
      <c r="J945" s="48">
        <v>18185.400000000001</v>
      </c>
      <c r="K945" s="48">
        <v>3800</v>
      </c>
      <c r="L945" s="48">
        <v>4718.3</v>
      </c>
      <c r="M945" s="48">
        <v>1036</v>
      </c>
      <c r="N945" s="48">
        <v>4.4000000000000004</v>
      </c>
    </row>
    <row r="946" spans="1:14" ht="10.050000000000001" customHeight="1">
      <c r="A946" s="45" t="s">
        <v>82</v>
      </c>
      <c r="B946" s="46">
        <v>2019</v>
      </c>
      <c r="C946" s="45" t="s">
        <v>126</v>
      </c>
      <c r="D946" s="47">
        <v>7</v>
      </c>
      <c r="E946" s="48">
        <v>1907.5</v>
      </c>
      <c r="F946" s="48">
        <v>0</v>
      </c>
      <c r="G946" s="48">
        <v>1907.5</v>
      </c>
      <c r="H946" s="48">
        <v>81550.3</v>
      </c>
      <c r="I946" s="48">
        <v>2454.6999999999998</v>
      </c>
      <c r="J946" s="48">
        <v>84005</v>
      </c>
      <c r="K946" s="48">
        <v>2825.3</v>
      </c>
      <c r="L946" s="48">
        <v>651.9</v>
      </c>
      <c r="M946" s="48">
        <v>557.5</v>
      </c>
      <c r="N946" s="48">
        <v>599.9</v>
      </c>
    </row>
    <row r="947" spans="1:14" ht="10.050000000000001" customHeight="1">
      <c r="A947" s="45" t="s">
        <v>81</v>
      </c>
      <c r="B947" s="46">
        <v>2019</v>
      </c>
      <c r="C947" s="45" t="s">
        <v>126</v>
      </c>
      <c r="D947" s="47">
        <v>7</v>
      </c>
      <c r="E947" s="48">
        <v>778.3</v>
      </c>
      <c r="F947" s="48">
        <v>0</v>
      </c>
      <c r="G947" s="48">
        <v>778.3</v>
      </c>
      <c r="H947" s="48">
        <v>55107.8</v>
      </c>
      <c r="I947" s="48">
        <v>2459.3000000000002</v>
      </c>
      <c r="J947" s="48">
        <v>57567.1</v>
      </c>
      <c r="K947" s="48">
        <v>3263.3</v>
      </c>
      <c r="L947" s="48">
        <v>120.6</v>
      </c>
      <c r="M947" s="48">
        <v>174.8</v>
      </c>
      <c r="N947" s="48">
        <v>3.6</v>
      </c>
    </row>
    <row r="948" spans="1:14" ht="10.050000000000001" customHeight="1">
      <c r="A948" s="45" t="s">
        <v>80</v>
      </c>
      <c r="B948" s="46">
        <v>2019</v>
      </c>
      <c r="C948" s="45" t="s">
        <v>126</v>
      </c>
      <c r="D948" s="47">
        <v>8</v>
      </c>
      <c r="E948" s="48">
        <v>499538.1</v>
      </c>
      <c r="F948" s="48">
        <v>656.8</v>
      </c>
      <c r="G948" s="48">
        <v>500194.9</v>
      </c>
      <c r="H948" s="48">
        <v>1895044.6</v>
      </c>
      <c r="I948" s="48">
        <v>16290.3</v>
      </c>
      <c r="J948" s="48">
        <v>1911334.9</v>
      </c>
      <c r="K948" s="48">
        <v>684007.5</v>
      </c>
      <c r="L948" s="48">
        <v>168725.3</v>
      </c>
      <c r="M948" s="48">
        <v>303802.2</v>
      </c>
      <c r="N948" s="48">
        <v>11209.9</v>
      </c>
    </row>
    <row r="949" spans="1:14" ht="10.050000000000001" customHeight="1">
      <c r="A949" s="45" t="s">
        <v>83</v>
      </c>
      <c r="B949" s="46">
        <v>2019</v>
      </c>
      <c r="C949" s="45" t="s">
        <v>126</v>
      </c>
      <c r="D949" s="47">
        <v>8</v>
      </c>
      <c r="E949" s="48">
        <v>8209.9</v>
      </c>
      <c r="F949" s="48">
        <v>0</v>
      </c>
      <c r="G949" s="48">
        <v>8209.9</v>
      </c>
      <c r="H949" s="48">
        <v>23706.2</v>
      </c>
      <c r="I949" s="48">
        <v>556</v>
      </c>
      <c r="J949" s="48">
        <v>24262.2</v>
      </c>
      <c r="K949" s="48">
        <v>1504</v>
      </c>
      <c r="L949" s="48">
        <v>810.1</v>
      </c>
      <c r="M949" s="48">
        <v>3106.3</v>
      </c>
      <c r="N949" s="48">
        <v>0</v>
      </c>
    </row>
    <row r="950" spans="1:14" ht="10.050000000000001" customHeight="1">
      <c r="A950" s="45" t="s">
        <v>82</v>
      </c>
      <c r="B950" s="46">
        <v>2019</v>
      </c>
      <c r="C950" s="45" t="s">
        <v>126</v>
      </c>
      <c r="D950" s="47">
        <v>8</v>
      </c>
      <c r="E950" s="48">
        <v>928.6</v>
      </c>
      <c r="F950" s="48">
        <v>0</v>
      </c>
      <c r="G950" s="48">
        <v>928.6</v>
      </c>
      <c r="H950" s="48">
        <v>61591.6</v>
      </c>
      <c r="I950" s="48">
        <v>2454.6999999999998</v>
      </c>
      <c r="J950" s="48">
        <v>64046.3</v>
      </c>
      <c r="K950" s="48">
        <v>2228.9</v>
      </c>
      <c r="L950" s="48">
        <v>518.70000000000005</v>
      </c>
      <c r="M950" s="48">
        <v>341.3</v>
      </c>
      <c r="N950" s="48">
        <v>807.2</v>
      </c>
    </row>
    <row r="951" spans="1:14" ht="10.050000000000001" customHeight="1">
      <c r="A951" s="45" t="s">
        <v>81</v>
      </c>
      <c r="B951" s="46">
        <v>2019</v>
      </c>
      <c r="C951" s="45" t="s">
        <v>126</v>
      </c>
      <c r="D951" s="47">
        <v>8</v>
      </c>
      <c r="E951" s="48">
        <v>7419</v>
      </c>
      <c r="F951" s="48">
        <v>211.1</v>
      </c>
      <c r="G951" s="48">
        <v>7630.1</v>
      </c>
      <c r="H951" s="48">
        <v>46677.1</v>
      </c>
      <c r="I951" s="48">
        <v>2651.6</v>
      </c>
      <c r="J951" s="48">
        <v>49328.7</v>
      </c>
      <c r="K951" s="48">
        <v>7261.2</v>
      </c>
      <c r="L951" s="48">
        <v>4307.8999999999996</v>
      </c>
      <c r="M951" s="48">
        <v>89.4</v>
      </c>
      <c r="N951" s="48">
        <v>216.9</v>
      </c>
    </row>
    <row r="952" spans="1:14" ht="10.050000000000001" customHeight="1">
      <c r="A952" s="45" t="s">
        <v>80</v>
      </c>
      <c r="B952" s="46">
        <v>2019</v>
      </c>
      <c r="C952" s="45" t="s">
        <v>126</v>
      </c>
      <c r="D952" s="47">
        <v>9</v>
      </c>
      <c r="E952" s="48">
        <v>228534.3</v>
      </c>
      <c r="F952" s="48">
        <v>560.70000000000005</v>
      </c>
      <c r="G952" s="48">
        <v>229095</v>
      </c>
      <c r="H952" s="48">
        <v>1851348.8</v>
      </c>
      <c r="I952" s="48">
        <v>13547.1</v>
      </c>
      <c r="J952" s="48">
        <v>1864895.9</v>
      </c>
      <c r="K952" s="48">
        <v>524391</v>
      </c>
      <c r="L952" s="48">
        <v>30871.5</v>
      </c>
      <c r="M952" s="48">
        <v>174875.8</v>
      </c>
      <c r="N952" s="48">
        <v>15714.2</v>
      </c>
    </row>
    <row r="953" spans="1:14" ht="10.050000000000001" customHeight="1">
      <c r="A953" s="45" t="s">
        <v>83</v>
      </c>
      <c r="B953" s="46">
        <v>2019</v>
      </c>
      <c r="C953" s="45" t="s">
        <v>126</v>
      </c>
      <c r="D953" s="47">
        <v>9</v>
      </c>
      <c r="E953" s="48">
        <v>2534.5</v>
      </c>
      <c r="F953" s="48">
        <v>166.1</v>
      </c>
      <c r="G953" s="48">
        <v>2700.6</v>
      </c>
      <c r="H953" s="48">
        <v>22730.400000000001</v>
      </c>
      <c r="I953" s="48">
        <v>689.1</v>
      </c>
      <c r="J953" s="48">
        <v>23419.5</v>
      </c>
      <c r="K953" s="48">
        <v>770.3</v>
      </c>
      <c r="L953" s="48">
        <v>537.79999999999995</v>
      </c>
      <c r="M953" s="48">
        <v>1209.4000000000001</v>
      </c>
      <c r="N953" s="48">
        <v>61.7</v>
      </c>
    </row>
    <row r="954" spans="1:14" ht="10.050000000000001" customHeight="1">
      <c r="A954" s="45" t="s">
        <v>82</v>
      </c>
      <c r="B954" s="46">
        <v>2019</v>
      </c>
      <c r="C954" s="45" t="s">
        <v>126</v>
      </c>
      <c r="D954" s="47">
        <v>9</v>
      </c>
      <c r="E954" s="48">
        <v>92417.5</v>
      </c>
      <c r="F954" s="48">
        <v>5343.8</v>
      </c>
      <c r="G954" s="48">
        <v>97761.3</v>
      </c>
      <c r="H954" s="48">
        <v>144286.79999999999</v>
      </c>
      <c r="I954" s="48">
        <v>6464.5</v>
      </c>
      <c r="J954" s="48">
        <v>150751.29999999999</v>
      </c>
      <c r="K954" s="48">
        <v>21856.1</v>
      </c>
      <c r="L954" s="48">
        <v>29954.2</v>
      </c>
      <c r="M954" s="48">
        <v>9201.4</v>
      </c>
      <c r="N954" s="48">
        <v>1041</v>
      </c>
    </row>
    <row r="955" spans="1:14" ht="10.050000000000001" customHeight="1">
      <c r="A955" s="45" t="s">
        <v>81</v>
      </c>
      <c r="B955" s="46">
        <v>2019</v>
      </c>
      <c r="C955" s="45" t="s">
        <v>126</v>
      </c>
      <c r="D955" s="47">
        <v>9</v>
      </c>
      <c r="E955" s="48">
        <v>643879.4</v>
      </c>
      <c r="F955" s="48">
        <v>8058.4</v>
      </c>
      <c r="G955" s="48">
        <v>651937.80000000005</v>
      </c>
      <c r="H955" s="48">
        <v>591087</v>
      </c>
      <c r="I955" s="48">
        <v>7528.7</v>
      </c>
      <c r="J955" s="48">
        <v>598615.69999999995</v>
      </c>
      <c r="K955" s="48">
        <v>165956.1</v>
      </c>
      <c r="L955" s="48">
        <v>204953.60000000001</v>
      </c>
      <c r="M955" s="48">
        <v>45758</v>
      </c>
      <c r="N955" s="48">
        <v>499.8</v>
      </c>
    </row>
    <row r="956" spans="1:14" ht="10.050000000000001" customHeight="1">
      <c r="A956" s="45" t="s">
        <v>80</v>
      </c>
      <c r="B956" s="46">
        <v>2019</v>
      </c>
      <c r="C956" s="45" t="s">
        <v>126</v>
      </c>
      <c r="D956" s="47">
        <v>10</v>
      </c>
      <c r="E956" s="48">
        <v>136892.20000000001</v>
      </c>
      <c r="F956" s="48">
        <v>5.3</v>
      </c>
      <c r="G956" s="48">
        <v>136897.5</v>
      </c>
      <c r="H956" s="48">
        <v>1710610.5</v>
      </c>
      <c r="I956" s="48">
        <v>13066.4</v>
      </c>
      <c r="J956" s="48">
        <v>1723676.9</v>
      </c>
      <c r="K956" s="48">
        <v>452029.8</v>
      </c>
      <c r="L956" s="48">
        <v>13148.8</v>
      </c>
      <c r="M956" s="48">
        <v>77244.800000000003</v>
      </c>
      <c r="N956" s="48">
        <v>8173.3</v>
      </c>
    </row>
    <row r="957" spans="1:14" ht="10.050000000000001" customHeight="1">
      <c r="A957" s="45" t="s">
        <v>83</v>
      </c>
      <c r="B957" s="46">
        <v>2019</v>
      </c>
      <c r="C957" s="45" t="s">
        <v>126</v>
      </c>
      <c r="D957" s="47">
        <v>10</v>
      </c>
      <c r="E957" s="48">
        <v>1525.1</v>
      </c>
      <c r="F957" s="48">
        <v>489.5</v>
      </c>
      <c r="G957" s="48">
        <v>2014.6</v>
      </c>
      <c r="H957" s="48">
        <v>20441.7</v>
      </c>
      <c r="I957" s="48">
        <v>1175.7</v>
      </c>
      <c r="J957" s="48">
        <v>21617.4</v>
      </c>
      <c r="K957" s="48">
        <v>400.9</v>
      </c>
      <c r="L957" s="48">
        <v>108.2</v>
      </c>
      <c r="M957" s="48">
        <v>422.5</v>
      </c>
      <c r="N957" s="48">
        <v>55.1</v>
      </c>
    </row>
    <row r="958" spans="1:14" ht="10.050000000000001" customHeight="1">
      <c r="A958" s="45" t="s">
        <v>82</v>
      </c>
      <c r="B958" s="46">
        <v>2019</v>
      </c>
      <c r="C958" s="45" t="s">
        <v>126</v>
      </c>
      <c r="D958" s="47">
        <v>10</v>
      </c>
      <c r="E958" s="48">
        <v>160308.9</v>
      </c>
      <c r="F958" s="48">
        <v>3791.7</v>
      </c>
      <c r="G958" s="48">
        <v>164100.6</v>
      </c>
      <c r="H958" s="48">
        <v>282153.8</v>
      </c>
      <c r="I958" s="48">
        <v>9887.7000000000007</v>
      </c>
      <c r="J958" s="48">
        <v>292041.5</v>
      </c>
      <c r="K958" s="48">
        <v>32375</v>
      </c>
      <c r="L958" s="48">
        <v>29081.3</v>
      </c>
      <c r="M958" s="48">
        <v>18003.900000000001</v>
      </c>
      <c r="N958" s="48">
        <v>558.4</v>
      </c>
    </row>
    <row r="959" spans="1:14" ht="10.050000000000001" customHeight="1">
      <c r="A959" s="45" t="s">
        <v>81</v>
      </c>
      <c r="B959" s="46">
        <v>2019</v>
      </c>
      <c r="C959" s="45" t="s">
        <v>126</v>
      </c>
      <c r="D959" s="47">
        <v>10</v>
      </c>
      <c r="E959" s="48">
        <v>320338.2</v>
      </c>
      <c r="F959" s="48">
        <v>1197.7</v>
      </c>
      <c r="G959" s="48">
        <v>321535.90000000002</v>
      </c>
      <c r="H959" s="48">
        <v>758400.2</v>
      </c>
      <c r="I959" s="48">
        <v>6394.1</v>
      </c>
      <c r="J959" s="48">
        <v>764794.3</v>
      </c>
      <c r="K959" s="48">
        <v>128012.2</v>
      </c>
      <c r="L959" s="48">
        <v>51188.4</v>
      </c>
      <c r="M959" s="48">
        <v>87405.8</v>
      </c>
      <c r="N959" s="48">
        <v>1784.4</v>
      </c>
    </row>
    <row r="960" spans="1:14" ht="10.050000000000001" customHeight="1">
      <c r="A960" s="45" t="s">
        <v>80</v>
      </c>
      <c r="B960" s="46">
        <v>2019</v>
      </c>
      <c r="C960" s="45" t="s">
        <v>126</v>
      </c>
      <c r="D960" s="47">
        <v>11</v>
      </c>
      <c r="E960" s="48">
        <v>165288.9</v>
      </c>
      <c r="F960" s="48">
        <v>921.3</v>
      </c>
      <c r="G960" s="48">
        <v>166210.20000000001</v>
      </c>
      <c r="H960" s="48">
        <v>1634474.6</v>
      </c>
      <c r="I960" s="48">
        <v>13099.5</v>
      </c>
      <c r="J960" s="48">
        <v>1647574.1</v>
      </c>
      <c r="K960" s="48">
        <v>359957.7</v>
      </c>
      <c r="L960" s="48">
        <v>16385.099999999999</v>
      </c>
      <c r="M960" s="48">
        <v>99335.6</v>
      </c>
      <c r="N960" s="48">
        <v>9121.9</v>
      </c>
    </row>
    <row r="961" spans="1:14" ht="10.050000000000001" customHeight="1">
      <c r="A961" s="45" t="s">
        <v>83</v>
      </c>
      <c r="B961" s="46">
        <v>2019</v>
      </c>
      <c r="C961" s="45" t="s">
        <v>126</v>
      </c>
      <c r="D961" s="47">
        <v>11</v>
      </c>
      <c r="E961" s="48">
        <v>715.7</v>
      </c>
      <c r="F961" s="48">
        <v>239.5</v>
      </c>
      <c r="G961" s="48">
        <v>955.2</v>
      </c>
      <c r="H961" s="48">
        <v>18796.3</v>
      </c>
      <c r="I961" s="48">
        <v>856.4</v>
      </c>
      <c r="J961" s="48">
        <v>19652.7</v>
      </c>
      <c r="K961" s="48">
        <v>380.1</v>
      </c>
      <c r="L961" s="48">
        <v>33.799999999999997</v>
      </c>
      <c r="M961" s="48">
        <v>54.6</v>
      </c>
      <c r="N961" s="48">
        <v>0</v>
      </c>
    </row>
    <row r="962" spans="1:14" ht="10.050000000000001" customHeight="1">
      <c r="A962" s="45" t="s">
        <v>82</v>
      </c>
      <c r="B962" s="46">
        <v>2019</v>
      </c>
      <c r="C962" s="45" t="s">
        <v>126</v>
      </c>
      <c r="D962" s="47">
        <v>11</v>
      </c>
      <c r="E962" s="48">
        <v>31504</v>
      </c>
      <c r="F962" s="48">
        <v>2926.3</v>
      </c>
      <c r="G962" s="48">
        <v>34430.300000000003</v>
      </c>
      <c r="H962" s="48">
        <v>279365.09999999998</v>
      </c>
      <c r="I962" s="48">
        <v>11331.7</v>
      </c>
      <c r="J962" s="48">
        <v>290696.8</v>
      </c>
      <c r="K962" s="48">
        <v>20249.2</v>
      </c>
      <c r="L962" s="48">
        <v>3404.2</v>
      </c>
      <c r="M962" s="48">
        <v>14509.4</v>
      </c>
      <c r="N962" s="48">
        <v>1022.2</v>
      </c>
    </row>
    <row r="963" spans="1:14" ht="10.050000000000001" customHeight="1">
      <c r="A963" s="45" t="s">
        <v>81</v>
      </c>
      <c r="B963" s="46">
        <v>2019</v>
      </c>
      <c r="C963" s="45" t="s">
        <v>126</v>
      </c>
      <c r="D963" s="47">
        <v>11</v>
      </c>
      <c r="E963" s="48">
        <v>60328.1</v>
      </c>
      <c r="F963" s="48">
        <v>626.29999999999995</v>
      </c>
      <c r="G963" s="48">
        <v>60954.400000000001</v>
      </c>
      <c r="H963" s="48">
        <v>710561.2</v>
      </c>
      <c r="I963" s="48">
        <v>5723.3</v>
      </c>
      <c r="J963" s="48">
        <v>716284.5</v>
      </c>
      <c r="K963" s="48">
        <v>88913.600000000006</v>
      </c>
      <c r="L963" s="48">
        <v>3763.9</v>
      </c>
      <c r="M963" s="48">
        <v>40712.6</v>
      </c>
      <c r="N963" s="48">
        <v>2186.6</v>
      </c>
    </row>
    <row r="964" spans="1:14" ht="10.050000000000001" customHeight="1">
      <c r="A964" s="45" t="s">
        <v>80</v>
      </c>
      <c r="B964" s="46">
        <v>2019</v>
      </c>
      <c r="C964" s="45" t="s">
        <v>126</v>
      </c>
      <c r="D964" s="47">
        <v>12</v>
      </c>
      <c r="E964" s="48">
        <v>152319.79999999999</v>
      </c>
      <c r="F964" s="48">
        <v>700</v>
      </c>
      <c r="G964" s="48">
        <v>153019.79999999999</v>
      </c>
      <c r="H964" s="48">
        <v>1487498.1</v>
      </c>
      <c r="I964" s="48">
        <v>13021.4</v>
      </c>
      <c r="J964" s="48">
        <v>1500519.5</v>
      </c>
      <c r="K964" s="48">
        <v>298071.8</v>
      </c>
      <c r="L964" s="48">
        <v>30995.3</v>
      </c>
      <c r="M964" s="48">
        <v>89019.1</v>
      </c>
      <c r="N964" s="48">
        <v>3892.7</v>
      </c>
    </row>
    <row r="965" spans="1:14" ht="10.050000000000001" customHeight="1">
      <c r="A965" s="45" t="s">
        <v>83</v>
      </c>
      <c r="B965" s="46">
        <v>2019</v>
      </c>
      <c r="C965" s="45" t="s">
        <v>126</v>
      </c>
      <c r="D965" s="47">
        <v>12</v>
      </c>
      <c r="E965" s="48">
        <v>776</v>
      </c>
      <c r="F965" s="48">
        <v>0</v>
      </c>
      <c r="G965" s="48">
        <v>776</v>
      </c>
      <c r="H965" s="48">
        <v>17009.099999999999</v>
      </c>
      <c r="I965" s="48">
        <v>845.6</v>
      </c>
      <c r="J965" s="48">
        <v>17854.7</v>
      </c>
      <c r="K965" s="48">
        <v>351.9</v>
      </c>
      <c r="L965" s="48">
        <v>5.9</v>
      </c>
      <c r="M965" s="48">
        <v>34.1</v>
      </c>
      <c r="N965" s="48">
        <v>0</v>
      </c>
    </row>
    <row r="966" spans="1:14" ht="10.050000000000001" customHeight="1">
      <c r="A966" s="45" t="s">
        <v>82</v>
      </c>
      <c r="B966" s="46">
        <v>2019</v>
      </c>
      <c r="C966" s="45" t="s">
        <v>126</v>
      </c>
      <c r="D966" s="47">
        <v>12</v>
      </c>
      <c r="E966" s="48">
        <v>10639.9</v>
      </c>
      <c r="F966" s="48">
        <v>21.5</v>
      </c>
      <c r="G966" s="48">
        <v>10661.4</v>
      </c>
      <c r="H966" s="48">
        <v>264015</v>
      </c>
      <c r="I966" s="48">
        <v>10482.9</v>
      </c>
      <c r="J966" s="48">
        <v>274497.90000000002</v>
      </c>
      <c r="K966" s="48">
        <v>15823.3</v>
      </c>
      <c r="L966" s="48">
        <v>818</v>
      </c>
      <c r="M966" s="48">
        <v>4361.6000000000004</v>
      </c>
      <c r="N966" s="48">
        <v>1098.7</v>
      </c>
    </row>
    <row r="967" spans="1:14" ht="10.050000000000001" customHeight="1">
      <c r="A967" s="45" t="s">
        <v>81</v>
      </c>
      <c r="B967" s="46">
        <v>2019</v>
      </c>
      <c r="C967" s="45" t="s">
        <v>126</v>
      </c>
      <c r="D967" s="47">
        <v>12</v>
      </c>
      <c r="E967" s="48">
        <v>28039.7</v>
      </c>
      <c r="F967" s="48">
        <v>212</v>
      </c>
      <c r="G967" s="48">
        <v>28251.7</v>
      </c>
      <c r="H967" s="48">
        <v>646250.9</v>
      </c>
      <c r="I967" s="48">
        <v>4248.8</v>
      </c>
      <c r="J967" s="48">
        <v>650499.69999999995</v>
      </c>
      <c r="K967" s="48">
        <v>70221</v>
      </c>
      <c r="L967" s="48">
        <v>1160.5</v>
      </c>
      <c r="M967" s="48">
        <v>18310.5</v>
      </c>
      <c r="N967" s="48">
        <v>1542.8</v>
      </c>
    </row>
    <row r="968" spans="1:14" ht="10.050000000000001" customHeight="1">
      <c r="A968" s="45" t="s">
        <v>80</v>
      </c>
      <c r="B968" s="46">
        <v>2020</v>
      </c>
      <c r="C968" s="45" t="s">
        <v>126</v>
      </c>
      <c r="D968" s="47">
        <v>1</v>
      </c>
      <c r="E968" s="48">
        <v>161991.4</v>
      </c>
      <c r="F968" s="48">
        <v>0</v>
      </c>
      <c r="G968" s="48">
        <v>161991.4</v>
      </c>
      <c r="H968" s="48">
        <v>1342623.8</v>
      </c>
      <c r="I968" s="48">
        <v>12857.4</v>
      </c>
      <c r="J968" s="48">
        <v>1355481.2</v>
      </c>
      <c r="K968" s="48">
        <v>218419.6</v>
      </c>
      <c r="L968" s="48">
        <v>19832.599999999999</v>
      </c>
      <c r="M968" s="48">
        <v>91738.2</v>
      </c>
      <c r="N968" s="48">
        <v>7611.3</v>
      </c>
    </row>
    <row r="969" spans="1:14" ht="10.050000000000001" customHeight="1">
      <c r="A969" s="45" t="s">
        <v>83</v>
      </c>
      <c r="B969" s="46">
        <v>2020</v>
      </c>
      <c r="C969" s="45" t="s">
        <v>126</v>
      </c>
      <c r="D969" s="47">
        <v>1</v>
      </c>
      <c r="E969" s="48">
        <v>469.8</v>
      </c>
      <c r="F969" s="48">
        <v>6.9</v>
      </c>
      <c r="G969" s="48">
        <v>476.7</v>
      </c>
      <c r="H969" s="48">
        <v>14082.3</v>
      </c>
      <c r="I969" s="48">
        <v>676.7</v>
      </c>
      <c r="J969" s="48">
        <v>14759</v>
      </c>
      <c r="K969" s="48">
        <v>291.10000000000002</v>
      </c>
      <c r="L969" s="48">
        <v>8.5</v>
      </c>
      <c r="M969" s="48">
        <v>69.400000000000006</v>
      </c>
      <c r="N969" s="48">
        <v>0</v>
      </c>
    </row>
    <row r="970" spans="1:14" ht="10.050000000000001" customHeight="1">
      <c r="A970" s="45" t="s">
        <v>82</v>
      </c>
      <c r="B970" s="46">
        <v>2020</v>
      </c>
      <c r="C970" s="45" t="s">
        <v>126</v>
      </c>
      <c r="D970" s="47">
        <v>1</v>
      </c>
      <c r="E970" s="48">
        <v>7217.4</v>
      </c>
      <c r="F970" s="48">
        <v>589.1</v>
      </c>
      <c r="G970" s="48">
        <v>7806.5</v>
      </c>
      <c r="H970" s="48">
        <v>239440.3</v>
      </c>
      <c r="I970" s="48">
        <v>10556.3</v>
      </c>
      <c r="J970" s="48">
        <v>249996.6</v>
      </c>
      <c r="K970" s="48">
        <v>11782.9</v>
      </c>
      <c r="L970" s="48">
        <v>1106.2</v>
      </c>
      <c r="M970" s="48">
        <v>3970.4</v>
      </c>
      <c r="N970" s="48">
        <v>1050.5999999999999</v>
      </c>
    </row>
    <row r="971" spans="1:14" ht="10.050000000000001" customHeight="1">
      <c r="A971" s="45" t="s">
        <v>81</v>
      </c>
      <c r="B971" s="46">
        <v>2020</v>
      </c>
      <c r="C971" s="45" t="s">
        <v>126</v>
      </c>
      <c r="D971" s="47">
        <v>1</v>
      </c>
      <c r="E971" s="48">
        <v>31920.5</v>
      </c>
      <c r="F971" s="48">
        <v>525.29999999999995</v>
      </c>
      <c r="G971" s="48">
        <v>32445.8</v>
      </c>
      <c r="H971" s="48">
        <v>570438.40000000002</v>
      </c>
      <c r="I971" s="48">
        <v>4114.7</v>
      </c>
      <c r="J971" s="48">
        <v>574553.1</v>
      </c>
      <c r="K971" s="48">
        <v>47624.3</v>
      </c>
      <c r="L971" s="48">
        <v>1298.0999999999999</v>
      </c>
      <c r="M971" s="48">
        <v>21690.5</v>
      </c>
      <c r="N971" s="48">
        <v>2204</v>
      </c>
    </row>
    <row r="972" spans="1:14" ht="10.050000000000001" customHeight="1">
      <c r="A972" s="45" t="s">
        <v>80</v>
      </c>
      <c r="B972" s="46">
        <v>2020</v>
      </c>
      <c r="C972" s="45" t="s">
        <v>126</v>
      </c>
      <c r="D972" s="47">
        <v>2</v>
      </c>
      <c r="E972" s="48">
        <v>139820.5</v>
      </c>
      <c r="F972" s="48">
        <v>0</v>
      </c>
      <c r="G972" s="48">
        <v>139820.5</v>
      </c>
      <c r="H972" s="48">
        <v>1139683.3</v>
      </c>
      <c r="I972" s="48">
        <v>12831.1</v>
      </c>
      <c r="J972" s="48">
        <v>1152514.3999999999</v>
      </c>
      <c r="K972" s="48">
        <v>156280.5</v>
      </c>
      <c r="L972" s="48">
        <v>15760</v>
      </c>
      <c r="M972" s="48">
        <v>73477.7</v>
      </c>
      <c r="N972" s="48">
        <v>4420.8999999999996</v>
      </c>
    </row>
    <row r="973" spans="1:14" ht="10.050000000000001" customHeight="1">
      <c r="A973" s="45" t="s">
        <v>83</v>
      </c>
      <c r="B973" s="46">
        <v>2020</v>
      </c>
      <c r="C973" s="45" t="s">
        <v>126</v>
      </c>
      <c r="D973" s="47">
        <v>2</v>
      </c>
      <c r="E973" s="48">
        <v>852</v>
      </c>
      <c r="F973" s="48">
        <v>1.5</v>
      </c>
      <c r="G973" s="48">
        <v>853.5</v>
      </c>
      <c r="H973" s="48">
        <v>12225.9</v>
      </c>
      <c r="I973" s="48">
        <v>672.5</v>
      </c>
      <c r="J973" s="48">
        <v>12898.4</v>
      </c>
      <c r="K973" s="48">
        <v>312.10000000000002</v>
      </c>
      <c r="L973" s="48">
        <v>152.9</v>
      </c>
      <c r="M973" s="48">
        <v>131.9</v>
      </c>
      <c r="N973" s="48">
        <v>0</v>
      </c>
    </row>
    <row r="974" spans="1:14" ht="10.050000000000001" customHeight="1">
      <c r="A974" s="45" t="s">
        <v>82</v>
      </c>
      <c r="B974" s="46">
        <v>2020</v>
      </c>
      <c r="C974" s="45" t="s">
        <v>126</v>
      </c>
      <c r="D974" s="47">
        <v>2</v>
      </c>
      <c r="E974" s="48">
        <v>4781.6000000000004</v>
      </c>
      <c r="F974" s="48">
        <v>168.7</v>
      </c>
      <c r="G974" s="48">
        <v>4950.3</v>
      </c>
      <c r="H974" s="48">
        <v>217446</v>
      </c>
      <c r="I974" s="48">
        <v>8440.5</v>
      </c>
      <c r="J974" s="48">
        <v>225886.5</v>
      </c>
      <c r="K974" s="48">
        <v>10432.4</v>
      </c>
      <c r="L974" s="48">
        <v>1700.1</v>
      </c>
      <c r="M974" s="48">
        <v>2460.3000000000002</v>
      </c>
      <c r="N974" s="48">
        <v>559.70000000000005</v>
      </c>
    </row>
    <row r="975" spans="1:14" ht="10.050000000000001" customHeight="1">
      <c r="A975" s="45" t="s">
        <v>81</v>
      </c>
      <c r="B975" s="46">
        <v>2020</v>
      </c>
      <c r="C975" s="45" t="s">
        <v>126</v>
      </c>
      <c r="D975" s="47">
        <v>2</v>
      </c>
      <c r="E975" s="48">
        <v>17755.900000000001</v>
      </c>
      <c r="F975" s="48">
        <v>4355.2</v>
      </c>
      <c r="G975" s="48">
        <v>22111.1</v>
      </c>
      <c r="H975" s="48">
        <v>501859</v>
      </c>
      <c r="I975" s="48">
        <v>4379.2</v>
      </c>
      <c r="J975" s="48">
        <v>506238.2</v>
      </c>
      <c r="K975" s="48">
        <v>35521.1</v>
      </c>
      <c r="L975" s="48">
        <v>751.6</v>
      </c>
      <c r="M975" s="48">
        <v>11135.5</v>
      </c>
      <c r="N975" s="48">
        <v>1750.2</v>
      </c>
    </row>
    <row r="976" spans="1:14" ht="10.050000000000001" customHeight="1">
      <c r="A976" s="45" t="s">
        <v>80</v>
      </c>
      <c r="B976" s="46">
        <v>2020</v>
      </c>
      <c r="C976" s="45" t="s">
        <v>126</v>
      </c>
      <c r="D976" s="47">
        <v>3</v>
      </c>
      <c r="E976" s="48">
        <v>117937.2</v>
      </c>
      <c r="F976" s="48">
        <v>0</v>
      </c>
      <c r="G976" s="48">
        <v>117937.2</v>
      </c>
      <c r="H976" s="48">
        <v>947719.4</v>
      </c>
      <c r="I976" s="48">
        <v>12757.5</v>
      </c>
      <c r="J976" s="48">
        <v>960476.9</v>
      </c>
      <c r="K976" s="48">
        <v>117741.2</v>
      </c>
      <c r="L976" s="48">
        <v>13671.4</v>
      </c>
      <c r="M976" s="48">
        <v>49028.800000000003</v>
      </c>
      <c r="N976" s="48">
        <v>3426.7</v>
      </c>
    </row>
    <row r="977" spans="1:14" ht="10.050000000000001" customHeight="1">
      <c r="A977" s="45" t="s">
        <v>83</v>
      </c>
      <c r="B977" s="46">
        <v>2020</v>
      </c>
      <c r="C977" s="45" t="s">
        <v>126</v>
      </c>
      <c r="D977" s="47">
        <v>3</v>
      </c>
      <c r="E977" s="48">
        <v>802.4</v>
      </c>
      <c r="F977" s="48">
        <v>851.9</v>
      </c>
      <c r="G977" s="48">
        <v>1654.3</v>
      </c>
      <c r="H977" s="48">
        <v>10187.6</v>
      </c>
      <c r="I977" s="48">
        <v>1625.1</v>
      </c>
      <c r="J977" s="48">
        <v>11812.7</v>
      </c>
      <c r="K977" s="48">
        <v>201.2</v>
      </c>
      <c r="L977" s="48">
        <v>7.8</v>
      </c>
      <c r="M977" s="48">
        <v>114.2</v>
      </c>
      <c r="N977" s="48">
        <v>4.5</v>
      </c>
    </row>
    <row r="978" spans="1:14" ht="10.050000000000001" customHeight="1">
      <c r="A978" s="45" t="s">
        <v>82</v>
      </c>
      <c r="B978" s="46">
        <v>2020</v>
      </c>
      <c r="C978" s="45" t="s">
        <v>126</v>
      </c>
      <c r="D978" s="47">
        <v>3</v>
      </c>
      <c r="E978" s="48">
        <v>5708</v>
      </c>
      <c r="F978" s="48">
        <v>0</v>
      </c>
      <c r="G978" s="48">
        <v>5708</v>
      </c>
      <c r="H978" s="48">
        <v>180718.8</v>
      </c>
      <c r="I978" s="48">
        <v>5086.3</v>
      </c>
      <c r="J978" s="48">
        <v>185805.1</v>
      </c>
      <c r="K978" s="48">
        <v>8765.7000000000007</v>
      </c>
      <c r="L978" s="48">
        <v>1227.9000000000001</v>
      </c>
      <c r="M978" s="48">
        <v>2030.2</v>
      </c>
      <c r="N978" s="48">
        <v>864.4</v>
      </c>
    </row>
    <row r="979" spans="1:14" ht="10.050000000000001" customHeight="1">
      <c r="A979" s="45" t="s">
        <v>81</v>
      </c>
      <c r="B979" s="46">
        <v>2020</v>
      </c>
      <c r="C979" s="45" t="s">
        <v>126</v>
      </c>
      <c r="D979" s="47">
        <v>3</v>
      </c>
      <c r="E979" s="48">
        <v>11064.4</v>
      </c>
      <c r="F979" s="48">
        <v>456.5</v>
      </c>
      <c r="G979" s="48">
        <v>11520.9</v>
      </c>
      <c r="H979" s="48">
        <v>401327.5</v>
      </c>
      <c r="I979" s="48">
        <v>3690.5</v>
      </c>
      <c r="J979" s="48">
        <v>405018</v>
      </c>
      <c r="K979" s="48">
        <v>29612.400000000001</v>
      </c>
      <c r="L979" s="48">
        <v>504.5</v>
      </c>
      <c r="M979" s="48">
        <v>5360.5</v>
      </c>
      <c r="N979" s="48">
        <v>1052.5</v>
      </c>
    </row>
    <row r="980" spans="1:14" ht="10.050000000000001" customHeight="1">
      <c r="A980" s="45" t="s">
        <v>80</v>
      </c>
      <c r="B980" s="46">
        <v>2020</v>
      </c>
      <c r="C980" s="45" t="s">
        <v>126</v>
      </c>
      <c r="D980" s="47">
        <v>4</v>
      </c>
      <c r="E980" s="48">
        <v>100105.7</v>
      </c>
      <c r="F980" s="48">
        <v>0</v>
      </c>
      <c r="G980" s="48">
        <v>100105.7</v>
      </c>
      <c r="H980" s="48">
        <v>692570</v>
      </c>
      <c r="I980" s="48">
        <v>12707.1</v>
      </c>
      <c r="J980" s="48">
        <v>705277.1</v>
      </c>
      <c r="K980" s="48">
        <v>73452.100000000006</v>
      </c>
      <c r="L980" s="48">
        <v>12806.6</v>
      </c>
      <c r="M980" s="48">
        <v>52393.2</v>
      </c>
      <c r="N980" s="48">
        <v>5082.5</v>
      </c>
    </row>
    <row r="981" spans="1:14" ht="10.050000000000001" customHeight="1">
      <c r="A981" s="45" t="s">
        <v>83</v>
      </c>
      <c r="B981" s="46">
        <v>2020</v>
      </c>
      <c r="C981" s="45" t="s">
        <v>126</v>
      </c>
      <c r="D981" s="47">
        <v>4</v>
      </c>
      <c r="E981" s="48">
        <v>240.9</v>
      </c>
      <c r="F981" s="48">
        <v>32.1</v>
      </c>
      <c r="G981" s="48">
        <v>273</v>
      </c>
      <c r="H981" s="48">
        <v>8927.9000000000106</v>
      </c>
      <c r="I981" s="48">
        <v>1674.1</v>
      </c>
      <c r="J981" s="48">
        <v>10602</v>
      </c>
      <c r="K981" s="48">
        <v>174.9</v>
      </c>
      <c r="L981" s="48">
        <v>30.3</v>
      </c>
      <c r="M981" s="48">
        <v>50.7</v>
      </c>
      <c r="N981" s="48">
        <v>5.9</v>
      </c>
    </row>
    <row r="982" spans="1:14" ht="10.050000000000001" customHeight="1">
      <c r="A982" s="45" t="s">
        <v>82</v>
      </c>
      <c r="B982" s="46">
        <v>2020</v>
      </c>
      <c r="C982" s="45" t="s">
        <v>126</v>
      </c>
      <c r="D982" s="47">
        <v>4</v>
      </c>
      <c r="E982" s="48">
        <v>7431.8</v>
      </c>
      <c r="F982" s="48">
        <v>433.2</v>
      </c>
      <c r="G982" s="48">
        <v>7865</v>
      </c>
      <c r="H982" s="48">
        <v>131349.20000000001</v>
      </c>
      <c r="I982" s="48">
        <v>3981.9</v>
      </c>
      <c r="J982" s="48">
        <v>135331.1</v>
      </c>
      <c r="K982" s="48">
        <v>5787.5</v>
      </c>
      <c r="L982" s="48">
        <v>1322.3</v>
      </c>
      <c r="M982" s="48">
        <v>3403.6</v>
      </c>
      <c r="N982" s="48">
        <v>1063.7</v>
      </c>
    </row>
    <row r="983" spans="1:14" ht="10.050000000000001" customHeight="1">
      <c r="A983" s="45" t="s">
        <v>81</v>
      </c>
      <c r="B983" s="46">
        <v>2020</v>
      </c>
      <c r="C983" s="45" t="s">
        <v>126</v>
      </c>
      <c r="D983" s="47">
        <v>4</v>
      </c>
      <c r="E983" s="48">
        <v>11761.9</v>
      </c>
      <c r="F983" s="48">
        <v>463.7</v>
      </c>
      <c r="G983" s="48">
        <v>12225.6</v>
      </c>
      <c r="H983" s="48">
        <v>288954.59999999998</v>
      </c>
      <c r="I983" s="48">
        <v>4031.6</v>
      </c>
      <c r="J983" s="48">
        <v>292986.2</v>
      </c>
      <c r="K983" s="48">
        <v>23516.1</v>
      </c>
      <c r="L983" s="48">
        <v>635.20000000000005</v>
      </c>
      <c r="M983" s="48">
        <v>5423</v>
      </c>
      <c r="N983" s="48">
        <v>1343.1</v>
      </c>
    </row>
    <row r="984" spans="1:14" ht="10.050000000000001" customHeight="1">
      <c r="A984" s="45" t="s">
        <v>80</v>
      </c>
      <c r="B984" s="46">
        <v>2020</v>
      </c>
      <c r="C984" s="45" t="s">
        <v>126</v>
      </c>
      <c r="D984" s="47">
        <v>5</v>
      </c>
      <c r="E984" s="48">
        <v>68657.899999999994</v>
      </c>
      <c r="F984" s="48">
        <v>0</v>
      </c>
      <c r="G984" s="48">
        <v>68657.899999999994</v>
      </c>
      <c r="H984" s="48">
        <v>455545.8</v>
      </c>
      <c r="I984" s="48">
        <v>5659.4</v>
      </c>
      <c r="J984" s="48">
        <v>461205.2</v>
      </c>
      <c r="K984" s="48">
        <v>36370.800000000003</v>
      </c>
      <c r="L984" s="48">
        <v>5216.3999999999996</v>
      </c>
      <c r="M984" s="48">
        <v>37737.800000000003</v>
      </c>
      <c r="N984" s="48">
        <v>6023</v>
      </c>
    </row>
    <row r="985" spans="1:14" ht="10.050000000000001" customHeight="1">
      <c r="A985" s="45" t="s">
        <v>83</v>
      </c>
      <c r="B985" s="46">
        <v>2020</v>
      </c>
      <c r="C985" s="45" t="s">
        <v>126</v>
      </c>
      <c r="D985" s="47">
        <v>5</v>
      </c>
      <c r="E985" s="48">
        <v>523.4</v>
      </c>
      <c r="F985" s="48">
        <v>0</v>
      </c>
      <c r="G985" s="48">
        <v>523.4</v>
      </c>
      <c r="H985" s="48">
        <v>7627.4</v>
      </c>
      <c r="I985" s="48">
        <v>1498.6</v>
      </c>
      <c r="J985" s="48">
        <v>9126</v>
      </c>
      <c r="K985" s="48">
        <v>107.8</v>
      </c>
      <c r="L985" s="48">
        <v>0</v>
      </c>
      <c r="M985" s="48">
        <v>67.099999999999994</v>
      </c>
      <c r="N985" s="48">
        <v>0</v>
      </c>
    </row>
    <row r="986" spans="1:14" ht="10.050000000000001" customHeight="1">
      <c r="A986" s="45" t="s">
        <v>82</v>
      </c>
      <c r="B986" s="46">
        <v>2020</v>
      </c>
      <c r="C986" s="45" t="s">
        <v>126</v>
      </c>
      <c r="D986" s="47">
        <v>5</v>
      </c>
      <c r="E986" s="48">
        <v>5202.1000000000004</v>
      </c>
      <c r="F986" s="48">
        <v>50.3</v>
      </c>
      <c r="G986" s="48">
        <v>5252.4</v>
      </c>
      <c r="H986" s="48">
        <v>102431.4</v>
      </c>
      <c r="I986" s="48">
        <v>3227.7</v>
      </c>
      <c r="J986" s="48">
        <v>105659.1</v>
      </c>
      <c r="K986" s="48">
        <v>3807.4</v>
      </c>
      <c r="L986" s="48">
        <v>598</v>
      </c>
      <c r="M986" s="48">
        <v>1721.4</v>
      </c>
      <c r="N986" s="48">
        <v>804.8</v>
      </c>
    </row>
    <row r="987" spans="1:14" ht="10.050000000000001" customHeight="1">
      <c r="A987" s="45" t="s">
        <v>81</v>
      </c>
      <c r="B987" s="46">
        <v>2020</v>
      </c>
      <c r="C987" s="45" t="s">
        <v>126</v>
      </c>
      <c r="D987" s="47">
        <v>5</v>
      </c>
      <c r="E987" s="48">
        <v>16541.900000000001</v>
      </c>
      <c r="F987" s="48">
        <v>0</v>
      </c>
      <c r="G987" s="48">
        <v>16541.900000000001</v>
      </c>
      <c r="H987" s="48">
        <v>201066.1</v>
      </c>
      <c r="I987" s="48">
        <v>3969.8</v>
      </c>
      <c r="J987" s="48">
        <v>205035.9</v>
      </c>
      <c r="K987" s="48">
        <v>10928</v>
      </c>
      <c r="L987" s="48">
        <v>143.9</v>
      </c>
      <c r="M987" s="48">
        <v>12198.8</v>
      </c>
      <c r="N987" s="48">
        <v>543.4</v>
      </c>
    </row>
    <row r="988" spans="1:14" ht="10.050000000000001" customHeight="1">
      <c r="A988" s="45" t="s">
        <v>80</v>
      </c>
      <c r="B988" s="46">
        <v>2020</v>
      </c>
      <c r="C988" s="45" t="s">
        <v>126</v>
      </c>
      <c r="D988" s="47">
        <v>6</v>
      </c>
      <c r="E988" s="48">
        <v>39736.1</v>
      </c>
      <c r="F988" s="48">
        <v>0</v>
      </c>
      <c r="G988" s="48">
        <v>39736.1</v>
      </c>
      <c r="H988" s="48">
        <v>141234.70000000001</v>
      </c>
      <c r="I988" s="48">
        <v>4402.6000000000004</v>
      </c>
      <c r="J988" s="48">
        <v>145637.29999999999</v>
      </c>
      <c r="K988" s="48">
        <v>19495.2</v>
      </c>
      <c r="L988" s="48">
        <v>11192.5</v>
      </c>
      <c r="M988" s="48">
        <v>18871.7</v>
      </c>
      <c r="N988" s="48">
        <v>7948.5</v>
      </c>
    </row>
    <row r="989" spans="1:14" ht="10.050000000000001" customHeight="1">
      <c r="A989" s="45" t="s">
        <v>83</v>
      </c>
      <c r="B989" s="46">
        <v>2020</v>
      </c>
      <c r="C989" s="45" t="s">
        <v>126</v>
      </c>
      <c r="D989" s="47">
        <v>6</v>
      </c>
      <c r="E989" s="48">
        <v>591.9</v>
      </c>
      <c r="F989" s="48">
        <v>65.599999999999994</v>
      </c>
      <c r="G989" s="48">
        <v>657.5</v>
      </c>
      <c r="H989" s="48">
        <v>4218.7</v>
      </c>
      <c r="I989" s="48">
        <v>509.7</v>
      </c>
      <c r="J989" s="48">
        <v>4728.3999999999996</v>
      </c>
      <c r="K989" s="48">
        <v>17.399999999999999</v>
      </c>
      <c r="L989" s="48">
        <v>40.4</v>
      </c>
      <c r="M989" s="48">
        <v>40.4</v>
      </c>
      <c r="N989" s="48">
        <v>90.4</v>
      </c>
    </row>
    <row r="990" spans="1:14" ht="10.050000000000001" customHeight="1">
      <c r="A990" s="45" t="s">
        <v>82</v>
      </c>
      <c r="B990" s="46">
        <v>2020</v>
      </c>
      <c r="C990" s="45" t="s">
        <v>126</v>
      </c>
      <c r="D990" s="47">
        <v>6</v>
      </c>
      <c r="E990" s="48">
        <v>20544.5</v>
      </c>
      <c r="F990" s="48">
        <v>0</v>
      </c>
      <c r="G990" s="48">
        <v>20544.5</v>
      </c>
      <c r="H990" s="48">
        <v>70598.699999999895</v>
      </c>
      <c r="I990" s="48">
        <v>1319.1</v>
      </c>
      <c r="J990" s="48">
        <v>71917.8</v>
      </c>
      <c r="K990" s="48">
        <v>3253.7</v>
      </c>
      <c r="L990" s="48">
        <v>1304.5</v>
      </c>
      <c r="M990" s="48">
        <v>1193.5999999999999</v>
      </c>
      <c r="N990" s="48">
        <v>684.6</v>
      </c>
    </row>
    <row r="991" spans="1:14" ht="10.050000000000001" customHeight="1">
      <c r="A991" s="45" t="s">
        <v>81</v>
      </c>
      <c r="B991" s="46">
        <v>2020</v>
      </c>
      <c r="C991" s="45" t="s">
        <v>126</v>
      </c>
      <c r="D991" s="47">
        <v>6</v>
      </c>
      <c r="E991" s="48">
        <v>8807.1</v>
      </c>
      <c r="F991" s="48">
        <v>0</v>
      </c>
      <c r="G991" s="48">
        <v>8807.1</v>
      </c>
      <c r="H991" s="48">
        <v>114790.9</v>
      </c>
      <c r="I991" s="48">
        <v>3008.5</v>
      </c>
      <c r="J991" s="48">
        <v>117799.4</v>
      </c>
      <c r="K991" s="48">
        <v>4516.6000000000004</v>
      </c>
      <c r="L991" s="48">
        <v>352.2</v>
      </c>
      <c r="M991" s="48">
        <v>5939.3</v>
      </c>
      <c r="N991" s="48">
        <v>841.4</v>
      </c>
    </row>
    <row r="992" spans="1:14" ht="10.050000000000001" customHeight="1">
      <c r="A992" s="45" t="s">
        <v>80</v>
      </c>
      <c r="B992" s="46">
        <v>2020</v>
      </c>
      <c r="C992" s="45" t="s">
        <v>128</v>
      </c>
      <c r="D992" s="47">
        <v>7</v>
      </c>
      <c r="E992" s="48">
        <v>1679741.9</v>
      </c>
      <c r="F992" s="48">
        <v>9126.9</v>
      </c>
      <c r="G992" s="48">
        <v>1688868.8</v>
      </c>
      <c r="H992" s="48">
        <v>1571867</v>
      </c>
      <c r="I992" s="48">
        <v>7900.3</v>
      </c>
      <c r="J992" s="48">
        <v>1579767.3</v>
      </c>
      <c r="K992" s="48">
        <v>847058.9</v>
      </c>
      <c r="L992" s="48">
        <v>1031271.6</v>
      </c>
      <c r="M992" s="48">
        <v>193856.1</v>
      </c>
      <c r="N992" s="48">
        <v>9003.7999999999993</v>
      </c>
    </row>
    <row r="993" spans="1:14" ht="10.050000000000001" customHeight="1">
      <c r="A993" s="45" t="s">
        <v>83</v>
      </c>
      <c r="B993" s="46">
        <v>2020</v>
      </c>
      <c r="C993" s="45" t="s">
        <v>128</v>
      </c>
      <c r="D993" s="47">
        <v>7</v>
      </c>
      <c r="E993" s="48">
        <v>18287.7</v>
      </c>
      <c r="F993" s="48">
        <v>1</v>
      </c>
      <c r="G993" s="48">
        <v>18288.7</v>
      </c>
      <c r="H993" s="48">
        <v>19342.400000000001</v>
      </c>
      <c r="I993" s="48">
        <v>480.9</v>
      </c>
      <c r="J993" s="48">
        <v>19823.3</v>
      </c>
      <c r="K993" s="48">
        <v>4194</v>
      </c>
      <c r="L993" s="48">
        <v>6166</v>
      </c>
      <c r="M993" s="48">
        <v>1975.2</v>
      </c>
      <c r="N993" s="48">
        <v>14.2</v>
      </c>
    </row>
    <row r="994" spans="1:14" ht="10.050000000000001" customHeight="1">
      <c r="A994" s="45" t="s">
        <v>82</v>
      </c>
      <c r="B994" s="46">
        <v>2020</v>
      </c>
      <c r="C994" s="45" t="s">
        <v>128</v>
      </c>
      <c r="D994" s="47">
        <v>7</v>
      </c>
      <c r="E994" s="48">
        <v>1922.8</v>
      </c>
      <c r="F994" s="48">
        <v>0</v>
      </c>
      <c r="G994" s="48">
        <v>1922.8</v>
      </c>
      <c r="H994" s="48">
        <v>51833</v>
      </c>
      <c r="I994" s="48">
        <v>1249.4000000000001</v>
      </c>
      <c r="J994" s="48">
        <v>53082.400000000001</v>
      </c>
      <c r="K994" s="48">
        <v>2492.4</v>
      </c>
      <c r="L994" s="48">
        <v>746.4</v>
      </c>
      <c r="M994" s="48">
        <v>246.6</v>
      </c>
      <c r="N994" s="48">
        <v>853.5</v>
      </c>
    </row>
    <row r="995" spans="1:14" ht="10.050000000000001" customHeight="1">
      <c r="A995" s="45" t="s">
        <v>81</v>
      </c>
      <c r="B995" s="46">
        <v>2020</v>
      </c>
      <c r="C995" s="45" t="s">
        <v>128</v>
      </c>
      <c r="D995" s="47">
        <v>7</v>
      </c>
      <c r="E995" s="48">
        <v>1331.5</v>
      </c>
      <c r="F995" s="48">
        <v>0</v>
      </c>
      <c r="G995" s="48">
        <v>1331.5</v>
      </c>
      <c r="H995" s="48">
        <v>75591.7</v>
      </c>
      <c r="I995" s="48">
        <v>3007.5</v>
      </c>
      <c r="J995" s="48">
        <v>78599.199999999997</v>
      </c>
      <c r="K995" s="48">
        <v>4259.7</v>
      </c>
      <c r="L995" s="48">
        <v>22.5</v>
      </c>
      <c r="M995" s="48">
        <v>214.8</v>
      </c>
      <c r="N995" s="48">
        <v>57.4</v>
      </c>
    </row>
    <row r="996" spans="1:14" ht="10.050000000000001" customHeight="1">
      <c r="A996" s="45" t="s">
        <v>80</v>
      </c>
      <c r="B996" s="46">
        <v>2020</v>
      </c>
      <c r="C996" s="45" t="s">
        <v>128</v>
      </c>
      <c r="D996" s="47">
        <v>8</v>
      </c>
      <c r="E996" s="48">
        <v>270908.90000000002</v>
      </c>
      <c r="F996" s="48">
        <v>150.30000000000001</v>
      </c>
      <c r="G996" s="48">
        <v>271059.20000000001</v>
      </c>
      <c r="H996" s="48">
        <v>1591033.5</v>
      </c>
      <c r="I996" s="48">
        <v>7262.9</v>
      </c>
      <c r="J996" s="48">
        <v>1598296.4</v>
      </c>
      <c r="K996" s="48">
        <v>655402.4</v>
      </c>
      <c r="L996" s="48">
        <v>17816.099999999999</v>
      </c>
      <c r="M996" s="48">
        <v>201376.1</v>
      </c>
      <c r="N996" s="48">
        <v>7988.2</v>
      </c>
    </row>
    <row r="997" spans="1:14" ht="10.050000000000001" customHeight="1">
      <c r="A997" s="45" t="s">
        <v>83</v>
      </c>
      <c r="B997" s="46">
        <v>2020</v>
      </c>
      <c r="C997" s="45" t="s">
        <v>128</v>
      </c>
      <c r="D997" s="47">
        <v>8</v>
      </c>
      <c r="E997" s="48">
        <v>8817.7000000000007</v>
      </c>
      <c r="F997" s="48">
        <v>118.3</v>
      </c>
      <c r="G997" s="48">
        <v>8936</v>
      </c>
      <c r="H997" s="48">
        <v>26467.5</v>
      </c>
      <c r="I997" s="48">
        <v>532.4</v>
      </c>
      <c r="J997" s="48">
        <v>26999.9</v>
      </c>
      <c r="K997" s="48">
        <v>2140.5</v>
      </c>
      <c r="L997" s="48">
        <v>1075.3</v>
      </c>
      <c r="M997" s="48">
        <v>3128.8</v>
      </c>
      <c r="N997" s="48">
        <v>0</v>
      </c>
    </row>
    <row r="998" spans="1:14" ht="10.050000000000001" customHeight="1">
      <c r="A998" s="45" t="s">
        <v>82</v>
      </c>
      <c r="B998" s="46">
        <v>2020</v>
      </c>
      <c r="C998" s="45" t="s">
        <v>128</v>
      </c>
      <c r="D998" s="47">
        <v>8</v>
      </c>
      <c r="E998" s="48">
        <v>1792.6</v>
      </c>
      <c r="F998" s="48">
        <v>114.2</v>
      </c>
      <c r="G998" s="48">
        <v>1906.8</v>
      </c>
      <c r="H998" s="48">
        <v>38390.400000000001</v>
      </c>
      <c r="I998" s="48">
        <v>1371.7</v>
      </c>
      <c r="J998" s="48">
        <v>39762.1</v>
      </c>
      <c r="K998" s="48">
        <v>2310.5</v>
      </c>
      <c r="L998" s="48">
        <v>780</v>
      </c>
      <c r="M998" s="48">
        <v>425.5</v>
      </c>
      <c r="N998" s="48">
        <v>537.6</v>
      </c>
    </row>
    <row r="999" spans="1:14" ht="10.050000000000001" customHeight="1">
      <c r="A999" s="45" t="s">
        <v>81</v>
      </c>
      <c r="B999" s="46">
        <v>2020</v>
      </c>
      <c r="C999" s="45" t="s">
        <v>128</v>
      </c>
      <c r="D999" s="47">
        <v>8</v>
      </c>
      <c r="E999" s="48">
        <v>34761.4</v>
      </c>
      <c r="F999" s="48">
        <v>251.1</v>
      </c>
      <c r="G999" s="48">
        <v>35012.5</v>
      </c>
      <c r="H999" s="48">
        <v>90401.2</v>
      </c>
      <c r="I999" s="48">
        <v>3120.6</v>
      </c>
      <c r="J999" s="48">
        <v>93521.8</v>
      </c>
      <c r="K999" s="48">
        <v>22863.5</v>
      </c>
      <c r="L999" s="48">
        <v>19320.8</v>
      </c>
      <c r="M999" s="48">
        <v>345.1</v>
      </c>
      <c r="N999" s="48">
        <v>360.1</v>
      </c>
    </row>
    <row r="1000" spans="1:14" ht="10.050000000000001" customHeight="1">
      <c r="A1000" s="45" t="s">
        <v>80</v>
      </c>
      <c r="B1000" s="46">
        <v>2020</v>
      </c>
      <c r="C1000" s="45" t="s">
        <v>128</v>
      </c>
      <c r="D1000" s="47">
        <v>9</v>
      </c>
      <c r="E1000" s="48">
        <v>160910.5</v>
      </c>
      <c r="F1000" s="48">
        <v>103</v>
      </c>
      <c r="G1000" s="48">
        <v>161013.5</v>
      </c>
      <c r="H1000" s="48">
        <v>1576493.4</v>
      </c>
      <c r="I1000" s="48">
        <v>6049.5</v>
      </c>
      <c r="J1000" s="48">
        <v>1582542.9</v>
      </c>
      <c r="K1000" s="48">
        <v>544008.69999999995</v>
      </c>
      <c r="L1000" s="48">
        <v>27479.200000000001</v>
      </c>
      <c r="M1000" s="48">
        <v>130962</v>
      </c>
      <c r="N1000" s="48">
        <v>7852.9</v>
      </c>
    </row>
    <row r="1001" spans="1:14" ht="10.050000000000001" customHeight="1">
      <c r="A1001" s="45" t="s">
        <v>83</v>
      </c>
      <c r="B1001" s="46">
        <v>2020</v>
      </c>
      <c r="C1001" s="45" t="s">
        <v>128</v>
      </c>
      <c r="D1001" s="47">
        <v>9</v>
      </c>
      <c r="E1001" s="48">
        <v>3757.9</v>
      </c>
      <c r="F1001" s="48">
        <v>64.099999999999994</v>
      </c>
      <c r="G1001" s="48">
        <v>3822</v>
      </c>
      <c r="H1001" s="48">
        <v>26861.5</v>
      </c>
      <c r="I1001" s="48">
        <v>596.5</v>
      </c>
      <c r="J1001" s="48">
        <v>27458</v>
      </c>
      <c r="K1001" s="48">
        <v>1036.5999999999999</v>
      </c>
      <c r="L1001" s="48">
        <v>446.6</v>
      </c>
      <c r="M1001" s="48">
        <v>1549.6</v>
      </c>
      <c r="N1001" s="48">
        <v>1.1000000000000001</v>
      </c>
    </row>
    <row r="1002" spans="1:14" ht="10.050000000000001" customHeight="1">
      <c r="A1002" s="45" t="s">
        <v>82</v>
      </c>
      <c r="B1002" s="46">
        <v>2020</v>
      </c>
      <c r="C1002" s="45" t="s">
        <v>128</v>
      </c>
      <c r="D1002" s="47">
        <v>9</v>
      </c>
      <c r="E1002" s="48">
        <v>85306.500000000102</v>
      </c>
      <c r="F1002" s="48">
        <v>4722.2</v>
      </c>
      <c r="G1002" s="48">
        <v>90028.700000000099</v>
      </c>
      <c r="H1002" s="48">
        <v>108469.1</v>
      </c>
      <c r="I1002" s="48">
        <v>4469.5</v>
      </c>
      <c r="J1002" s="48">
        <v>112938.6</v>
      </c>
      <c r="K1002" s="48">
        <v>15720.7</v>
      </c>
      <c r="L1002" s="48">
        <v>19923</v>
      </c>
      <c r="M1002" s="48">
        <v>2998.3</v>
      </c>
      <c r="N1002" s="48">
        <v>3502.7</v>
      </c>
    </row>
    <row r="1003" spans="1:14" ht="10.050000000000001" customHeight="1">
      <c r="A1003" s="45" t="s">
        <v>81</v>
      </c>
      <c r="B1003" s="46">
        <v>2020</v>
      </c>
      <c r="C1003" s="45" t="s">
        <v>128</v>
      </c>
      <c r="D1003" s="47">
        <v>9</v>
      </c>
      <c r="E1003" s="48">
        <v>780129.3</v>
      </c>
      <c r="F1003" s="48">
        <v>5724.4</v>
      </c>
      <c r="G1003" s="48">
        <v>785853.7</v>
      </c>
      <c r="H1003" s="48">
        <v>783500.1</v>
      </c>
      <c r="I1003" s="48">
        <v>6575.1</v>
      </c>
      <c r="J1003" s="48">
        <v>790075.200000001</v>
      </c>
      <c r="K1003" s="48">
        <v>238025.7</v>
      </c>
      <c r="L1003" s="48">
        <v>297908</v>
      </c>
      <c r="M1003" s="48">
        <v>79743</v>
      </c>
      <c r="N1003" s="48">
        <v>3014.4</v>
      </c>
    </row>
    <row r="1004" spans="1:14" ht="10.050000000000001" customHeight="1">
      <c r="A1004" s="45" t="s">
        <v>80</v>
      </c>
      <c r="B1004" s="46">
        <v>2020</v>
      </c>
      <c r="C1004" s="45" t="s">
        <v>128</v>
      </c>
      <c r="D1004" s="47">
        <v>10</v>
      </c>
      <c r="E1004" s="48">
        <v>126393.4</v>
      </c>
      <c r="F1004" s="48">
        <v>11.9</v>
      </c>
      <c r="G1004" s="48">
        <v>126405.3</v>
      </c>
      <c r="H1004" s="48">
        <v>1492691.8</v>
      </c>
      <c r="I1004" s="48">
        <v>6378.5</v>
      </c>
      <c r="J1004" s="48">
        <v>1499070.3</v>
      </c>
      <c r="K1004" s="48">
        <v>461250.3</v>
      </c>
      <c r="L1004" s="48">
        <v>9023.7000000000007</v>
      </c>
      <c r="M1004" s="48">
        <v>84968.9</v>
      </c>
      <c r="N1004" s="48">
        <v>6843.2</v>
      </c>
    </row>
    <row r="1005" spans="1:14" ht="10.050000000000001" customHeight="1">
      <c r="A1005" s="45" t="s">
        <v>83</v>
      </c>
      <c r="B1005" s="46">
        <v>2020</v>
      </c>
      <c r="C1005" s="45" t="s">
        <v>128</v>
      </c>
      <c r="D1005" s="47">
        <v>10</v>
      </c>
      <c r="E1005" s="48">
        <v>1445.8</v>
      </c>
      <c r="F1005" s="48">
        <v>968.8</v>
      </c>
      <c r="G1005" s="48">
        <v>2414.6</v>
      </c>
      <c r="H1005" s="48">
        <v>25382.400000000001</v>
      </c>
      <c r="I1005" s="48">
        <v>1018.1</v>
      </c>
      <c r="J1005" s="48">
        <v>26400.5</v>
      </c>
      <c r="K1005" s="48">
        <v>778.9</v>
      </c>
      <c r="L1005" s="48">
        <v>61.3</v>
      </c>
      <c r="M1005" s="48">
        <v>275.60000000000002</v>
      </c>
      <c r="N1005" s="48">
        <v>43.3</v>
      </c>
    </row>
    <row r="1006" spans="1:14" ht="10.050000000000001" customHeight="1">
      <c r="A1006" s="45" t="s">
        <v>82</v>
      </c>
      <c r="B1006" s="46">
        <v>2020</v>
      </c>
      <c r="C1006" s="45" t="s">
        <v>128</v>
      </c>
      <c r="D1006" s="47">
        <v>10</v>
      </c>
      <c r="E1006" s="48">
        <v>110862.9</v>
      </c>
      <c r="F1006" s="48">
        <v>5376.4</v>
      </c>
      <c r="G1006" s="48">
        <v>116239.3</v>
      </c>
      <c r="H1006" s="48">
        <v>200919.5</v>
      </c>
      <c r="I1006" s="48">
        <v>8815.1</v>
      </c>
      <c r="J1006" s="48">
        <v>209734.6</v>
      </c>
      <c r="K1006" s="48">
        <v>25208.1</v>
      </c>
      <c r="L1006" s="48">
        <v>26381.200000000001</v>
      </c>
      <c r="M1006" s="48">
        <v>16239.4</v>
      </c>
      <c r="N1006" s="48">
        <v>655.20000000000005</v>
      </c>
    </row>
    <row r="1007" spans="1:14" ht="10.050000000000001" customHeight="1">
      <c r="A1007" s="45" t="s">
        <v>81</v>
      </c>
      <c r="B1007" s="46">
        <v>2020</v>
      </c>
      <c r="C1007" s="45" t="s">
        <v>128</v>
      </c>
      <c r="D1007" s="47">
        <v>10</v>
      </c>
      <c r="E1007" s="48">
        <v>328983.8</v>
      </c>
      <c r="F1007" s="48">
        <v>1435.1</v>
      </c>
      <c r="G1007" s="48">
        <v>330418.90000000002</v>
      </c>
      <c r="H1007" s="48">
        <v>974256.9</v>
      </c>
      <c r="I1007" s="48">
        <v>6588.2</v>
      </c>
      <c r="J1007" s="48">
        <v>980845.1</v>
      </c>
      <c r="K1007" s="48">
        <v>167580.29999999999</v>
      </c>
      <c r="L1007" s="48">
        <v>69515.899999999994</v>
      </c>
      <c r="M1007" s="48">
        <v>135032.9</v>
      </c>
      <c r="N1007" s="48">
        <v>4867.3</v>
      </c>
    </row>
    <row r="1008" spans="1:14" ht="10.050000000000001" customHeight="1">
      <c r="A1008" s="45" t="s">
        <v>80</v>
      </c>
      <c r="B1008" s="46">
        <v>2020</v>
      </c>
      <c r="C1008" s="45" t="s">
        <v>128</v>
      </c>
      <c r="D1008" s="47">
        <v>11</v>
      </c>
      <c r="E1008" s="48">
        <v>188448.8</v>
      </c>
      <c r="F1008" s="48">
        <v>747</v>
      </c>
      <c r="G1008" s="48">
        <v>189195.8</v>
      </c>
      <c r="H1008" s="48">
        <v>1402131.5</v>
      </c>
      <c r="I1008" s="48">
        <v>6063.8</v>
      </c>
      <c r="J1008" s="48">
        <v>1408195.3</v>
      </c>
      <c r="K1008" s="48">
        <v>345567.1</v>
      </c>
      <c r="L1008" s="48">
        <v>18415.599999999999</v>
      </c>
      <c r="M1008" s="48">
        <v>122149.9</v>
      </c>
      <c r="N1008" s="48">
        <v>11489.9</v>
      </c>
    </row>
    <row r="1009" spans="1:14" ht="10.050000000000001" customHeight="1">
      <c r="A1009" s="45" t="s">
        <v>83</v>
      </c>
      <c r="B1009" s="46">
        <v>2020</v>
      </c>
      <c r="C1009" s="45" t="s">
        <v>128</v>
      </c>
      <c r="D1009" s="47">
        <v>11</v>
      </c>
      <c r="E1009" s="48">
        <v>1001.8</v>
      </c>
      <c r="F1009" s="48">
        <v>264</v>
      </c>
      <c r="G1009" s="48">
        <v>1265.8</v>
      </c>
      <c r="H1009" s="48">
        <v>24277.4</v>
      </c>
      <c r="I1009" s="48">
        <v>942.9</v>
      </c>
      <c r="J1009" s="48">
        <v>25220.3</v>
      </c>
      <c r="K1009" s="48">
        <v>569</v>
      </c>
      <c r="L1009" s="48">
        <v>133.6</v>
      </c>
      <c r="M1009" s="48">
        <v>282.8</v>
      </c>
      <c r="N1009" s="48">
        <v>60.8</v>
      </c>
    </row>
    <row r="1010" spans="1:14" ht="10.050000000000001" customHeight="1">
      <c r="A1010" s="45" t="s">
        <v>82</v>
      </c>
      <c r="B1010" s="46">
        <v>2020</v>
      </c>
      <c r="C1010" s="45" t="s">
        <v>128</v>
      </c>
      <c r="D1010" s="47">
        <v>11</v>
      </c>
      <c r="E1010" s="48">
        <v>62019.7</v>
      </c>
      <c r="F1010" s="48">
        <v>1318.9</v>
      </c>
      <c r="G1010" s="48">
        <v>63338.6</v>
      </c>
      <c r="H1010" s="48">
        <v>218846.9</v>
      </c>
      <c r="I1010" s="48">
        <v>8796.1</v>
      </c>
      <c r="J1010" s="48">
        <v>227643</v>
      </c>
      <c r="K1010" s="48">
        <v>16055.7</v>
      </c>
      <c r="L1010" s="48">
        <v>6495.7</v>
      </c>
      <c r="M1010" s="48">
        <v>14558.7</v>
      </c>
      <c r="N1010" s="48">
        <v>1050.0999999999999</v>
      </c>
    </row>
    <row r="1011" spans="1:14" ht="10.050000000000001" customHeight="1">
      <c r="A1011" s="45" t="s">
        <v>81</v>
      </c>
      <c r="B1011" s="46">
        <v>2020</v>
      </c>
      <c r="C1011" s="45" t="s">
        <v>128</v>
      </c>
      <c r="D1011" s="47">
        <v>11</v>
      </c>
      <c r="E1011" s="48">
        <v>122027.4</v>
      </c>
      <c r="F1011" s="48">
        <v>2356.1999999999998</v>
      </c>
      <c r="G1011" s="48">
        <v>124383.6</v>
      </c>
      <c r="H1011" s="48">
        <v>955969.7</v>
      </c>
      <c r="I1011" s="48">
        <v>6455.5</v>
      </c>
      <c r="J1011" s="48">
        <v>962425.2</v>
      </c>
      <c r="K1011" s="48">
        <v>110367.1</v>
      </c>
      <c r="L1011" s="48">
        <v>16299.4</v>
      </c>
      <c r="M1011" s="48">
        <v>68031.100000000006</v>
      </c>
      <c r="N1011" s="48">
        <v>5358.2</v>
      </c>
    </row>
    <row r="1012" spans="1:14" ht="10.050000000000001" customHeight="1">
      <c r="A1012" s="45" t="s">
        <v>80</v>
      </c>
      <c r="B1012" s="46">
        <v>2020</v>
      </c>
      <c r="C1012" s="45" t="s">
        <v>128</v>
      </c>
      <c r="D1012" s="47">
        <v>12</v>
      </c>
      <c r="E1012" s="48">
        <v>115100.3</v>
      </c>
      <c r="F1012" s="48">
        <v>569.9</v>
      </c>
      <c r="G1012" s="48">
        <v>115670.2</v>
      </c>
      <c r="H1012" s="48">
        <v>1251052.8</v>
      </c>
      <c r="I1012" s="48">
        <v>5977.7</v>
      </c>
      <c r="J1012" s="48">
        <v>1257030.5</v>
      </c>
      <c r="K1012" s="48">
        <v>304887.7</v>
      </c>
      <c r="L1012" s="48">
        <v>25446.6</v>
      </c>
      <c r="M1012" s="48">
        <v>63438.3</v>
      </c>
      <c r="N1012" s="48">
        <v>3143</v>
      </c>
    </row>
    <row r="1013" spans="1:14" ht="10.050000000000001" customHeight="1">
      <c r="A1013" s="45" t="s">
        <v>83</v>
      </c>
      <c r="B1013" s="46">
        <v>2020</v>
      </c>
      <c r="C1013" s="45" t="s">
        <v>128</v>
      </c>
      <c r="D1013" s="47">
        <v>12</v>
      </c>
      <c r="E1013" s="48">
        <v>930.9</v>
      </c>
      <c r="F1013" s="48">
        <v>15.1</v>
      </c>
      <c r="G1013" s="48">
        <v>946</v>
      </c>
      <c r="H1013" s="48">
        <v>22768.400000000001</v>
      </c>
      <c r="I1013" s="48">
        <v>929.5</v>
      </c>
      <c r="J1013" s="48">
        <v>23697.9</v>
      </c>
      <c r="K1013" s="48">
        <v>483.4</v>
      </c>
      <c r="L1013" s="48">
        <v>57</v>
      </c>
      <c r="M1013" s="48">
        <v>142.69999999999999</v>
      </c>
      <c r="N1013" s="48">
        <v>0</v>
      </c>
    </row>
    <row r="1014" spans="1:14" ht="10.050000000000001" customHeight="1">
      <c r="A1014" s="45" t="s">
        <v>82</v>
      </c>
      <c r="B1014" s="46">
        <v>2020</v>
      </c>
      <c r="C1014" s="45" t="s">
        <v>128</v>
      </c>
      <c r="D1014" s="47">
        <v>12</v>
      </c>
      <c r="E1014" s="48">
        <v>15156.2</v>
      </c>
      <c r="F1014" s="48">
        <v>503.4</v>
      </c>
      <c r="G1014" s="48">
        <v>15659.6</v>
      </c>
      <c r="H1014" s="48">
        <v>193850.5</v>
      </c>
      <c r="I1014" s="48">
        <v>8472.7000000000007</v>
      </c>
      <c r="J1014" s="48">
        <v>202323.20000000001</v>
      </c>
      <c r="K1014" s="48">
        <v>11085.3</v>
      </c>
      <c r="L1014" s="48">
        <v>1908.7</v>
      </c>
      <c r="M1014" s="48">
        <v>5728.5</v>
      </c>
      <c r="N1014" s="48">
        <v>1150.5999999999999</v>
      </c>
    </row>
    <row r="1015" spans="1:14" ht="10.050000000000001" customHeight="1">
      <c r="A1015" s="45" t="s">
        <v>81</v>
      </c>
      <c r="B1015" s="46">
        <v>2020</v>
      </c>
      <c r="C1015" s="45" t="s">
        <v>128</v>
      </c>
      <c r="D1015" s="47">
        <v>12</v>
      </c>
      <c r="E1015" s="48">
        <v>56136.9</v>
      </c>
      <c r="F1015" s="48">
        <v>133.4</v>
      </c>
      <c r="G1015" s="48">
        <v>56270.3</v>
      </c>
      <c r="H1015" s="48">
        <v>903615.00000000105</v>
      </c>
      <c r="I1015" s="48">
        <v>5633.2</v>
      </c>
      <c r="J1015" s="48">
        <v>909248.200000001</v>
      </c>
      <c r="K1015" s="48">
        <v>70812.5</v>
      </c>
      <c r="L1015" s="48">
        <v>2175.3000000000002</v>
      </c>
      <c r="M1015" s="48">
        <v>38849.300000000003</v>
      </c>
      <c r="N1015" s="48">
        <v>2880.2</v>
      </c>
    </row>
    <row r="1016" spans="1:14" ht="10.050000000000001" customHeight="1">
      <c r="A1016" s="45" t="s">
        <v>80</v>
      </c>
      <c r="B1016" s="46">
        <v>2021</v>
      </c>
      <c r="C1016" s="45" t="s">
        <v>128</v>
      </c>
      <c r="D1016" s="47">
        <v>1</v>
      </c>
      <c r="E1016" s="48">
        <v>167651.5</v>
      </c>
      <c r="F1016" s="48">
        <v>0</v>
      </c>
      <c r="G1016" s="48">
        <v>167651.5</v>
      </c>
      <c r="H1016" s="48">
        <v>1099986.3</v>
      </c>
      <c r="I1016" s="48">
        <v>5941.3</v>
      </c>
      <c r="J1016" s="48">
        <v>1105927.6000000001</v>
      </c>
      <c r="K1016" s="48">
        <v>231178.3</v>
      </c>
      <c r="L1016" s="48">
        <v>22034.1</v>
      </c>
      <c r="M1016" s="48">
        <v>90305</v>
      </c>
      <c r="N1016" s="48">
        <v>4861.8</v>
      </c>
    </row>
    <row r="1017" spans="1:14" ht="10.050000000000001" customHeight="1">
      <c r="A1017" s="45" t="s">
        <v>83</v>
      </c>
      <c r="B1017" s="46">
        <v>2021</v>
      </c>
      <c r="C1017" s="45" t="s">
        <v>128</v>
      </c>
      <c r="D1017" s="47">
        <v>1</v>
      </c>
      <c r="E1017" s="48">
        <v>698.7</v>
      </c>
      <c r="F1017" s="48">
        <v>481</v>
      </c>
      <c r="G1017" s="48">
        <v>1179.7</v>
      </c>
      <c r="H1017" s="48">
        <v>20091.099999999999</v>
      </c>
      <c r="I1017" s="48">
        <v>1371.5</v>
      </c>
      <c r="J1017" s="48">
        <v>21462.6</v>
      </c>
      <c r="K1017" s="48">
        <v>312.39999999999998</v>
      </c>
      <c r="L1017" s="48">
        <v>2.6</v>
      </c>
      <c r="M1017" s="48">
        <v>173.6</v>
      </c>
      <c r="N1017" s="48">
        <v>0</v>
      </c>
    </row>
    <row r="1018" spans="1:14" ht="10.050000000000001" customHeight="1">
      <c r="A1018" s="45" t="s">
        <v>82</v>
      </c>
      <c r="B1018" s="46">
        <v>2021</v>
      </c>
      <c r="C1018" s="45" t="s">
        <v>128</v>
      </c>
      <c r="D1018" s="47">
        <v>1</v>
      </c>
      <c r="E1018" s="48">
        <v>8096.2</v>
      </c>
      <c r="F1018" s="48">
        <v>381.8</v>
      </c>
      <c r="G1018" s="48">
        <v>8478</v>
      </c>
      <c r="H1018" s="48">
        <v>167688.9</v>
      </c>
      <c r="I1018" s="48">
        <v>6752</v>
      </c>
      <c r="J1018" s="48">
        <v>174440.9</v>
      </c>
      <c r="K1018" s="48">
        <v>8540.7000000000007</v>
      </c>
      <c r="L1018" s="48">
        <v>1902.3</v>
      </c>
      <c r="M1018" s="48">
        <v>3224</v>
      </c>
      <c r="N1018" s="48">
        <v>1223</v>
      </c>
    </row>
    <row r="1019" spans="1:14" ht="10.050000000000001" customHeight="1">
      <c r="A1019" s="45" t="s">
        <v>81</v>
      </c>
      <c r="B1019" s="46">
        <v>2021</v>
      </c>
      <c r="C1019" s="45" t="s">
        <v>128</v>
      </c>
      <c r="D1019" s="47">
        <v>1</v>
      </c>
      <c r="E1019" s="48">
        <v>43545.2</v>
      </c>
      <c r="F1019" s="48">
        <v>482</v>
      </c>
      <c r="G1019" s="48">
        <v>44027.199999999997</v>
      </c>
      <c r="H1019" s="48">
        <v>782059.4</v>
      </c>
      <c r="I1019" s="48">
        <v>5051.3</v>
      </c>
      <c r="J1019" s="48">
        <v>787110.7</v>
      </c>
      <c r="K1019" s="48">
        <v>43031.3</v>
      </c>
      <c r="L1019" s="48">
        <v>1646.7</v>
      </c>
      <c r="M1019" s="48">
        <v>26793.3</v>
      </c>
      <c r="N1019" s="48">
        <v>2634.4</v>
      </c>
    </row>
    <row r="1020" spans="1:14" ht="10.050000000000001" customHeight="1">
      <c r="A1020" s="45" t="s">
        <v>80</v>
      </c>
      <c r="B1020" s="46">
        <v>2021</v>
      </c>
      <c r="C1020" s="45" t="s">
        <v>128</v>
      </c>
      <c r="D1020" s="47">
        <v>2</v>
      </c>
      <c r="E1020" s="48">
        <v>168664.9</v>
      </c>
      <c r="F1020" s="48">
        <v>0</v>
      </c>
      <c r="G1020" s="48">
        <v>168664.9</v>
      </c>
      <c r="H1020" s="48">
        <v>990496.3</v>
      </c>
      <c r="I1020" s="48">
        <v>4443.6000000000004</v>
      </c>
      <c r="J1020" s="48">
        <v>994939.9</v>
      </c>
      <c r="K1020" s="48">
        <v>155171.1</v>
      </c>
      <c r="L1020" s="48">
        <v>19593.099999999999</v>
      </c>
      <c r="M1020" s="48">
        <v>92764.9</v>
      </c>
      <c r="N1020" s="48">
        <v>2962.8</v>
      </c>
    </row>
    <row r="1021" spans="1:14" ht="10.050000000000001" customHeight="1">
      <c r="A1021" s="45" t="s">
        <v>83</v>
      </c>
      <c r="B1021" s="46">
        <v>2021</v>
      </c>
      <c r="C1021" s="45" t="s">
        <v>128</v>
      </c>
      <c r="D1021" s="47">
        <v>2</v>
      </c>
      <c r="E1021" s="48">
        <v>750.9</v>
      </c>
      <c r="F1021" s="48">
        <v>4.2</v>
      </c>
      <c r="G1021" s="48">
        <v>755.1</v>
      </c>
      <c r="H1021" s="48">
        <v>17264.2</v>
      </c>
      <c r="I1021" s="48">
        <v>1438.6</v>
      </c>
      <c r="J1021" s="48">
        <v>18702.8</v>
      </c>
      <c r="K1021" s="48">
        <v>392.1</v>
      </c>
      <c r="L1021" s="48">
        <v>137.69999999999999</v>
      </c>
      <c r="M1021" s="48">
        <v>29.1</v>
      </c>
      <c r="N1021" s="48">
        <v>28.9</v>
      </c>
    </row>
    <row r="1022" spans="1:14" ht="10.050000000000001" customHeight="1">
      <c r="A1022" s="45" t="s">
        <v>82</v>
      </c>
      <c r="B1022" s="46">
        <v>2021</v>
      </c>
      <c r="C1022" s="45" t="s">
        <v>128</v>
      </c>
      <c r="D1022" s="47">
        <v>2</v>
      </c>
      <c r="E1022" s="48">
        <v>5556.4</v>
      </c>
      <c r="F1022" s="48">
        <v>35.1</v>
      </c>
      <c r="G1022" s="48">
        <v>5591.5</v>
      </c>
      <c r="H1022" s="48">
        <v>138831.70000000001</v>
      </c>
      <c r="I1022" s="48">
        <v>5545.3</v>
      </c>
      <c r="J1022" s="48">
        <v>144377</v>
      </c>
      <c r="K1022" s="48">
        <v>6769.5</v>
      </c>
      <c r="L1022" s="48">
        <v>924.4</v>
      </c>
      <c r="M1022" s="48">
        <v>1586.9</v>
      </c>
      <c r="N1022" s="48">
        <v>1103.3</v>
      </c>
    </row>
    <row r="1023" spans="1:14" ht="10.050000000000001" customHeight="1">
      <c r="A1023" s="45" t="s">
        <v>81</v>
      </c>
      <c r="B1023" s="46">
        <v>2021</v>
      </c>
      <c r="C1023" s="45" t="s">
        <v>128</v>
      </c>
      <c r="D1023" s="47">
        <v>2</v>
      </c>
      <c r="E1023" s="48">
        <v>20867.2</v>
      </c>
      <c r="F1023" s="48">
        <v>1849.7</v>
      </c>
      <c r="G1023" s="48">
        <v>22716.9</v>
      </c>
      <c r="H1023" s="48">
        <v>688388.9</v>
      </c>
      <c r="I1023" s="48">
        <v>1866.8</v>
      </c>
      <c r="J1023" s="48">
        <v>690255.7</v>
      </c>
      <c r="K1023" s="48">
        <v>33231.1</v>
      </c>
      <c r="L1023" s="48">
        <v>1375.8</v>
      </c>
      <c r="M1023" s="48">
        <v>10165.6</v>
      </c>
      <c r="N1023" s="48">
        <v>1141.5</v>
      </c>
    </row>
    <row r="1024" spans="1:14" ht="10.050000000000001" customHeight="1">
      <c r="A1024" s="45" t="s">
        <v>80</v>
      </c>
      <c r="B1024" s="46">
        <v>2021</v>
      </c>
      <c r="C1024" s="45" t="s">
        <v>128</v>
      </c>
      <c r="D1024" s="47">
        <v>3</v>
      </c>
      <c r="E1024" s="48">
        <v>165174.70000000001</v>
      </c>
      <c r="F1024" s="48">
        <v>0</v>
      </c>
      <c r="G1024" s="48">
        <v>165174.70000000001</v>
      </c>
      <c r="H1024" s="48">
        <v>809251.2</v>
      </c>
      <c r="I1024" s="48">
        <v>5983.8</v>
      </c>
      <c r="J1024" s="48">
        <v>815235</v>
      </c>
      <c r="K1024" s="48">
        <v>95994.7</v>
      </c>
      <c r="L1024" s="48">
        <v>19526</v>
      </c>
      <c r="M1024" s="48">
        <v>74693.399999999994</v>
      </c>
      <c r="N1024" s="48">
        <v>4314.5</v>
      </c>
    </row>
    <row r="1025" spans="1:14" ht="10.050000000000001" customHeight="1">
      <c r="A1025" s="45" t="s">
        <v>83</v>
      </c>
      <c r="B1025" s="46">
        <v>2021</v>
      </c>
      <c r="C1025" s="45" t="s">
        <v>128</v>
      </c>
      <c r="D1025" s="47">
        <v>3</v>
      </c>
      <c r="E1025" s="48">
        <v>983.6</v>
      </c>
      <c r="F1025" s="48">
        <v>65.7</v>
      </c>
      <c r="G1025" s="48">
        <v>1049.3</v>
      </c>
      <c r="H1025" s="48">
        <v>14147.8</v>
      </c>
      <c r="I1025" s="48">
        <v>790.2</v>
      </c>
      <c r="J1025" s="48">
        <v>14938</v>
      </c>
      <c r="K1025" s="48">
        <v>72.400000000000006</v>
      </c>
      <c r="L1025" s="48">
        <v>17.3</v>
      </c>
      <c r="M1025" s="48">
        <v>325.2</v>
      </c>
      <c r="N1025" s="48">
        <v>11.8</v>
      </c>
    </row>
    <row r="1026" spans="1:14" ht="10.050000000000001" customHeight="1">
      <c r="A1026" s="45" t="s">
        <v>82</v>
      </c>
      <c r="B1026" s="46">
        <v>2021</v>
      </c>
      <c r="C1026" s="45" t="s">
        <v>128</v>
      </c>
      <c r="D1026" s="47">
        <v>3</v>
      </c>
      <c r="E1026" s="48">
        <v>4268.5</v>
      </c>
      <c r="F1026" s="48">
        <v>115.9</v>
      </c>
      <c r="G1026" s="48">
        <v>4384.3999999999996</v>
      </c>
      <c r="H1026" s="48">
        <v>113578.9</v>
      </c>
      <c r="I1026" s="48">
        <v>4922</v>
      </c>
      <c r="J1026" s="48">
        <v>118500.9</v>
      </c>
      <c r="K1026" s="48">
        <v>6226.3</v>
      </c>
      <c r="L1026" s="48">
        <v>1654.3</v>
      </c>
      <c r="M1026" s="48">
        <v>1159.5999999999999</v>
      </c>
      <c r="N1026" s="48">
        <v>1038.5</v>
      </c>
    </row>
    <row r="1027" spans="1:14" ht="10.050000000000001" customHeight="1">
      <c r="A1027" s="45" t="s">
        <v>81</v>
      </c>
      <c r="B1027" s="46">
        <v>2021</v>
      </c>
      <c r="C1027" s="45" t="s">
        <v>128</v>
      </c>
      <c r="D1027" s="47">
        <v>3</v>
      </c>
      <c r="E1027" s="48">
        <v>22209</v>
      </c>
      <c r="F1027" s="48">
        <v>777.9</v>
      </c>
      <c r="G1027" s="48">
        <v>22986.9</v>
      </c>
      <c r="H1027" s="48">
        <v>549460.30000000005</v>
      </c>
      <c r="I1027" s="48">
        <v>4614.2</v>
      </c>
      <c r="J1027" s="48">
        <v>554074.5</v>
      </c>
      <c r="K1027" s="48">
        <v>22076.2</v>
      </c>
      <c r="L1027" s="48">
        <v>874.3</v>
      </c>
      <c r="M1027" s="48">
        <v>10370.4</v>
      </c>
      <c r="N1027" s="48">
        <v>1672.9</v>
      </c>
    </row>
    <row r="1028" spans="1:14" ht="10.050000000000001" customHeight="1">
      <c r="A1028" s="45" t="s">
        <v>80</v>
      </c>
      <c r="B1028" s="46">
        <v>2021</v>
      </c>
      <c r="C1028" s="45" t="s">
        <v>128</v>
      </c>
      <c r="D1028" s="47">
        <v>4</v>
      </c>
      <c r="E1028" s="48">
        <v>98994.8</v>
      </c>
      <c r="F1028" s="48">
        <v>0</v>
      </c>
      <c r="G1028" s="48">
        <v>98994.8</v>
      </c>
      <c r="H1028" s="48">
        <v>586094.4</v>
      </c>
      <c r="I1028" s="48">
        <v>5753.2</v>
      </c>
      <c r="J1028" s="48">
        <v>591847.6</v>
      </c>
      <c r="K1028" s="48">
        <v>54759.9</v>
      </c>
      <c r="L1028" s="48">
        <v>11333.9</v>
      </c>
      <c r="M1028" s="48">
        <v>51587.3</v>
      </c>
      <c r="N1028" s="48">
        <v>1477.2</v>
      </c>
    </row>
    <row r="1029" spans="1:14" ht="10.050000000000001" customHeight="1">
      <c r="A1029" s="45" t="s">
        <v>83</v>
      </c>
      <c r="B1029" s="46">
        <v>2021</v>
      </c>
      <c r="C1029" s="45" t="s">
        <v>128</v>
      </c>
      <c r="D1029" s="47">
        <v>4</v>
      </c>
      <c r="E1029" s="48">
        <v>436.3</v>
      </c>
      <c r="F1029" s="48">
        <v>223.4</v>
      </c>
      <c r="G1029" s="48">
        <v>659.7</v>
      </c>
      <c r="H1029" s="48">
        <v>11095.8</v>
      </c>
      <c r="I1029" s="48">
        <v>983.5</v>
      </c>
      <c r="J1029" s="48">
        <v>12079.3</v>
      </c>
      <c r="K1029" s="48">
        <v>47.5</v>
      </c>
      <c r="L1029" s="48">
        <v>0</v>
      </c>
      <c r="M1029" s="48">
        <v>19</v>
      </c>
      <c r="N1029" s="48">
        <v>6</v>
      </c>
    </row>
    <row r="1030" spans="1:14" ht="10.050000000000001" customHeight="1">
      <c r="A1030" s="45" t="s">
        <v>82</v>
      </c>
      <c r="B1030" s="46">
        <v>2021</v>
      </c>
      <c r="C1030" s="45" t="s">
        <v>128</v>
      </c>
      <c r="D1030" s="47">
        <v>4</v>
      </c>
      <c r="E1030" s="48">
        <v>4208.3999999999996</v>
      </c>
      <c r="F1030" s="48">
        <v>28.9</v>
      </c>
      <c r="G1030" s="48">
        <v>4237.3</v>
      </c>
      <c r="H1030" s="48">
        <v>89628.9</v>
      </c>
      <c r="I1030" s="48">
        <v>2555.3000000000002</v>
      </c>
      <c r="J1030" s="48">
        <v>92184.2</v>
      </c>
      <c r="K1030" s="48">
        <v>4805.8</v>
      </c>
      <c r="L1030" s="48">
        <v>983</v>
      </c>
      <c r="M1030" s="48">
        <v>1417.7</v>
      </c>
      <c r="N1030" s="48">
        <v>985.6</v>
      </c>
    </row>
    <row r="1031" spans="1:14" ht="10.050000000000001" customHeight="1">
      <c r="A1031" s="45" t="s">
        <v>81</v>
      </c>
      <c r="B1031" s="46">
        <v>2021</v>
      </c>
      <c r="C1031" s="45" t="s">
        <v>128</v>
      </c>
      <c r="D1031" s="47">
        <v>4</v>
      </c>
      <c r="E1031" s="48">
        <v>13480.1</v>
      </c>
      <c r="F1031" s="48">
        <v>0</v>
      </c>
      <c r="G1031" s="48">
        <v>13480.1</v>
      </c>
      <c r="H1031" s="48">
        <v>390026.2</v>
      </c>
      <c r="I1031" s="48">
        <v>4295.7</v>
      </c>
      <c r="J1031" s="48">
        <v>394321.9</v>
      </c>
      <c r="K1031" s="48">
        <v>14833.3</v>
      </c>
      <c r="L1031" s="48">
        <v>1164.9000000000001</v>
      </c>
      <c r="M1031" s="48">
        <v>6783.1</v>
      </c>
      <c r="N1031" s="48">
        <v>1629.8</v>
      </c>
    </row>
    <row r="1032" spans="1:14" ht="10.050000000000001" customHeight="1">
      <c r="A1032" s="45" t="s">
        <v>80</v>
      </c>
      <c r="B1032" s="46">
        <v>2021</v>
      </c>
      <c r="C1032" s="45" t="s">
        <v>128</v>
      </c>
      <c r="D1032" s="47">
        <v>5</v>
      </c>
      <c r="E1032" s="48">
        <v>74853.2</v>
      </c>
      <c r="F1032" s="48">
        <v>0</v>
      </c>
      <c r="G1032" s="48">
        <v>74853.2</v>
      </c>
      <c r="H1032" s="48">
        <v>286852.40000000002</v>
      </c>
      <c r="I1032" s="48">
        <v>5359.9</v>
      </c>
      <c r="J1032" s="48">
        <v>292212.3</v>
      </c>
      <c r="K1032" s="48">
        <v>21522.5</v>
      </c>
      <c r="L1032" s="48">
        <v>7874.8</v>
      </c>
      <c r="M1032" s="48">
        <v>33659.9</v>
      </c>
      <c r="N1032" s="48">
        <v>9400.6</v>
      </c>
    </row>
    <row r="1033" spans="1:14" ht="10.050000000000001" customHeight="1">
      <c r="A1033" s="45" t="s">
        <v>83</v>
      </c>
      <c r="B1033" s="46">
        <v>2021</v>
      </c>
      <c r="C1033" s="45" t="s">
        <v>128</v>
      </c>
      <c r="D1033" s="47">
        <v>5</v>
      </c>
      <c r="E1033" s="48">
        <v>123.5</v>
      </c>
      <c r="F1033" s="48">
        <v>6.9</v>
      </c>
      <c r="G1033" s="48">
        <v>130.4</v>
      </c>
      <c r="H1033" s="48">
        <v>8714</v>
      </c>
      <c r="I1033" s="48">
        <v>991.5</v>
      </c>
      <c r="J1033" s="48">
        <v>9705.5</v>
      </c>
      <c r="K1033" s="48">
        <v>47.5</v>
      </c>
      <c r="L1033" s="48">
        <v>0.3</v>
      </c>
      <c r="M1033" s="48">
        <v>0.3</v>
      </c>
      <c r="N1033" s="48">
        <v>0</v>
      </c>
    </row>
    <row r="1034" spans="1:14" ht="10.050000000000001" customHeight="1">
      <c r="A1034" s="45" t="s">
        <v>82</v>
      </c>
      <c r="B1034" s="46">
        <v>2021</v>
      </c>
      <c r="C1034" s="45" t="s">
        <v>128</v>
      </c>
      <c r="D1034" s="47">
        <v>5</v>
      </c>
      <c r="E1034" s="48">
        <v>2247.1</v>
      </c>
      <c r="F1034" s="48">
        <v>2.9</v>
      </c>
      <c r="G1034" s="48">
        <v>2250</v>
      </c>
      <c r="H1034" s="48">
        <v>67652.899999999994</v>
      </c>
      <c r="I1034" s="48">
        <v>2226.6</v>
      </c>
      <c r="J1034" s="48">
        <v>69879.5</v>
      </c>
      <c r="K1034" s="48">
        <v>3653.3</v>
      </c>
      <c r="L1034" s="48">
        <v>452.3</v>
      </c>
      <c r="M1034" s="48">
        <v>838.7</v>
      </c>
      <c r="N1034" s="48">
        <v>746.6</v>
      </c>
    </row>
    <row r="1035" spans="1:14" ht="10.050000000000001" customHeight="1">
      <c r="A1035" s="45" t="s">
        <v>81</v>
      </c>
      <c r="B1035" s="46">
        <v>2021</v>
      </c>
      <c r="C1035" s="45" t="s">
        <v>128</v>
      </c>
      <c r="D1035" s="47">
        <v>5</v>
      </c>
      <c r="E1035" s="48">
        <v>12110.9</v>
      </c>
      <c r="F1035" s="48">
        <v>0</v>
      </c>
      <c r="G1035" s="48">
        <v>12110.9</v>
      </c>
      <c r="H1035" s="48">
        <v>276650.59999999998</v>
      </c>
      <c r="I1035" s="48">
        <v>4193.3</v>
      </c>
      <c r="J1035" s="48">
        <v>280843.90000000002</v>
      </c>
      <c r="K1035" s="48">
        <v>6333.1</v>
      </c>
      <c r="L1035" s="48">
        <v>659.4</v>
      </c>
      <c r="M1035" s="48">
        <v>8694.7000000000007</v>
      </c>
      <c r="N1035" s="48">
        <v>477.9</v>
      </c>
    </row>
    <row r="1036" spans="1:14" ht="10.050000000000001" customHeight="1">
      <c r="A1036" s="45" t="s">
        <v>80</v>
      </c>
      <c r="B1036" s="46">
        <v>2021</v>
      </c>
      <c r="C1036" s="45" t="s">
        <v>128</v>
      </c>
      <c r="D1036" s="47">
        <v>6</v>
      </c>
      <c r="E1036" s="48">
        <v>38510</v>
      </c>
      <c r="F1036" s="48">
        <v>0</v>
      </c>
      <c r="G1036" s="48">
        <v>38510</v>
      </c>
      <c r="H1036" s="48">
        <v>55491</v>
      </c>
      <c r="I1036" s="48">
        <v>3351.7</v>
      </c>
      <c r="J1036" s="48">
        <v>58842.7</v>
      </c>
      <c r="K1036" s="48">
        <v>6685.2</v>
      </c>
      <c r="L1036" s="48">
        <v>13964.7</v>
      </c>
      <c r="M1036" s="48">
        <v>10437.9</v>
      </c>
      <c r="N1036" s="48">
        <v>16943.5</v>
      </c>
    </row>
    <row r="1037" spans="1:14" ht="10.050000000000001" customHeight="1">
      <c r="A1037" s="45" t="s">
        <v>83</v>
      </c>
      <c r="B1037" s="46">
        <v>2021</v>
      </c>
      <c r="C1037" s="45" t="s">
        <v>128</v>
      </c>
      <c r="D1037" s="47">
        <v>6</v>
      </c>
      <c r="E1037" s="48">
        <v>281.7</v>
      </c>
      <c r="F1037" s="48">
        <v>0</v>
      </c>
      <c r="G1037" s="48">
        <v>281.7</v>
      </c>
      <c r="H1037" s="48">
        <v>5513.4</v>
      </c>
      <c r="I1037" s="48">
        <v>542.5</v>
      </c>
      <c r="J1037" s="48">
        <v>6055.9</v>
      </c>
      <c r="K1037" s="48">
        <v>64.8</v>
      </c>
      <c r="L1037" s="48">
        <v>66.599999999999994</v>
      </c>
      <c r="M1037" s="48">
        <v>43.1</v>
      </c>
      <c r="N1037" s="48">
        <v>6.2</v>
      </c>
    </row>
    <row r="1038" spans="1:14" ht="10.050000000000001" customHeight="1">
      <c r="A1038" s="45" t="s">
        <v>82</v>
      </c>
      <c r="B1038" s="46">
        <v>2021</v>
      </c>
      <c r="C1038" s="45" t="s">
        <v>128</v>
      </c>
      <c r="D1038" s="47">
        <v>6</v>
      </c>
      <c r="E1038" s="48">
        <v>20285.900000000001</v>
      </c>
      <c r="F1038" s="48">
        <v>3.7</v>
      </c>
      <c r="G1038" s="48">
        <v>20289.599999999999</v>
      </c>
      <c r="H1038" s="48">
        <v>68095.5</v>
      </c>
      <c r="I1038" s="48">
        <v>1376.8</v>
      </c>
      <c r="J1038" s="48">
        <v>69472.3</v>
      </c>
      <c r="K1038" s="48">
        <v>1326</v>
      </c>
      <c r="L1038" s="48">
        <v>90.4</v>
      </c>
      <c r="M1038" s="48">
        <v>1589.7</v>
      </c>
      <c r="N1038" s="48">
        <v>795.6</v>
      </c>
    </row>
    <row r="1039" spans="1:14" ht="10.050000000000001" customHeight="1">
      <c r="A1039" s="45" t="s">
        <v>81</v>
      </c>
      <c r="B1039" s="46">
        <v>2021</v>
      </c>
      <c r="C1039" s="45" t="s">
        <v>128</v>
      </c>
      <c r="D1039" s="47">
        <v>6</v>
      </c>
      <c r="E1039" s="48">
        <v>13573.5</v>
      </c>
      <c r="F1039" s="48">
        <v>0</v>
      </c>
      <c r="G1039" s="48">
        <v>13573.5</v>
      </c>
      <c r="H1039" s="48">
        <v>96071.5</v>
      </c>
      <c r="I1039" s="48">
        <v>3666</v>
      </c>
      <c r="J1039" s="48">
        <v>99737.5</v>
      </c>
      <c r="K1039" s="48">
        <v>2271.6</v>
      </c>
      <c r="L1039" s="48">
        <v>4681.6000000000004</v>
      </c>
      <c r="M1039" s="48">
        <v>2377.6999999999998</v>
      </c>
      <c r="N1039" s="48">
        <v>6424.7</v>
      </c>
    </row>
    <row r="1040" spans="1:14" ht="10.050000000000001" customHeight="1">
      <c r="A1040" s="45" t="s">
        <v>80</v>
      </c>
      <c r="B1040" s="46">
        <v>2021</v>
      </c>
      <c r="C1040" s="45" t="s">
        <v>129</v>
      </c>
      <c r="D1040" s="47">
        <v>7</v>
      </c>
      <c r="E1040" s="48">
        <v>1454447.1</v>
      </c>
      <c r="F1040" s="48">
        <v>9724.9</v>
      </c>
      <c r="G1040" s="48">
        <v>1464172</v>
      </c>
      <c r="H1040" s="48">
        <v>1305598.5</v>
      </c>
      <c r="I1040" s="48">
        <v>9505.6</v>
      </c>
      <c r="J1040" s="48">
        <v>1315104.1000000001</v>
      </c>
      <c r="K1040" s="48">
        <v>720829.8</v>
      </c>
      <c r="L1040" s="48">
        <v>918528.8</v>
      </c>
      <c r="M1040" s="48">
        <v>196152.3</v>
      </c>
      <c r="N1040" s="48">
        <v>6599.9</v>
      </c>
    </row>
    <row r="1041" spans="1:14" ht="10.050000000000001" customHeight="1">
      <c r="A1041" s="45" t="s">
        <v>83</v>
      </c>
      <c r="B1041" s="46">
        <v>2021</v>
      </c>
      <c r="C1041" s="45" t="s">
        <v>129</v>
      </c>
      <c r="D1041" s="47">
        <v>7</v>
      </c>
      <c r="E1041" s="48">
        <v>8799.6</v>
      </c>
      <c r="F1041" s="48">
        <v>0</v>
      </c>
      <c r="G1041" s="48">
        <v>8799.6</v>
      </c>
      <c r="H1041" s="48">
        <v>11964.7</v>
      </c>
      <c r="I1041" s="48">
        <v>516.5</v>
      </c>
      <c r="J1041" s="48">
        <v>12481.2</v>
      </c>
      <c r="K1041" s="48">
        <v>3325.2</v>
      </c>
      <c r="L1041" s="48">
        <v>3903.5</v>
      </c>
      <c r="M1041" s="48">
        <v>552</v>
      </c>
      <c r="N1041" s="48">
        <v>91.1</v>
      </c>
    </row>
    <row r="1042" spans="1:14" ht="10.050000000000001" customHeight="1">
      <c r="A1042" s="45" t="s">
        <v>82</v>
      </c>
      <c r="B1042" s="46">
        <v>2021</v>
      </c>
      <c r="C1042" s="45" t="s">
        <v>129</v>
      </c>
      <c r="D1042" s="47">
        <v>7</v>
      </c>
      <c r="E1042" s="48">
        <v>1056.4000000000001</v>
      </c>
      <c r="F1042" s="48">
        <v>0</v>
      </c>
      <c r="G1042" s="48">
        <v>1056.4000000000001</v>
      </c>
      <c r="H1042" s="48">
        <v>36961</v>
      </c>
      <c r="I1042" s="48">
        <v>1286</v>
      </c>
      <c r="J1042" s="48">
        <v>38247</v>
      </c>
      <c r="K1042" s="48">
        <v>740</v>
      </c>
      <c r="L1042" s="48">
        <v>81.900000000000006</v>
      </c>
      <c r="M1042" s="48">
        <v>428.6</v>
      </c>
      <c r="N1042" s="48">
        <v>222.5</v>
      </c>
    </row>
    <row r="1043" spans="1:14" ht="10.050000000000001" customHeight="1">
      <c r="A1043" s="45" t="s">
        <v>81</v>
      </c>
      <c r="B1043" s="46">
        <v>2021</v>
      </c>
      <c r="C1043" s="45" t="s">
        <v>129</v>
      </c>
      <c r="D1043" s="47">
        <v>7</v>
      </c>
      <c r="E1043" s="48">
        <v>1230</v>
      </c>
      <c r="F1043" s="48">
        <v>0</v>
      </c>
      <c r="G1043" s="48">
        <v>1230</v>
      </c>
      <c r="H1043" s="48">
        <v>62238.6</v>
      </c>
      <c r="I1043" s="48">
        <v>3631.1</v>
      </c>
      <c r="J1043" s="48">
        <v>65869.7</v>
      </c>
      <c r="K1043" s="48">
        <v>1701.2</v>
      </c>
      <c r="L1043" s="48">
        <v>3529.5</v>
      </c>
      <c r="M1043" s="48">
        <v>526.70000000000005</v>
      </c>
      <c r="N1043" s="48">
        <v>3579.1</v>
      </c>
    </row>
    <row r="1044" spans="1:14" ht="10.050000000000001" customHeight="1">
      <c r="A1044" s="45" t="s">
        <v>80</v>
      </c>
      <c r="B1044" s="46">
        <v>2021</v>
      </c>
      <c r="C1044" s="45" t="s">
        <v>129</v>
      </c>
      <c r="D1044" s="47">
        <v>8</v>
      </c>
      <c r="E1044" s="48">
        <v>736339.4</v>
      </c>
      <c r="F1044" s="48">
        <v>2263.3000000000002</v>
      </c>
      <c r="G1044" s="48">
        <v>738602.700000001</v>
      </c>
      <c r="H1044" s="48">
        <v>1732881.8</v>
      </c>
      <c r="I1044" s="48">
        <v>9328.9</v>
      </c>
      <c r="J1044" s="48">
        <v>1742210.7</v>
      </c>
      <c r="K1044" s="48">
        <v>508046.1</v>
      </c>
      <c r="L1044" s="48">
        <v>286946.09999999998</v>
      </c>
      <c r="M1044" s="48">
        <v>490038.5</v>
      </c>
      <c r="N1044" s="48">
        <v>9667.6</v>
      </c>
    </row>
    <row r="1045" spans="1:14" ht="10.050000000000001" customHeight="1">
      <c r="A1045" s="45" t="s">
        <v>83</v>
      </c>
      <c r="B1045" s="46">
        <v>2021</v>
      </c>
      <c r="C1045" s="45" t="s">
        <v>129</v>
      </c>
      <c r="D1045" s="47">
        <v>8</v>
      </c>
      <c r="E1045" s="48">
        <v>19508.599999999999</v>
      </c>
      <c r="F1045" s="48">
        <v>159.6</v>
      </c>
      <c r="G1045" s="48">
        <v>19668.2</v>
      </c>
      <c r="H1045" s="48">
        <v>28717.1</v>
      </c>
      <c r="I1045" s="48">
        <v>655.8</v>
      </c>
      <c r="J1045" s="48">
        <v>29372.9</v>
      </c>
      <c r="K1045" s="48">
        <v>4502</v>
      </c>
      <c r="L1045" s="48">
        <v>6609.7</v>
      </c>
      <c r="M1045" s="48">
        <v>5432.8</v>
      </c>
      <c r="N1045" s="48">
        <v>0</v>
      </c>
    </row>
    <row r="1046" spans="1:14" ht="10.050000000000001" customHeight="1">
      <c r="A1046" s="45" t="s">
        <v>82</v>
      </c>
      <c r="B1046" s="46">
        <v>2021</v>
      </c>
      <c r="C1046" s="45" t="s">
        <v>129</v>
      </c>
      <c r="D1046" s="47">
        <v>8</v>
      </c>
      <c r="E1046" s="48">
        <v>843</v>
      </c>
      <c r="F1046" s="48">
        <v>45.6</v>
      </c>
      <c r="G1046" s="48">
        <v>888.6</v>
      </c>
      <c r="H1046" s="48">
        <v>27992.9</v>
      </c>
      <c r="I1046" s="48">
        <v>975.7</v>
      </c>
      <c r="J1046" s="48">
        <v>28968.6</v>
      </c>
      <c r="K1046" s="48">
        <v>517.5</v>
      </c>
      <c r="L1046" s="48">
        <v>49.2</v>
      </c>
      <c r="M1046" s="48">
        <v>170.2</v>
      </c>
      <c r="N1046" s="48">
        <v>95.3</v>
      </c>
    </row>
    <row r="1047" spans="1:14" ht="10.050000000000001" customHeight="1">
      <c r="A1047" s="45" t="s">
        <v>81</v>
      </c>
      <c r="B1047" s="46">
        <v>2021</v>
      </c>
      <c r="C1047" s="45" t="s">
        <v>129</v>
      </c>
      <c r="D1047" s="47">
        <v>8</v>
      </c>
      <c r="E1047" s="48">
        <v>2706.2</v>
      </c>
      <c r="F1047" s="48">
        <v>164.6</v>
      </c>
      <c r="G1047" s="48">
        <v>2870.8</v>
      </c>
      <c r="H1047" s="48">
        <v>45379</v>
      </c>
      <c r="I1047" s="48">
        <v>3503.2</v>
      </c>
      <c r="J1047" s="48">
        <v>48882.2</v>
      </c>
      <c r="K1047" s="48">
        <v>2018</v>
      </c>
      <c r="L1047" s="48">
        <v>507.9</v>
      </c>
      <c r="M1047" s="48">
        <v>73.7</v>
      </c>
      <c r="N1047" s="48">
        <v>117.3</v>
      </c>
    </row>
    <row r="1048" spans="1:14" ht="10.050000000000001" customHeight="1">
      <c r="A1048" s="45" t="s">
        <v>80</v>
      </c>
      <c r="B1048" s="46">
        <v>2021</v>
      </c>
      <c r="C1048" s="45" t="s">
        <v>129</v>
      </c>
      <c r="D1048" s="47">
        <v>9</v>
      </c>
      <c r="E1048" s="48">
        <v>215535.1</v>
      </c>
      <c r="F1048" s="48">
        <v>22.8</v>
      </c>
      <c r="G1048" s="48">
        <v>215557.9</v>
      </c>
      <c r="H1048" s="48">
        <v>1665525.5</v>
      </c>
      <c r="I1048" s="48">
        <v>6050.4</v>
      </c>
      <c r="J1048" s="48">
        <v>1671575.9</v>
      </c>
      <c r="K1048" s="48">
        <v>369797.5</v>
      </c>
      <c r="L1048" s="48">
        <v>30510.9</v>
      </c>
      <c r="M1048" s="48">
        <v>161912.29999999999</v>
      </c>
      <c r="N1048" s="48">
        <v>6780.7</v>
      </c>
    </row>
    <row r="1049" spans="1:14" ht="10.050000000000001" customHeight="1">
      <c r="A1049" s="45" t="s">
        <v>83</v>
      </c>
      <c r="B1049" s="46">
        <v>2021</v>
      </c>
      <c r="C1049" s="45" t="s">
        <v>129</v>
      </c>
      <c r="D1049" s="47">
        <v>9</v>
      </c>
      <c r="E1049" s="48">
        <v>7815.5</v>
      </c>
      <c r="F1049" s="48">
        <v>53.5</v>
      </c>
      <c r="G1049" s="48">
        <v>7869</v>
      </c>
      <c r="H1049" s="48">
        <v>31147.8</v>
      </c>
      <c r="I1049" s="48">
        <v>703</v>
      </c>
      <c r="J1049" s="48">
        <v>31850.799999999999</v>
      </c>
      <c r="K1049" s="48">
        <v>3182.1</v>
      </c>
      <c r="L1049" s="48">
        <v>1338</v>
      </c>
      <c r="M1049" s="48">
        <v>2370.8000000000002</v>
      </c>
      <c r="N1049" s="48">
        <v>264.10000000000002</v>
      </c>
    </row>
    <row r="1050" spans="1:14" ht="10.050000000000001" customHeight="1">
      <c r="A1050" s="45" t="s">
        <v>82</v>
      </c>
      <c r="B1050" s="46">
        <v>2021</v>
      </c>
      <c r="C1050" s="45" t="s">
        <v>129</v>
      </c>
      <c r="D1050" s="47">
        <v>9</v>
      </c>
      <c r="E1050" s="48">
        <v>47086.9</v>
      </c>
      <c r="F1050" s="48">
        <v>3147.7</v>
      </c>
      <c r="G1050" s="48">
        <v>50234.6</v>
      </c>
      <c r="H1050" s="48">
        <v>64008.5</v>
      </c>
      <c r="I1050" s="48">
        <v>3311.1</v>
      </c>
      <c r="J1050" s="48">
        <v>67319.600000000006</v>
      </c>
      <c r="K1050" s="48">
        <v>6389.8</v>
      </c>
      <c r="L1050" s="48">
        <v>8931.6</v>
      </c>
      <c r="M1050" s="48">
        <v>2942.9</v>
      </c>
      <c r="N1050" s="48">
        <v>106.9</v>
      </c>
    </row>
    <row r="1051" spans="1:14" ht="10.050000000000001" customHeight="1">
      <c r="A1051" s="45" t="s">
        <v>81</v>
      </c>
      <c r="B1051" s="46">
        <v>2021</v>
      </c>
      <c r="C1051" s="45" t="s">
        <v>129</v>
      </c>
      <c r="D1051" s="47">
        <v>9</v>
      </c>
      <c r="E1051" s="48">
        <v>690643.4</v>
      </c>
      <c r="F1051" s="48">
        <v>3741.3</v>
      </c>
      <c r="G1051" s="48">
        <v>694384.700000001</v>
      </c>
      <c r="H1051" s="48">
        <v>683962.5</v>
      </c>
      <c r="I1051" s="48">
        <v>4848.1000000000004</v>
      </c>
      <c r="J1051" s="48">
        <v>688810.6</v>
      </c>
      <c r="K1051" s="48">
        <v>257507.6</v>
      </c>
      <c r="L1051" s="48">
        <v>305201.2</v>
      </c>
      <c r="M1051" s="48">
        <v>46576.3</v>
      </c>
      <c r="N1051" s="48">
        <v>3047.8</v>
      </c>
    </row>
    <row r="1052" spans="1:14" ht="10.050000000000001" customHeight="1">
      <c r="A1052" s="45" t="s">
        <v>80</v>
      </c>
      <c r="B1052" s="46">
        <v>2021</v>
      </c>
      <c r="C1052" s="45" t="s">
        <v>129</v>
      </c>
      <c r="D1052" s="47">
        <v>10</v>
      </c>
      <c r="E1052" s="48">
        <v>126561.60000000001</v>
      </c>
      <c r="F1052" s="48">
        <v>72.7</v>
      </c>
      <c r="G1052" s="48">
        <v>126634.3</v>
      </c>
      <c r="H1052" s="48">
        <v>1534796.4</v>
      </c>
      <c r="I1052" s="48">
        <v>4290.3999999999996</v>
      </c>
      <c r="J1052" s="48">
        <v>1539086.8</v>
      </c>
      <c r="K1052" s="48">
        <v>289013</v>
      </c>
      <c r="L1052" s="48">
        <v>11277.4</v>
      </c>
      <c r="M1052" s="48">
        <v>89055.7</v>
      </c>
      <c r="N1052" s="48">
        <v>2742.5</v>
      </c>
    </row>
    <row r="1053" spans="1:14" ht="10.050000000000001" customHeight="1">
      <c r="A1053" s="45" t="s">
        <v>83</v>
      </c>
      <c r="B1053" s="46">
        <v>2021</v>
      </c>
      <c r="C1053" s="45" t="s">
        <v>129</v>
      </c>
      <c r="D1053" s="47">
        <v>10</v>
      </c>
      <c r="E1053" s="48">
        <v>2109.4</v>
      </c>
      <c r="F1053" s="48">
        <v>195.3</v>
      </c>
      <c r="G1053" s="48">
        <v>2304.6999999999998</v>
      </c>
      <c r="H1053" s="48">
        <v>29153</v>
      </c>
      <c r="I1053" s="48">
        <v>854.9</v>
      </c>
      <c r="J1053" s="48">
        <v>30007.9</v>
      </c>
      <c r="K1053" s="48">
        <v>2497.3000000000002</v>
      </c>
      <c r="L1053" s="48">
        <v>186</v>
      </c>
      <c r="M1053" s="48">
        <v>781.3</v>
      </c>
      <c r="N1053" s="48">
        <v>89.5</v>
      </c>
    </row>
    <row r="1054" spans="1:14" ht="10.050000000000001" customHeight="1">
      <c r="A1054" s="45" t="s">
        <v>82</v>
      </c>
      <c r="B1054" s="46">
        <v>2021</v>
      </c>
      <c r="C1054" s="45" t="s">
        <v>129</v>
      </c>
      <c r="D1054" s="47">
        <v>10</v>
      </c>
      <c r="E1054" s="48">
        <v>205222.5</v>
      </c>
      <c r="F1054" s="48">
        <v>5439.5</v>
      </c>
      <c r="G1054" s="48">
        <v>210662</v>
      </c>
      <c r="H1054" s="48">
        <v>247337.4</v>
      </c>
      <c r="I1054" s="48">
        <v>5174.7</v>
      </c>
      <c r="J1054" s="48">
        <v>252512.1</v>
      </c>
      <c r="K1054" s="48">
        <v>29622.6</v>
      </c>
      <c r="L1054" s="48">
        <v>40772</v>
      </c>
      <c r="M1054" s="48">
        <v>16222.5</v>
      </c>
      <c r="N1054" s="48">
        <v>1350.3</v>
      </c>
    </row>
    <row r="1055" spans="1:14" ht="10.050000000000001" customHeight="1">
      <c r="A1055" s="45" t="s">
        <v>81</v>
      </c>
      <c r="B1055" s="46">
        <v>2021</v>
      </c>
      <c r="C1055" s="45" t="s">
        <v>129</v>
      </c>
      <c r="D1055" s="47">
        <v>10</v>
      </c>
      <c r="E1055" s="48">
        <v>693922.6</v>
      </c>
      <c r="F1055" s="48">
        <v>2809.9</v>
      </c>
      <c r="G1055" s="48">
        <v>696732.5</v>
      </c>
      <c r="H1055" s="48">
        <v>1231727.8</v>
      </c>
      <c r="I1055" s="48">
        <v>3054</v>
      </c>
      <c r="J1055" s="48">
        <v>1234781.8</v>
      </c>
      <c r="K1055" s="48">
        <v>239195.6</v>
      </c>
      <c r="L1055" s="48">
        <v>173378.3</v>
      </c>
      <c r="M1055" s="48">
        <v>186443.6</v>
      </c>
      <c r="N1055" s="48">
        <v>5272.4</v>
      </c>
    </row>
    <row r="1056" spans="1:14" ht="10.050000000000001" customHeight="1">
      <c r="A1056" s="45" t="s">
        <v>80</v>
      </c>
      <c r="B1056" s="46">
        <v>2021</v>
      </c>
      <c r="C1056" s="45" t="s">
        <v>129</v>
      </c>
      <c r="D1056" s="47">
        <v>11</v>
      </c>
      <c r="E1056" s="48">
        <v>130277.8</v>
      </c>
      <c r="F1056" s="48">
        <v>1171.3</v>
      </c>
      <c r="G1056" s="48">
        <v>131449.1</v>
      </c>
      <c r="H1056" s="48">
        <v>1374397.3</v>
      </c>
      <c r="I1056" s="48">
        <v>4258.8</v>
      </c>
      <c r="J1056" s="48">
        <v>1378656.1</v>
      </c>
      <c r="K1056" s="48">
        <v>218091.2</v>
      </c>
      <c r="L1056" s="48">
        <v>15383.2</v>
      </c>
      <c r="M1056" s="48">
        <v>82584.3</v>
      </c>
      <c r="N1056" s="48">
        <v>3934.1</v>
      </c>
    </row>
    <row r="1057" spans="1:14" ht="10.050000000000001" customHeight="1">
      <c r="A1057" s="45" t="s">
        <v>83</v>
      </c>
      <c r="B1057" s="46">
        <v>2021</v>
      </c>
      <c r="C1057" s="45" t="s">
        <v>129</v>
      </c>
      <c r="D1057" s="47">
        <v>11</v>
      </c>
      <c r="E1057" s="48">
        <v>2191.1</v>
      </c>
      <c r="F1057" s="48">
        <v>805.7</v>
      </c>
      <c r="G1057" s="48">
        <v>2996.8</v>
      </c>
      <c r="H1057" s="48">
        <v>28047.200000000001</v>
      </c>
      <c r="I1057" s="48">
        <v>1142.2</v>
      </c>
      <c r="J1057" s="48">
        <v>29189.4</v>
      </c>
      <c r="K1057" s="48">
        <v>1197.3</v>
      </c>
      <c r="L1057" s="48">
        <v>83.6</v>
      </c>
      <c r="M1057" s="48">
        <v>1377</v>
      </c>
      <c r="N1057" s="48">
        <v>6.8</v>
      </c>
    </row>
    <row r="1058" spans="1:14" ht="10.050000000000001" customHeight="1">
      <c r="A1058" s="45" t="s">
        <v>82</v>
      </c>
      <c r="B1058" s="46">
        <v>2021</v>
      </c>
      <c r="C1058" s="45" t="s">
        <v>129</v>
      </c>
      <c r="D1058" s="47">
        <v>11</v>
      </c>
      <c r="E1058" s="48">
        <v>35167.5</v>
      </c>
      <c r="F1058" s="48">
        <v>1070.0999999999999</v>
      </c>
      <c r="G1058" s="48">
        <v>36237.599999999999</v>
      </c>
      <c r="H1058" s="48">
        <v>245304.9</v>
      </c>
      <c r="I1058" s="48">
        <v>6085.1</v>
      </c>
      <c r="J1058" s="48">
        <v>251390</v>
      </c>
      <c r="K1058" s="48">
        <v>20787.900000000001</v>
      </c>
      <c r="L1058" s="48">
        <v>3915.3</v>
      </c>
      <c r="M1058" s="48">
        <v>11699.5</v>
      </c>
      <c r="N1058" s="48">
        <v>1002.9</v>
      </c>
    </row>
    <row r="1059" spans="1:14" ht="10.050000000000001" customHeight="1">
      <c r="A1059" s="45" t="s">
        <v>81</v>
      </c>
      <c r="B1059" s="46">
        <v>2021</v>
      </c>
      <c r="C1059" s="45" t="s">
        <v>129</v>
      </c>
      <c r="D1059" s="47">
        <v>11</v>
      </c>
      <c r="E1059" s="48">
        <v>125909.3</v>
      </c>
      <c r="F1059" s="48">
        <v>226.8</v>
      </c>
      <c r="G1059" s="48">
        <v>126136.1</v>
      </c>
      <c r="H1059" s="48">
        <v>1224910.8</v>
      </c>
      <c r="I1059" s="48">
        <v>2579.3000000000002</v>
      </c>
      <c r="J1059" s="48">
        <v>1227490.1000000001</v>
      </c>
      <c r="K1059" s="48">
        <v>150997.1</v>
      </c>
      <c r="L1059" s="48">
        <v>12717.1</v>
      </c>
      <c r="M1059" s="48">
        <v>91014.5</v>
      </c>
      <c r="N1059" s="48">
        <v>9877</v>
      </c>
    </row>
    <row r="1060" spans="1:14" ht="10.050000000000001" customHeight="1">
      <c r="A1060" s="45" t="s">
        <v>80</v>
      </c>
      <c r="B1060" s="46">
        <v>2021</v>
      </c>
      <c r="C1060" s="45" t="s">
        <v>129</v>
      </c>
      <c r="D1060" s="47">
        <v>12</v>
      </c>
      <c r="E1060" s="48">
        <v>112815</v>
      </c>
      <c r="F1060" s="48">
        <v>393</v>
      </c>
      <c r="G1060" s="48">
        <v>113208</v>
      </c>
      <c r="H1060" s="48">
        <v>1206361.8999999999</v>
      </c>
      <c r="I1060" s="48">
        <v>4343.8999999999996</v>
      </c>
      <c r="J1060" s="48">
        <v>1210705.8</v>
      </c>
      <c r="K1060" s="48">
        <v>178488.3</v>
      </c>
      <c r="L1060" s="48">
        <v>19378.900000000001</v>
      </c>
      <c r="M1060" s="48">
        <v>56202.9</v>
      </c>
      <c r="N1060" s="48">
        <v>2729.5</v>
      </c>
    </row>
    <row r="1061" spans="1:14" ht="10.050000000000001" customHeight="1">
      <c r="A1061" s="45" t="s">
        <v>83</v>
      </c>
      <c r="B1061" s="46">
        <v>2021</v>
      </c>
      <c r="C1061" s="45" t="s">
        <v>129</v>
      </c>
      <c r="D1061" s="47">
        <v>12</v>
      </c>
      <c r="E1061" s="48">
        <v>910.7</v>
      </c>
      <c r="F1061" s="48">
        <v>124.3</v>
      </c>
      <c r="G1061" s="48">
        <v>1035</v>
      </c>
      <c r="H1061" s="48">
        <v>25982.400000000001</v>
      </c>
      <c r="I1061" s="48">
        <v>1254.4000000000001</v>
      </c>
      <c r="J1061" s="48">
        <v>27236.799999999999</v>
      </c>
      <c r="K1061" s="48">
        <v>991.4</v>
      </c>
      <c r="L1061" s="48">
        <v>195.2</v>
      </c>
      <c r="M1061" s="48">
        <v>399.7</v>
      </c>
      <c r="N1061" s="48">
        <v>1.4</v>
      </c>
    </row>
    <row r="1062" spans="1:14" ht="10.050000000000001" customHeight="1">
      <c r="A1062" s="45" t="s">
        <v>82</v>
      </c>
      <c r="B1062" s="46">
        <v>2021</v>
      </c>
      <c r="C1062" s="45" t="s">
        <v>129</v>
      </c>
      <c r="D1062" s="47">
        <v>12</v>
      </c>
      <c r="E1062" s="48">
        <v>21018.5</v>
      </c>
      <c r="F1062" s="48">
        <v>270.2</v>
      </c>
      <c r="G1062" s="48">
        <v>21288.7</v>
      </c>
      <c r="H1062" s="48">
        <v>231015.5</v>
      </c>
      <c r="I1062" s="48">
        <v>6075.9</v>
      </c>
      <c r="J1062" s="48">
        <v>237091.4</v>
      </c>
      <c r="K1062" s="48">
        <v>15061.9</v>
      </c>
      <c r="L1062" s="48">
        <v>953.7</v>
      </c>
      <c r="M1062" s="48">
        <v>6042.4</v>
      </c>
      <c r="N1062" s="48">
        <v>683.3</v>
      </c>
    </row>
    <row r="1063" spans="1:14" ht="10.050000000000001" customHeight="1">
      <c r="A1063" s="45" t="s">
        <v>81</v>
      </c>
      <c r="B1063" s="46">
        <v>2021</v>
      </c>
      <c r="C1063" s="45" t="s">
        <v>129</v>
      </c>
      <c r="D1063" s="47">
        <v>12</v>
      </c>
      <c r="E1063" s="48">
        <v>52713.9</v>
      </c>
      <c r="F1063" s="48">
        <v>0</v>
      </c>
      <c r="G1063" s="48">
        <v>52713.9</v>
      </c>
      <c r="H1063" s="48">
        <v>1149915.1000000001</v>
      </c>
      <c r="I1063" s="48">
        <v>2313.1</v>
      </c>
      <c r="J1063" s="48">
        <v>1152228.2</v>
      </c>
      <c r="K1063" s="48">
        <v>113952.4</v>
      </c>
      <c r="L1063" s="48">
        <v>2109.4</v>
      </c>
      <c r="M1063" s="48">
        <v>36043.599999999999</v>
      </c>
      <c r="N1063" s="48">
        <v>3127.6</v>
      </c>
    </row>
    <row r="1064" spans="1:14" ht="10.050000000000001" customHeight="1">
      <c r="A1064" s="45" t="s">
        <v>80</v>
      </c>
      <c r="B1064" s="46">
        <v>2022</v>
      </c>
      <c r="C1064" s="45" t="s">
        <v>129</v>
      </c>
      <c r="D1064" s="47">
        <v>1</v>
      </c>
      <c r="E1064" s="48">
        <v>116955.8</v>
      </c>
      <c r="F1064" s="48">
        <v>0</v>
      </c>
      <c r="G1064" s="48">
        <v>116955.8</v>
      </c>
      <c r="H1064" s="48">
        <v>1029920.3</v>
      </c>
      <c r="I1064" s="48">
        <v>3942.4</v>
      </c>
      <c r="J1064" s="48">
        <v>1033862.7</v>
      </c>
      <c r="K1064" s="48">
        <v>141859.5</v>
      </c>
      <c r="L1064" s="48">
        <v>22379.200000000001</v>
      </c>
      <c r="M1064" s="48">
        <v>56091.7</v>
      </c>
      <c r="N1064" s="48">
        <v>2916.7</v>
      </c>
    </row>
    <row r="1065" spans="1:14" ht="10.050000000000001" customHeight="1">
      <c r="A1065" s="45" t="s">
        <v>83</v>
      </c>
      <c r="B1065" s="46">
        <v>2022</v>
      </c>
      <c r="C1065" s="45" t="s">
        <v>129</v>
      </c>
      <c r="D1065" s="47">
        <v>1</v>
      </c>
      <c r="E1065" s="48">
        <v>912.7</v>
      </c>
      <c r="F1065" s="48">
        <v>216.6</v>
      </c>
      <c r="G1065" s="48">
        <v>1129.3</v>
      </c>
      <c r="H1065" s="48">
        <v>22356.799999999999</v>
      </c>
      <c r="I1065" s="48">
        <v>1055.5</v>
      </c>
      <c r="J1065" s="48">
        <v>23412.3</v>
      </c>
      <c r="K1065" s="48">
        <v>857.4</v>
      </c>
      <c r="L1065" s="48">
        <v>138.69999999999999</v>
      </c>
      <c r="M1065" s="48">
        <v>271.7</v>
      </c>
      <c r="N1065" s="48">
        <v>0.8</v>
      </c>
    </row>
    <row r="1066" spans="1:14" ht="10.050000000000001" customHeight="1">
      <c r="A1066" s="45" t="s">
        <v>82</v>
      </c>
      <c r="B1066" s="46">
        <v>2022</v>
      </c>
      <c r="C1066" s="45" t="s">
        <v>129</v>
      </c>
      <c r="D1066" s="47">
        <v>1</v>
      </c>
      <c r="E1066" s="48">
        <v>9404.7000000000007</v>
      </c>
      <c r="F1066" s="48">
        <v>115.6</v>
      </c>
      <c r="G1066" s="48">
        <v>9520.2999999999993</v>
      </c>
      <c r="H1066" s="48">
        <v>201498.7</v>
      </c>
      <c r="I1066" s="48">
        <v>4241.8999999999996</v>
      </c>
      <c r="J1066" s="48">
        <v>205740.6</v>
      </c>
      <c r="K1066" s="48">
        <v>11359.1</v>
      </c>
      <c r="L1066" s="48">
        <v>911.4</v>
      </c>
      <c r="M1066" s="48">
        <v>3575.3</v>
      </c>
      <c r="N1066" s="48">
        <v>1039.4000000000001</v>
      </c>
    </row>
    <row r="1067" spans="1:14" ht="10.050000000000001" customHeight="1">
      <c r="A1067" s="45" t="s">
        <v>81</v>
      </c>
      <c r="B1067" s="46">
        <v>2022</v>
      </c>
      <c r="C1067" s="45" t="s">
        <v>129</v>
      </c>
      <c r="D1067" s="47">
        <v>1</v>
      </c>
      <c r="E1067" s="48">
        <v>51230.3</v>
      </c>
      <c r="F1067" s="48">
        <v>20</v>
      </c>
      <c r="G1067" s="48">
        <v>51250.3</v>
      </c>
      <c r="H1067" s="48">
        <v>998097.6</v>
      </c>
      <c r="I1067" s="48">
        <v>1876.8</v>
      </c>
      <c r="J1067" s="48">
        <v>999974.40000000002</v>
      </c>
      <c r="K1067" s="48">
        <v>78535.8</v>
      </c>
      <c r="L1067" s="48">
        <v>3374</v>
      </c>
      <c r="M1067" s="48">
        <v>35798.1</v>
      </c>
      <c r="N1067" s="48">
        <v>3065.9</v>
      </c>
    </row>
    <row r="1068" spans="1:14" ht="10.050000000000001" customHeight="1">
      <c r="A1068" s="45" t="s">
        <v>80</v>
      </c>
      <c r="B1068" s="46">
        <v>2022</v>
      </c>
      <c r="C1068" s="45" t="s">
        <v>129</v>
      </c>
      <c r="D1068" s="47">
        <v>2</v>
      </c>
      <c r="E1068" s="48">
        <v>90058.7</v>
      </c>
      <c r="F1068" s="48">
        <v>0</v>
      </c>
      <c r="G1068" s="48">
        <v>90058.7</v>
      </c>
      <c r="H1068" s="48">
        <v>798390.4</v>
      </c>
      <c r="I1068" s="48">
        <v>4304.7</v>
      </c>
      <c r="J1068" s="48">
        <v>802695.1</v>
      </c>
      <c r="K1068" s="48">
        <v>110206.7</v>
      </c>
      <c r="L1068" s="48">
        <v>15732.5</v>
      </c>
      <c r="M1068" s="48">
        <v>45493.3</v>
      </c>
      <c r="N1068" s="48">
        <v>2621.9</v>
      </c>
    </row>
    <row r="1069" spans="1:14" ht="10.050000000000001" customHeight="1">
      <c r="A1069" s="45" t="s">
        <v>83</v>
      </c>
      <c r="B1069" s="46">
        <v>2022</v>
      </c>
      <c r="C1069" s="45" t="s">
        <v>129</v>
      </c>
      <c r="D1069" s="47">
        <v>2</v>
      </c>
      <c r="E1069" s="48">
        <v>893.7</v>
      </c>
      <c r="F1069" s="48">
        <v>101.2</v>
      </c>
      <c r="G1069" s="48">
        <v>994.9</v>
      </c>
      <c r="H1069" s="48">
        <v>20453.5</v>
      </c>
      <c r="I1069" s="48">
        <v>1023.1</v>
      </c>
      <c r="J1069" s="48">
        <v>21476.6</v>
      </c>
      <c r="K1069" s="48">
        <v>569.5</v>
      </c>
      <c r="L1069" s="48">
        <v>9.6</v>
      </c>
      <c r="M1069" s="48">
        <v>267.7</v>
      </c>
      <c r="N1069" s="48">
        <v>29.9</v>
      </c>
    </row>
    <row r="1070" spans="1:14" ht="10.050000000000001" customHeight="1">
      <c r="A1070" s="45" t="s">
        <v>82</v>
      </c>
      <c r="B1070" s="46">
        <v>2022</v>
      </c>
      <c r="C1070" s="45" t="s">
        <v>129</v>
      </c>
      <c r="D1070" s="47">
        <v>2</v>
      </c>
      <c r="E1070" s="48">
        <v>7832</v>
      </c>
      <c r="F1070" s="48">
        <v>228.6</v>
      </c>
      <c r="G1070" s="48">
        <v>8060.6</v>
      </c>
      <c r="H1070" s="48">
        <v>182706.1</v>
      </c>
      <c r="I1070" s="48">
        <v>4084.7</v>
      </c>
      <c r="J1070" s="48">
        <v>186790.8</v>
      </c>
      <c r="K1070" s="48">
        <v>8808.4</v>
      </c>
      <c r="L1070" s="48">
        <v>604.4</v>
      </c>
      <c r="M1070" s="48">
        <v>2050.1999999999998</v>
      </c>
      <c r="N1070" s="48">
        <v>1178.8</v>
      </c>
    </row>
    <row r="1071" spans="1:14" ht="10.050000000000001" customHeight="1">
      <c r="A1071" s="45" t="s">
        <v>81</v>
      </c>
      <c r="B1071" s="46">
        <v>2022</v>
      </c>
      <c r="C1071" s="45" t="s">
        <v>129</v>
      </c>
      <c r="D1071" s="47">
        <v>2</v>
      </c>
      <c r="E1071" s="48">
        <v>31833.1</v>
      </c>
      <c r="F1071" s="48">
        <v>2524.9</v>
      </c>
      <c r="G1071" s="48">
        <v>34358</v>
      </c>
      <c r="H1071" s="48">
        <v>818862.6</v>
      </c>
      <c r="I1071" s="48">
        <v>1454.7</v>
      </c>
      <c r="J1071" s="48">
        <v>820317.3</v>
      </c>
      <c r="K1071" s="48">
        <v>58707.199999999997</v>
      </c>
      <c r="L1071" s="48">
        <v>2215.8000000000002</v>
      </c>
      <c r="M1071" s="48">
        <v>19641</v>
      </c>
      <c r="N1071" s="48">
        <v>2265.1</v>
      </c>
    </row>
    <row r="1072" spans="1:14" ht="10.050000000000001" customHeight="1">
      <c r="A1072" s="45" t="s">
        <v>80</v>
      </c>
      <c r="B1072" s="46">
        <v>2022</v>
      </c>
      <c r="C1072" s="45" t="s">
        <v>129</v>
      </c>
      <c r="D1072" s="47">
        <v>3</v>
      </c>
      <c r="E1072" s="48">
        <v>85042.5</v>
      </c>
      <c r="F1072" s="48">
        <v>0</v>
      </c>
      <c r="G1072" s="48">
        <v>85042.5</v>
      </c>
      <c r="H1072" s="48">
        <v>600911.9</v>
      </c>
      <c r="I1072" s="48">
        <v>3938.2</v>
      </c>
      <c r="J1072" s="48">
        <v>604850.1</v>
      </c>
      <c r="K1072" s="48">
        <v>81136.7</v>
      </c>
      <c r="L1072" s="48">
        <v>13095.4</v>
      </c>
      <c r="M1072" s="48">
        <v>40795.599999999999</v>
      </c>
      <c r="N1072" s="48">
        <v>2182.6999999999998</v>
      </c>
    </row>
    <row r="1073" spans="1:14" ht="10.050000000000001" customHeight="1">
      <c r="A1073" s="45" t="s">
        <v>83</v>
      </c>
      <c r="B1073" s="46">
        <v>2022</v>
      </c>
      <c r="C1073" s="45" t="s">
        <v>129</v>
      </c>
      <c r="D1073" s="47">
        <v>3</v>
      </c>
      <c r="E1073" s="48">
        <v>1377.6</v>
      </c>
      <c r="F1073" s="48">
        <v>206.6</v>
      </c>
      <c r="G1073" s="48">
        <v>1584.2</v>
      </c>
      <c r="H1073" s="48">
        <v>17693.7</v>
      </c>
      <c r="I1073" s="48">
        <v>641.29999999999995</v>
      </c>
      <c r="J1073" s="48">
        <v>18335</v>
      </c>
      <c r="K1073" s="48">
        <v>320</v>
      </c>
      <c r="L1073" s="48">
        <v>10.3</v>
      </c>
      <c r="M1073" s="48">
        <v>254.8</v>
      </c>
      <c r="N1073" s="48">
        <v>5.0999999999999996</v>
      </c>
    </row>
    <row r="1074" spans="1:14" ht="10.050000000000001" customHeight="1">
      <c r="A1074" s="45" t="s">
        <v>82</v>
      </c>
      <c r="B1074" s="46">
        <v>2022</v>
      </c>
      <c r="C1074" s="45" t="s">
        <v>129</v>
      </c>
      <c r="D1074" s="47">
        <v>3</v>
      </c>
      <c r="E1074" s="48">
        <v>7073.4</v>
      </c>
      <c r="F1074" s="48">
        <v>195.4</v>
      </c>
      <c r="G1074" s="48">
        <v>7268.8</v>
      </c>
      <c r="H1074" s="48">
        <v>153536.6</v>
      </c>
      <c r="I1074" s="48">
        <v>2074.6999999999998</v>
      </c>
      <c r="J1074" s="48">
        <v>155611.29999999999</v>
      </c>
      <c r="K1074" s="48">
        <v>5759.7</v>
      </c>
      <c r="L1074" s="48">
        <v>91.6</v>
      </c>
      <c r="M1074" s="48">
        <v>1891.6</v>
      </c>
      <c r="N1074" s="48">
        <v>1225.4000000000001</v>
      </c>
    </row>
    <row r="1075" spans="1:14" ht="10.050000000000001" customHeight="1">
      <c r="A1075" s="45" t="s">
        <v>81</v>
      </c>
      <c r="B1075" s="46">
        <v>2022</v>
      </c>
      <c r="C1075" s="45" t="s">
        <v>129</v>
      </c>
      <c r="D1075" s="47">
        <v>3</v>
      </c>
      <c r="E1075" s="48">
        <v>30054.400000000001</v>
      </c>
      <c r="F1075" s="48">
        <v>1048.8</v>
      </c>
      <c r="G1075" s="48">
        <v>31103.200000000001</v>
      </c>
      <c r="H1075" s="48">
        <v>651146.19999999995</v>
      </c>
      <c r="I1075" s="48">
        <v>1213.4000000000001</v>
      </c>
      <c r="J1075" s="48">
        <v>652359.6</v>
      </c>
      <c r="K1075" s="48">
        <v>38930.5</v>
      </c>
      <c r="L1075" s="48">
        <v>1373.8</v>
      </c>
      <c r="M1075" s="48">
        <v>17935.099999999999</v>
      </c>
      <c r="N1075" s="48">
        <v>3261.5</v>
      </c>
    </row>
    <row r="1076" spans="1:14" ht="10.050000000000001" customHeight="1">
      <c r="A1076" s="45" t="s">
        <v>80</v>
      </c>
      <c r="B1076" s="46">
        <v>2022</v>
      </c>
      <c r="C1076" s="45" t="s">
        <v>129</v>
      </c>
      <c r="D1076" s="47">
        <v>4</v>
      </c>
      <c r="E1076" s="48">
        <v>74597.899999999994</v>
      </c>
      <c r="F1076" s="48">
        <v>0</v>
      </c>
      <c r="G1076" s="48">
        <v>74597.899999999994</v>
      </c>
      <c r="H1076" s="48">
        <v>444535.9</v>
      </c>
      <c r="I1076" s="48">
        <v>3917.9</v>
      </c>
      <c r="J1076" s="48">
        <v>448453.8</v>
      </c>
      <c r="K1076" s="48">
        <v>41739.300000000003</v>
      </c>
      <c r="L1076" s="48">
        <v>8006.9</v>
      </c>
      <c r="M1076" s="48">
        <v>44480.2</v>
      </c>
      <c r="N1076" s="48">
        <v>3691</v>
      </c>
    </row>
    <row r="1077" spans="1:14" ht="10.050000000000001" customHeight="1">
      <c r="A1077" s="45" t="s">
        <v>83</v>
      </c>
      <c r="B1077" s="46">
        <v>2022</v>
      </c>
      <c r="C1077" s="45" t="s">
        <v>129</v>
      </c>
      <c r="D1077" s="47">
        <v>4</v>
      </c>
      <c r="E1077" s="48">
        <v>795.1</v>
      </c>
      <c r="F1077" s="48">
        <v>80.3</v>
      </c>
      <c r="G1077" s="48">
        <v>875.4</v>
      </c>
      <c r="H1077" s="48">
        <v>15081.3</v>
      </c>
      <c r="I1077" s="48">
        <v>712</v>
      </c>
      <c r="J1077" s="48">
        <v>15793.3</v>
      </c>
      <c r="K1077" s="48">
        <v>219</v>
      </c>
      <c r="L1077" s="48">
        <v>19.100000000000001</v>
      </c>
      <c r="M1077" s="48">
        <v>119.4</v>
      </c>
      <c r="N1077" s="48">
        <v>0.7</v>
      </c>
    </row>
    <row r="1078" spans="1:14" ht="10.050000000000001" customHeight="1">
      <c r="A1078" s="45" t="s">
        <v>82</v>
      </c>
      <c r="B1078" s="46">
        <v>2022</v>
      </c>
      <c r="C1078" s="45" t="s">
        <v>129</v>
      </c>
      <c r="D1078" s="47">
        <v>4</v>
      </c>
      <c r="E1078" s="48">
        <v>6084.1</v>
      </c>
      <c r="F1078" s="48">
        <v>0.9</v>
      </c>
      <c r="G1078" s="48">
        <v>6085</v>
      </c>
      <c r="H1078" s="48">
        <v>122166.9</v>
      </c>
      <c r="I1078" s="48">
        <v>840.9</v>
      </c>
      <c r="J1078" s="48">
        <v>123007.8</v>
      </c>
      <c r="K1078" s="48">
        <v>3591.8</v>
      </c>
      <c r="L1078" s="48">
        <v>262.39999999999998</v>
      </c>
      <c r="M1078" s="48">
        <v>1963</v>
      </c>
      <c r="N1078" s="48">
        <v>460.1</v>
      </c>
    </row>
    <row r="1079" spans="1:14" ht="10.050000000000001" customHeight="1">
      <c r="A1079" s="45" t="s">
        <v>81</v>
      </c>
      <c r="B1079" s="46">
        <v>2022</v>
      </c>
      <c r="C1079" s="45" t="s">
        <v>129</v>
      </c>
      <c r="D1079" s="47">
        <v>4</v>
      </c>
      <c r="E1079" s="48">
        <v>22429.200000000001</v>
      </c>
      <c r="F1079" s="48">
        <v>0</v>
      </c>
      <c r="G1079" s="48">
        <v>22429.200000000001</v>
      </c>
      <c r="H1079" s="48">
        <v>475560.2</v>
      </c>
      <c r="I1079" s="48">
        <v>940.9</v>
      </c>
      <c r="J1079" s="48">
        <v>476501.1</v>
      </c>
      <c r="K1079" s="48">
        <v>24953.200000000001</v>
      </c>
      <c r="L1079" s="48">
        <v>500.5</v>
      </c>
      <c r="M1079" s="48">
        <v>12172.5</v>
      </c>
      <c r="N1079" s="48">
        <v>2284.5</v>
      </c>
    </row>
    <row r="1080" spans="1:14" ht="10.050000000000001" customHeight="1">
      <c r="A1080" s="45" t="s">
        <v>80</v>
      </c>
      <c r="B1080" s="46">
        <v>2022</v>
      </c>
      <c r="C1080" s="45" t="s">
        <v>129</v>
      </c>
      <c r="D1080" s="47">
        <v>5</v>
      </c>
      <c r="E1080" s="48">
        <v>46463.5</v>
      </c>
      <c r="F1080" s="48">
        <v>0</v>
      </c>
      <c r="G1080" s="48">
        <v>46463.5</v>
      </c>
      <c r="H1080" s="48">
        <v>247149.2</v>
      </c>
      <c r="I1080" s="48">
        <v>3593.6</v>
      </c>
      <c r="J1080" s="48">
        <v>250742.8</v>
      </c>
      <c r="K1080" s="48">
        <v>18814.8</v>
      </c>
      <c r="L1080" s="48">
        <v>7382.5</v>
      </c>
      <c r="M1080" s="48">
        <v>29307.8</v>
      </c>
      <c r="N1080" s="48">
        <v>643.29999999999995</v>
      </c>
    </row>
    <row r="1081" spans="1:14" ht="10.050000000000001" customHeight="1">
      <c r="A1081" s="45" t="s">
        <v>83</v>
      </c>
      <c r="B1081" s="46">
        <v>2022</v>
      </c>
      <c r="C1081" s="45" t="s">
        <v>129</v>
      </c>
      <c r="D1081" s="47">
        <v>5</v>
      </c>
      <c r="E1081" s="48">
        <v>493.2</v>
      </c>
      <c r="F1081" s="48">
        <v>32</v>
      </c>
      <c r="G1081" s="48">
        <v>525.20000000000005</v>
      </c>
      <c r="H1081" s="48">
        <v>10886.9</v>
      </c>
      <c r="I1081" s="48">
        <v>663</v>
      </c>
      <c r="J1081" s="48">
        <v>11549.9</v>
      </c>
      <c r="K1081" s="48">
        <v>182.2</v>
      </c>
      <c r="L1081" s="48">
        <v>24.6</v>
      </c>
      <c r="M1081" s="48">
        <v>54.7</v>
      </c>
      <c r="N1081" s="48">
        <v>6.5</v>
      </c>
    </row>
    <row r="1082" spans="1:14" ht="10.050000000000001" customHeight="1">
      <c r="A1082" s="45" t="s">
        <v>82</v>
      </c>
      <c r="B1082" s="46">
        <v>2022</v>
      </c>
      <c r="C1082" s="45" t="s">
        <v>129</v>
      </c>
      <c r="D1082" s="47">
        <v>5</v>
      </c>
      <c r="E1082" s="48">
        <v>2434.6</v>
      </c>
      <c r="F1082" s="48">
        <v>0</v>
      </c>
      <c r="G1082" s="48">
        <v>2434.6</v>
      </c>
      <c r="H1082" s="48">
        <v>98355.6</v>
      </c>
      <c r="I1082" s="48">
        <v>486.9</v>
      </c>
      <c r="J1082" s="48">
        <v>98842.5</v>
      </c>
      <c r="K1082" s="48">
        <v>2616.9</v>
      </c>
      <c r="L1082" s="48">
        <v>140.5</v>
      </c>
      <c r="M1082" s="48">
        <v>907.9</v>
      </c>
      <c r="N1082" s="48">
        <v>292.5</v>
      </c>
    </row>
    <row r="1083" spans="1:14" ht="10.050000000000001" customHeight="1">
      <c r="A1083" s="45" t="s">
        <v>81</v>
      </c>
      <c r="B1083" s="46">
        <v>2022</v>
      </c>
      <c r="C1083" s="45" t="s">
        <v>129</v>
      </c>
      <c r="D1083" s="47">
        <v>5</v>
      </c>
      <c r="E1083" s="48">
        <v>21354.1</v>
      </c>
      <c r="F1083" s="48">
        <v>0</v>
      </c>
      <c r="G1083" s="48">
        <v>21354.1</v>
      </c>
      <c r="H1083" s="48">
        <v>304065.8</v>
      </c>
      <c r="I1083" s="48">
        <v>862</v>
      </c>
      <c r="J1083" s="48">
        <v>304927.8</v>
      </c>
      <c r="K1083" s="48">
        <v>10748.6</v>
      </c>
      <c r="L1083" s="48">
        <v>500.2</v>
      </c>
      <c r="M1083" s="48">
        <v>13690.1</v>
      </c>
      <c r="N1083" s="48">
        <v>1033.5</v>
      </c>
    </row>
    <row r="1084" spans="1:14" ht="10.050000000000001" customHeight="1">
      <c r="A1084" s="45" t="s">
        <v>80</v>
      </c>
      <c r="B1084" s="46">
        <v>2022</v>
      </c>
      <c r="C1084" s="45" t="s">
        <v>129</v>
      </c>
      <c r="D1084" s="47">
        <v>6</v>
      </c>
      <c r="E1084" s="48">
        <v>18393.400000000001</v>
      </c>
      <c r="F1084" s="48">
        <v>0</v>
      </c>
      <c r="G1084" s="48">
        <v>18393.400000000001</v>
      </c>
      <c r="H1084" s="48">
        <v>85228.600000000093</v>
      </c>
      <c r="I1084" s="48">
        <v>3795.9</v>
      </c>
      <c r="J1084" s="48">
        <v>89024.500000000102</v>
      </c>
      <c r="K1084" s="48">
        <v>9358.5</v>
      </c>
      <c r="L1084" s="48">
        <v>5441</v>
      </c>
      <c r="M1084" s="48">
        <v>7157.6</v>
      </c>
      <c r="N1084" s="48">
        <v>7603.9</v>
      </c>
    </row>
    <row r="1085" spans="1:14" ht="10.050000000000001" customHeight="1">
      <c r="A1085" s="45" t="s">
        <v>83</v>
      </c>
      <c r="B1085" s="46">
        <v>2022</v>
      </c>
      <c r="C1085" s="45" t="s">
        <v>129</v>
      </c>
      <c r="D1085" s="47">
        <v>6</v>
      </c>
      <c r="E1085" s="48">
        <v>354.3</v>
      </c>
      <c r="F1085" s="48">
        <v>0</v>
      </c>
      <c r="G1085" s="48">
        <v>354.3</v>
      </c>
      <c r="H1085" s="48">
        <v>7584.7</v>
      </c>
      <c r="I1085" s="48">
        <v>599.29999999999995</v>
      </c>
      <c r="J1085" s="48">
        <v>8184</v>
      </c>
      <c r="K1085" s="48">
        <v>127.8</v>
      </c>
      <c r="L1085" s="48">
        <v>151.1</v>
      </c>
      <c r="M1085" s="48">
        <v>137.9</v>
      </c>
      <c r="N1085" s="48">
        <v>67.5</v>
      </c>
    </row>
    <row r="1086" spans="1:14" ht="10.050000000000001" customHeight="1">
      <c r="A1086" s="45" t="s">
        <v>82</v>
      </c>
      <c r="B1086" s="46">
        <v>2022</v>
      </c>
      <c r="C1086" s="45" t="s">
        <v>129</v>
      </c>
      <c r="D1086" s="47">
        <v>6</v>
      </c>
      <c r="E1086" s="48">
        <v>18427.099999999999</v>
      </c>
      <c r="F1086" s="48">
        <v>3389.7</v>
      </c>
      <c r="G1086" s="48">
        <v>21816.799999999999</v>
      </c>
      <c r="H1086" s="48">
        <v>82500.3</v>
      </c>
      <c r="I1086" s="48">
        <v>4196.3</v>
      </c>
      <c r="J1086" s="48">
        <v>86696.6</v>
      </c>
      <c r="K1086" s="48">
        <v>1704.6</v>
      </c>
      <c r="L1086" s="48">
        <v>284.3</v>
      </c>
      <c r="M1086" s="48">
        <v>506.7</v>
      </c>
      <c r="N1086" s="48">
        <v>613.1</v>
      </c>
    </row>
    <row r="1087" spans="1:14" ht="10.050000000000001" customHeight="1">
      <c r="A1087" s="45" t="s">
        <v>81</v>
      </c>
      <c r="B1087" s="46">
        <v>2022</v>
      </c>
      <c r="C1087" s="45" t="s">
        <v>129</v>
      </c>
      <c r="D1087" s="47">
        <v>6</v>
      </c>
      <c r="E1087" s="48">
        <v>9496.9</v>
      </c>
      <c r="F1087" s="48">
        <v>1871.7</v>
      </c>
      <c r="G1087" s="48">
        <v>11368.6</v>
      </c>
      <c r="H1087" s="48">
        <v>122846.6</v>
      </c>
      <c r="I1087" s="48">
        <v>1024.8</v>
      </c>
      <c r="J1087" s="48">
        <v>123871.4</v>
      </c>
      <c r="K1087" s="48">
        <v>5368.1</v>
      </c>
      <c r="L1087" s="48">
        <v>1510.7</v>
      </c>
      <c r="M1087" s="48">
        <v>4065.5</v>
      </c>
      <c r="N1087" s="48">
        <v>2893.6</v>
      </c>
    </row>
    <row r="1088" spans="1:14" ht="10.050000000000001" customHeight="1">
      <c r="A1088" s="45" t="s">
        <v>80</v>
      </c>
      <c r="B1088" s="46">
        <v>2022</v>
      </c>
      <c r="C1088" s="45" t="s">
        <v>130</v>
      </c>
      <c r="D1088" s="47">
        <v>7</v>
      </c>
      <c r="E1088" s="48">
        <v>2198494.2000000002</v>
      </c>
      <c r="F1088" s="48">
        <v>9452.5</v>
      </c>
      <c r="G1088" s="48">
        <v>2207946.7000000002</v>
      </c>
      <c r="H1088" s="48">
        <v>2034474.4</v>
      </c>
      <c r="I1088" s="48">
        <v>7503</v>
      </c>
      <c r="J1088" s="48">
        <v>2041977.4</v>
      </c>
      <c r="K1088" s="48">
        <v>1252550.6000000001</v>
      </c>
      <c r="L1088" s="48">
        <v>1660421.9</v>
      </c>
      <c r="M1088" s="48">
        <v>405650.2</v>
      </c>
      <c r="N1088" s="48">
        <v>10201.4</v>
      </c>
    </row>
    <row r="1089" spans="1:14" ht="10.050000000000001" customHeight="1">
      <c r="A1089" s="45" t="s">
        <v>83</v>
      </c>
      <c r="B1089" s="46">
        <v>2022</v>
      </c>
      <c r="C1089" s="45" t="s">
        <v>130</v>
      </c>
      <c r="D1089" s="47">
        <v>7</v>
      </c>
      <c r="E1089" s="48">
        <v>16901</v>
      </c>
      <c r="F1089" s="48">
        <v>38.799999999999997</v>
      </c>
      <c r="G1089" s="48">
        <v>16939.8</v>
      </c>
      <c r="H1089" s="48">
        <v>22346.2</v>
      </c>
      <c r="I1089" s="48">
        <v>599.29999999999995</v>
      </c>
      <c r="J1089" s="48">
        <v>22945.5</v>
      </c>
      <c r="K1089" s="48">
        <v>5488.6</v>
      </c>
      <c r="L1089" s="48">
        <v>7271.2</v>
      </c>
      <c r="M1089" s="48">
        <v>1866</v>
      </c>
      <c r="N1089" s="48">
        <v>44.5</v>
      </c>
    </row>
    <row r="1090" spans="1:14" ht="10.050000000000001" customHeight="1">
      <c r="A1090" s="45" t="s">
        <v>82</v>
      </c>
      <c r="B1090" s="46">
        <v>2022</v>
      </c>
      <c r="C1090" s="45" t="s">
        <v>130</v>
      </c>
      <c r="D1090" s="47">
        <v>7</v>
      </c>
      <c r="E1090" s="48">
        <v>2282.1</v>
      </c>
      <c r="F1090" s="48">
        <v>0</v>
      </c>
      <c r="G1090" s="48">
        <v>2282.1</v>
      </c>
      <c r="H1090" s="48">
        <v>54918.3</v>
      </c>
      <c r="I1090" s="48">
        <v>4171.1000000000004</v>
      </c>
      <c r="J1090" s="48">
        <v>59089.4</v>
      </c>
      <c r="K1090" s="48">
        <v>1918.4</v>
      </c>
      <c r="L1090" s="48">
        <v>527.70000000000005</v>
      </c>
      <c r="M1090" s="48">
        <v>100.8</v>
      </c>
      <c r="N1090" s="48">
        <v>204.9</v>
      </c>
    </row>
    <row r="1091" spans="1:14" ht="10.050000000000001" customHeight="1">
      <c r="A1091" s="45" t="s">
        <v>81</v>
      </c>
      <c r="B1091" s="46">
        <v>2022</v>
      </c>
      <c r="C1091" s="45" t="s">
        <v>130</v>
      </c>
      <c r="D1091" s="47">
        <v>7</v>
      </c>
      <c r="E1091" s="48">
        <v>1198</v>
      </c>
      <c r="F1091" s="48">
        <v>0</v>
      </c>
      <c r="G1091" s="48">
        <v>1198</v>
      </c>
      <c r="H1091" s="48">
        <v>72414.5</v>
      </c>
      <c r="I1091" s="48">
        <v>1024.8</v>
      </c>
      <c r="J1091" s="48">
        <v>73439.3</v>
      </c>
      <c r="K1091" s="48">
        <v>5204.8999999999996</v>
      </c>
      <c r="L1091" s="48">
        <v>235.2</v>
      </c>
      <c r="M1091" s="48">
        <v>311.2</v>
      </c>
      <c r="N1091" s="48">
        <v>80.099999999999994</v>
      </c>
    </row>
    <row r="1092" spans="1:14" ht="10.050000000000001" customHeight="1">
      <c r="A1092" s="45" t="s">
        <v>80</v>
      </c>
      <c r="B1092" s="46">
        <v>2022</v>
      </c>
      <c r="C1092" s="45" t="s">
        <v>130</v>
      </c>
      <c r="D1092" s="47">
        <v>8</v>
      </c>
      <c r="E1092" s="48">
        <v>435596.3</v>
      </c>
      <c r="F1092" s="48">
        <v>766.7</v>
      </c>
      <c r="G1092" s="48">
        <v>436363</v>
      </c>
      <c r="H1092" s="48">
        <v>2069620.3</v>
      </c>
      <c r="I1092" s="48">
        <v>7580.5</v>
      </c>
      <c r="J1092" s="48">
        <v>2077200.8</v>
      </c>
      <c r="K1092" s="48">
        <v>971010.7</v>
      </c>
      <c r="L1092" s="48">
        <v>71745.899999999994</v>
      </c>
      <c r="M1092" s="48">
        <v>333241.59999999998</v>
      </c>
      <c r="N1092" s="48">
        <v>13649.3</v>
      </c>
    </row>
    <row r="1093" spans="1:14" ht="10.050000000000001" customHeight="1">
      <c r="A1093" s="45" t="s">
        <v>83</v>
      </c>
      <c r="B1093" s="46">
        <v>2022</v>
      </c>
      <c r="C1093" s="45" t="s">
        <v>130</v>
      </c>
      <c r="D1093" s="47">
        <v>8</v>
      </c>
      <c r="E1093" s="48">
        <v>8988.1</v>
      </c>
      <c r="F1093" s="48">
        <v>100.8</v>
      </c>
      <c r="G1093" s="48">
        <v>9088.9000000000106</v>
      </c>
      <c r="H1093" s="48">
        <v>28360.7</v>
      </c>
      <c r="I1093" s="48">
        <v>700.1</v>
      </c>
      <c r="J1093" s="48">
        <v>29060.799999999999</v>
      </c>
      <c r="K1093" s="48">
        <v>1784.1</v>
      </c>
      <c r="L1093" s="48">
        <v>1058.5999999999999</v>
      </c>
      <c r="M1093" s="48">
        <v>4749.5</v>
      </c>
      <c r="N1093" s="48">
        <v>13.5</v>
      </c>
    </row>
    <row r="1094" spans="1:14" ht="10.050000000000001" customHeight="1">
      <c r="A1094" s="45" t="s">
        <v>82</v>
      </c>
      <c r="B1094" s="46">
        <v>2022</v>
      </c>
      <c r="C1094" s="45" t="s">
        <v>130</v>
      </c>
      <c r="D1094" s="47">
        <v>8</v>
      </c>
      <c r="E1094" s="48">
        <v>11784.6</v>
      </c>
      <c r="F1094" s="48">
        <v>1270.8</v>
      </c>
      <c r="G1094" s="48">
        <v>13055.4</v>
      </c>
      <c r="H1094" s="48">
        <v>74054.5</v>
      </c>
      <c r="I1094" s="48">
        <v>5421.4</v>
      </c>
      <c r="J1094" s="48">
        <v>79475.899999999994</v>
      </c>
      <c r="K1094" s="48">
        <v>5928.5</v>
      </c>
      <c r="L1094" s="48">
        <v>4183.3999999999996</v>
      </c>
      <c r="M1094" s="48">
        <v>86.1</v>
      </c>
      <c r="N1094" s="48">
        <v>91.6</v>
      </c>
    </row>
    <row r="1095" spans="1:14" ht="10.050000000000001" customHeight="1">
      <c r="A1095" s="45" t="s">
        <v>81</v>
      </c>
      <c r="B1095" s="46">
        <v>2022</v>
      </c>
      <c r="C1095" s="45" t="s">
        <v>130</v>
      </c>
      <c r="D1095" s="47">
        <v>8</v>
      </c>
      <c r="E1095" s="48">
        <v>253650.6</v>
      </c>
      <c r="F1095" s="48">
        <v>600.1</v>
      </c>
      <c r="G1095" s="48">
        <v>254250.7</v>
      </c>
      <c r="H1095" s="48">
        <v>292150.59999999998</v>
      </c>
      <c r="I1095" s="48">
        <v>1538.2</v>
      </c>
      <c r="J1095" s="48">
        <v>293688.8</v>
      </c>
      <c r="K1095" s="48">
        <v>184746.6</v>
      </c>
      <c r="L1095" s="48">
        <v>187240.2</v>
      </c>
      <c r="M1095" s="48">
        <v>5366.9</v>
      </c>
      <c r="N1095" s="48">
        <v>2323.6</v>
      </c>
    </row>
    <row r="1096" spans="1:14" ht="10.050000000000001" customHeight="1">
      <c r="A1096" s="45" t="s">
        <v>80</v>
      </c>
      <c r="B1096" s="46">
        <v>2022</v>
      </c>
      <c r="C1096" s="45" t="s">
        <v>130</v>
      </c>
      <c r="D1096" s="47">
        <v>9</v>
      </c>
      <c r="E1096" s="48">
        <v>206653.5</v>
      </c>
      <c r="F1096" s="48">
        <v>1578.1</v>
      </c>
      <c r="G1096" s="48">
        <v>208231.6</v>
      </c>
      <c r="H1096" s="48">
        <v>1870098.9</v>
      </c>
      <c r="I1096" s="48">
        <v>5002.6000000000004</v>
      </c>
      <c r="J1096" s="48">
        <v>1875101.5</v>
      </c>
      <c r="K1096" s="48">
        <v>899373.9</v>
      </c>
      <c r="L1096" s="48">
        <v>94538</v>
      </c>
      <c r="M1096" s="48">
        <v>152082.20000000001</v>
      </c>
      <c r="N1096" s="48">
        <v>14022.7</v>
      </c>
    </row>
    <row r="1097" spans="1:14" ht="10.050000000000001" customHeight="1">
      <c r="A1097" s="45" t="s">
        <v>83</v>
      </c>
      <c r="B1097" s="46">
        <v>2022</v>
      </c>
      <c r="C1097" s="45" t="s">
        <v>130</v>
      </c>
      <c r="D1097" s="47">
        <v>9</v>
      </c>
      <c r="E1097" s="48">
        <v>2136.5</v>
      </c>
      <c r="F1097" s="48">
        <v>466.6</v>
      </c>
      <c r="G1097" s="48">
        <v>2603.1</v>
      </c>
      <c r="H1097" s="48">
        <v>25988.6</v>
      </c>
      <c r="I1097" s="48">
        <v>777.5</v>
      </c>
      <c r="J1097" s="48">
        <v>26766.1</v>
      </c>
      <c r="K1097" s="48">
        <v>1391.2</v>
      </c>
      <c r="L1097" s="48">
        <v>513.1</v>
      </c>
      <c r="M1097" s="48">
        <v>887.2</v>
      </c>
      <c r="N1097" s="48">
        <v>19</v>
      </c>
    </row>
    <row r="1098" spans="1:14" ht="10.050000000000001" customHeight="1">
      <c r="A1098" s="45" t="s">
        <v>82</v>
      </c>
      <c r="B1098" s="46">
        <v>2022</v>
      </c>
      <c r="C1098" s="45" t="s">
        <v>130</v>
      </c>
      <c r="D1098" s="47">
        <v>9</v>
      </c>
      <c r="E1098" s="48">
        <v>119332.7</v>
      </c>
      <c r="F1098" s="48">
        <v>6585</v>
      </c>
      <c r="G1098" s="48">
        <v>125917.7</v>
      </c>
      <c r="H1098" s="48">
        <v>161156.9</v>
      </c>
      <c r="I1098" s="48">
        <v>10551.2</v>
      </c>
      <c r="J1098" s="48">
        <v>171708.1</v>
      </c>
      <c r="K1098" s="48">
        <v>27976.9</v>
      </c>
      <c r="L1098" s="48">
        <v>29764.9</v>
      </c>
      <c r="M1098" s="48">
        <v>6762.7</v>
      </c>
      <c r="N1098" s="48">
        <v>503.3</v>
      </c>
    </row>
    <row r="1099" spans="1:14" ht="10.050000000000001" customHeight="1">
      <c r="A1099" s="45" t="s">
        <v>81</v>
      </c>
      <c r="B1099" s="46">
        <v>2022</v>
      </c>
      <c r="C1099" s="45" t="s">
        <v>130</v>
      </c>
      <c r="D1099" s="47">
        <v>9</v>
      </c>
      <c r="E1099" s="48">
        <v>703709.3</v>
      </c>
      <c r="F1099" s="48">
        <v>3497.3</v>
      </c>
      <c r="G1099" s="48">
        <v>707206.6</v>
      </c>
      <c r="H1099" s="48">
        <v>918673.30000000098</v>
      </c>
      <c r="I1099" s="48">
        <v>3428.4</v>
      </c>
      <c r="J1099" s="48">
        <v>922101.700000001</v>
      </c>
      <c r="K1099" s="48">
        <v>388585.4</v>
      </c>
      <c r="L1099" s="48">
        <v>313067.5</v>
      </c>
      <c r="M1099" s="48">
        <v>105825.8</v>
      </c>
      <c r="N1099" s="48">
        <v>3608.2</v>
      </c>
    </row>
    <row r="1100" spans="1:14" ht="10.050000000000001" customHeight="1">
      <c r="A1100" s="45" t="s">
        <v>80</v>
      </c>
      <c r="B1100" s="46">
        <v>2022</v>
      </c>
      <c r="C1100" s="45" t="s">
        <v>130</v>
      </c>
      <c r="D1100" s="47">
        <v>10</v>
      </c>
      <c r="E1100" s="48">
        <v>164994.6</v>
      </c>
      <c r="F1100" s="48">
        <v>0</v>
      </c>
      <c r="G1100" s="48">
        <v>164994.6</v>
      </c>
      <c r="H1100" s="48">
        <v>1707954.8</v>
      </c>
      <c r="I1100" s="48">
        <v>4649</v>
      </c>
      <c r="J1100" s="48">
        <v>1712603.8</v>
      </c>
      <c r="K1100" s="48">
        <v>802305</v>
      </c>
      <c r="L1100" s="48">
        <v>19523</v>
      </c>
      <c r="M1100" s="48">
        <v>107084.6</v>
      </c>
      <c r="N1100" s="48">
        <v>9592.2999999999993</v>
      </c>
    </row>
    <row r="1101" spans="1:14" ht="10.050000000000001" customHeight="1">
      <c r="A1101" s="45" t="s">
        <v>83</v>
      </c>
      <c r="B1101" s="46">
        <v>2022</v>
      </c>
      <c r="C1101" s="45" t="s">
        <v>130</v>
      </c>
      <c r="D1101" s="47">
        <v>10</v>
      </c>
      <c r="E1101" s="48">
        <v>1178.4000000000001</v>
      </c>
      <c r="F1101" s="48">
        <v>444</v>
      </c>
      <c r="G1101" s="48">
        <v>1622.4</v>
      </c>
      <c r="H1101" s="48">
        <v>24345.3</v>
      </c>
      <c r="I1101" s="48">
        <v>1074.5</v>
      </c>
      <c r="J1101" s="48">
        <v>25419.8</v>
      </c>
      <c r="K1101" s="48">
        <v>1139.5999999999999</v>
      </c>
      <c r="L1101" s="48">
        <v>109.5</v>
      </c>
      <c r="M1101" s="48">
        <v>337.6</v>
      </c>
      <c r="N1101" s="48">
        <v>47.2</v>
      </c>
    </row>
    <row r="1102" spans="1:14" ht="10.050000000000001" customHeight="1">
      <c r="A1102" s="45" t="s">
        <v>82</v>
      </c>
      <c r="B1102" s="46">
        <v>2022</v>
      </c>
      <c r="C1102" s="45" t="s">
        <v>130</v>
      </c>
      <c r="D1102" s="47">
        <v>10</v>
      </c>
      <c r="E1102" s="48">
        <v>94290.800000000105</v>
      </c>
      <c r="F1102" s="48">
        <v>3940</v>
      </c>
      <c r="G1102" s="48">
        <v>98230.800000000105</v>
      </c>
      <c r="H1102" s="48">
        <v>239453.3</v>
      </c>
      <c r="I1102" s="48">
        <v>12579.7</v>
      </c>
      <c r="J1102" s="48">
        <v>252033</v>
      </c>
      <c r="K1102" s="48">
        <v>33977.9</v>
      </c>
      <c r="L1102" s="48">
        <v>19943</v>
      </c>
      <c r="M1102" s="48">
        <v>12671</v>
      </c>
      <c r="N1102" s="48">
        <v>1256.7</v>
      </c>
    </row>
    <row r="1103" spans="1:14" ht="10.050000000000001" customHeight="1">
      <c r="A1103" s="45" t="s">
        <v>81</v>
      </c>
      <c r="B1103" s="46">
        <v>2022</v>
      </c>
      <c r="C1103" s="45" t="s">
        <v>130</v>
      </c>
      <c r="D1103" s="47">
        <v>10</v>
      </c>
      <c r="E1103" s="48">
        <v>211096.6</v>
      </c>
      <c r="F1103" s="48">
        <v>2655.1</v>
      </c>
      <c r="G1103" s="48">
        <v>213751.7</v>
      </c>
      <c r="H1103" s="48">
        <v>978149.10000000102</v>
      </c>
      <c r="I1103" s="48">
        <v>4127.6000000000004</v>
      </c>
      <c r="J1103" s="48">
        <v>982276.700000001</v>
      </c>
      <c r="K1103" s="48">
        <v>346026.1</v>
      </c>
      <c r="L1103" s="48">
        <v>65207.9</v>
      </c>
      <c r="M1103" s="48">
        <v>104022.9</v>
      </c>
      <c r="N1103" s="48">
        <v>4036.8</v>
      </c>
    </row>
    <row r="1104" spans="1:14" ht="10.050000000000001" customHeight="1">
      <c r="A1104" s="45" t="s">
        <v>80</v>
      </c>
      <c r="B1104" s="46">
        <v>2022</v>
      </c>
      <c r="C1104" s="45" t="s">
        <v>130</v>
      </c>
      <c r="D1104" s="47">
        <v>11</v>
      </c>
      <c r="E1104" s="48">
        <v>171737.8</v>
      </c>
      <c r="F1104" s="48">
        <v>1139.8</v>
      </c>
      <c r="G1104" s="48">
        <v>172877.6</v>
      </c>
      <c r="H1104" s="48">
        <v>1508862</v>
      </c>
      <c r="I1104" s="48">
        <v>4554.7</v>
      </c>
      <c r="J1104" s="48">
        <v>1513416.7</v>
      </c>
      <c r="K1104" s="48">
        <v>697549.5</v>
      </c>
      <c r="L1104" s="48">
        <v>15893.8</v>
      </c>
      <c r="M1104" s="48">
        <v>112199.2</v>
      </c>
      <c r="N1104" s="48">
        <v>9163.5</v>
      </c>
    </row>
    <row r="1105" spans="1:14" ht="10.050000000000001" customHeight="1">
      <c r="A1105" s="45" t="s">
        <v>83</v>
      </c>
      <c r="B1105" s="46">
        <v>2022</v>
      </c>
      <c r="C1105" s="45" t="s">
        <v>130</v>
      </c>
      <c r="D1105" s="47">
        <v>11</v>
      </c>
      <c r="E1105" s="48">
        <v>1005.8</v>
      </c>
      <c r="F1105" s="48">
        <v>160</v>
      </c>
      <c r="G1105" s="48">
        <v>1165.8</v>
      </c>
      <c r="H1105" s="48">
        <v>22662.799999999999</v>
      </c>
      <c r="I1105" s="48">
        <v>1007</v>
      </c>
      <c r="J1105" s="48">
        <v>23669.8</v>
      </c>
      <c r="K1105" s="48">
        <v>846.5</v>
      </c>
      <c r="L1105" s="48">
        <v>5</v>
      </c>
      <c r="M1105" s="48">
        <v>298</v>
      </c>
      <c r="N1105" s="48">
        <v>0</v>
      </c>
    </row>
    <row r="1106" spans="1:14" ht="10.050000000000001" customHeight="1">
      <c r="A1106" s="45" t="s">
        <v>82</v>
      </c>
      <c r="B1106" s="46">
        <v>2022</v>
      </c>
      <c r="C1106" s="45" t="s">
        <v>130</v>
      </c>
      <c r="D1106" s="47">
        <v>11</v>
      </c>
      <c r="E1106" s="48">
        <v>27050.9</v>
      </c>
      <c r="F1106" s="48">
        <v>497.6</v>
      </c>
      <c r="G1106" s="48">
        <v>27548.5</v>
      </c>
      <c r="H1106" s="48">
        <v>230167</v>
      </c>
      <c r="I1106" s="48">
        <v>11594.1</v>
      </c>
      <c r="J1106" s="48">
        <v>241761.1</v>
      </c>
      <c r="K1106" s="48">
        <v>22118.799999999999</v>
      </c>
      <c r="L1106" s="48">
        <v>1948.9</v>
      </c>
      <c r="M1106" s="48">
        <v>12028.1</v>
      </c>
      <c r="N1106" s="48">
        <v>1891.7</v>
      </c>
    </row>
    <row r="1107" spans="1:14" ht="10.050000000000001" customHeight="1">
      <c r="A1107" s="45" t="s">
        <v>81</v>
      </c>
      <c r="B1107" s="46">
        <v>2022</v>
      </c>
      <c r="C1107" s="45" t="s">
        <v>130</v>
      </c>
      <c r="D1107" s="47">
        <v>11</v>
      </c>
      <c r="E1107" s="48">
        <v>98188</v>
      </c>
      <c r="F1107" s="48">
        <v>75.900000000000006</v>
      </c>
      <c r="G1107" s="48">
        <v>98263.9</v>
      </c>
      <c r="H1107" s="48">
        <v>940558</v>
      </c>
      <c r="I1107" s="48">
        <v>3283.5</v>
      </c>
      <c r="J1107" s="48">
        <v>943841.5</v>
      </c>
      <c r="K1107" s="48">
        <v>288641.2</v>
      </c>
      <c r="L1107" s="48">
        <v>15382</v>
      </c>
      <c r="M1107" s="48">
        <v>68530.600000000006</v>
      </c>
      <c r="N1107" s="48">
        <v>4057.1</v>
      </c>
    </row>
    <row r="1108" spans="1:14" ht="10.050000000000001" customHeight="1">
      <c r="A1108" s="45" t="s">
        <v>80</v>
      </c>
      <c r="B1108" s="46">
        <v>2022</v>
      </c>
      <c r="C1108" s="45" t="s">
        <v>130</v>
      </c>
      <c r="D1108" s="47">
        <v>12</v>
      </c>
      <c r="E1108" s="48">
        <v>98067.8</v>
      </c>
      <c r="F1108" s="48">
        <v>282.10000000000002</v>
      </c>
      <c r="G1108" s="48">
        <v>98349.9</v>
      </c>
      <c r="H1108" s="48">
        <v>1327895.6000000001</v>
      </c>
      <c r="I1108" s="48">
        <v>4377.1000000000004</v>
      </c>
      <c r="J1108" s="48">
        <v>1332272.7</v>
      </c>
      <c r="K1108" s="48">
        <v>663313.4</v>
      </c>
      <c r="L1108" s="48">
        <v>24374.400000000001</v>
      </c>
      <c r="M1108" s="48">
        <v>55391.8</v>
      </c>
      <c r="N1108" s="48">
        <v>3966.2</v>
      </c>
    </row>
    <row r="1109" spans="1:14" ht="10.050000000000001" customHeight="1">
      <c r="A1109" s="45" t="s">
        <v>83</v>
      </c>
      <c r="B1109" s="46">
        <v>2022</v>
      </c>
      <c r="C1109" s="45" t="s">
        <v>130</v>
      </c>
      <c r="D1109" s="47">
        <v>12</v>
      </c>
      <c r="E1109" s="48">
        <v>921.1</v>
      </c>
      <c r="F1109" s="48">
        <v>19.2</v>
      </c>
      <c r="G1109" s="48">
        <v>940.3</v>
      </c>
      <c r="H1109" s="48">
        <v>21194.400000000001</v>
      </c>
      <c r="I1109" s="48">
        <v>1024.8</v>
      </c>
      <c r="J1109" s="48">
        <v>22219.200000000001</v>
      </c>
      <c r="K1109" s="48">
        <v>683</v>
      </c>
      <c r="L1109" s="48">
        <v>0.3</v>
      </c>
      <c r="M1109" s="48">
        <v>148.6</v>
      </c>
      <c r="N1109" s="48">
        <v>15</v>
      </c>
    </row>
    <row r="1110" spans="1:14" ht="10.050000000000001" customHeight="1">
      <c r="A1110" s="45" t="s">
        <v>82</v>
      </c>
      <c r="B1110" s="46">
        <v>2022</v>
      </c>
      <c r="C1110" s="45" t="s">
        <v>130</v>
      </c>
      <c r="D1110" s="47">
        <v>12</v>
      </c>
      <c r="E1110" s="48">
        <v>10490.8</v>
      </c>
      <c r="F1110" s="48">
        <v>486.7</v>
      </c>
      <c r="G1110" s="48">
        <v>10977.5</v>
      </c>
      <c r="H1110" s="48">
        <v>218271.5</v>
      </c>
      <c r="I1110" s="48">
        <v>10306.299999999999</v>
      </c>
      <c r="J1110" s="48">
        <v>228577.8</v>
      </c>
      <c r="K1110" s="48">
        <v>18815.400000000001</v>
      </c>
      <c r="L1110" s="48">
        <v>326.8</v>
      </c>
      <c r="M1110" s="48">
        <v>2777.1</v>
      </c>
      <c r="N1110" s="48">
        <v>855.4</v>
      </c>
    </row>
    <row r="1111" spans="1:14" ht="10.050000000000001" customHeight="1">
      <c r="A1111" s="45" t="s">
        <v>81</v>
      </c>
      <c r="B1111" s="46">
        <v>2022</v>
      </c>
      <c r="C1111" s="45" t="s">
        <v>130</v>
      </c>
      <c r="D1111" s="47">
        <v>12</v>
      </c>
      <c r="E1111" s="48">
        <v>41702.300000000003</v>
      </c>
      <c r="F1111" s="48">
        <v>275</v>
      </c>
      <c r="G1111" s="48">
        <v>41977.3</v>
      </c>
      <c r="H1111" s="48">
        <v>899664.8</v>
      </c>
      <c r="I1111" s="48">
        <v>2632.9</v>
      </c>
      <c r="J1111" s="48">
        <v>902297.7</v>
      </c>
      <c r="K1111" s="48">
        <v>263051.8</v>
      </c>
      <c r="L1111" s="48">
        <v>13744.3</v>
      </c>
      <c r="M1111" s="48">
        <v>30022.7</v>
      </c>
      <c r="N1111" s="48">
        <v>9366</v>
      </c>
    </row>
    <row r="1112" spans="1:14" ht="10.050000000000001" customHeight="1">
      <c r="A1112" s="45" t="s">
        <v>80</v>
      </c>
      <c r="B1112" s="46">
        <v>2023</v>
      </c>
      <c r="C1112" s="45" t="s">
        <v>130</v>
      </c>
      <c r="D1112" s="47">
        <v>1</v>
      </c>
      <c r="E1112" s="48">
        <v>146655.5</v>
      </c>
      <c r="F1112" s="48">
        <v>0</v>
      </c>
      <c r="G1112" s="48">
        <v>146655.5</v>
      </c>
      <c r="H1112" s="48">
        <v>1103343.6000000001</v>
      </c>
      <c r="I1112" s="48">
        <v>4148.6000000000004</v>
      </c>
      <c r="J1112" s="48">
        <v>1107492.2</v>
      </c>
      <c r="K1112" s="48">
        <v>588071.19999999995</v>
      </c>
      <c r="L1112" s="48">
        <v>23759.599999999999</v>
      </c>
      <c r="M1112" s="48">
        <v>89589.6</v>
      </c>
      <c r="N1112" s="48">
        <v>11096.6</v>
      </c>
    </row>
    <row r="1113" spans="1:14" ht="10.050000000000001" customHeight="1">
      <c r="A1113" s="45" t="s">
        <v>83</v>
      </c>
      <c r="B1113" s="46">
        <v>2023</v>
      </c>
      <c r="C1113" s="45" t="s">
        <v>130</v>
      </c>
      <c r="D1113" s="47">
        <v>1</v>
      </c>
      <c r="E1113" s="48">
        <v>1015.5</v>
      </c>
      <c r="F1113" s="48">
        <v>388.3</v>
      </c>
      <c r="G1113" s="48">
        <v>1403.8</v>
      </c>
      <c r="H1113" s="48">
        <v>18681.7</v>
      </c>
      <c r="I1113" s="48">
        <v>896.9</v>
      </c>
      <c r="J1113" s="48">
        <v>19578.599999999999</v>
      </c>
      <c r="K1113" s="48">
        <v>511.2</v>
      </c>
      <c r="L1113" s="48">
        <v>221.3</v>
      </c>
      <c r="M1113" s="48">
        <v>378</v>
      </c>
      <c r="N1113" s="48">
        <v>15.2</v>
      </c>
    </row>
    <row r="1114" spans="1:14" ht="10.050000000000001" customHeight="1">
      <c r="A1114" s="45" t="s">
        <v>82</v>
      </c>
      <c r="B1114" s="46">
        <v>2023</v>
      </c>
      <c r="C1114" s="45" t="s">
        <v>130</v>
      </c>
      <c r="D1114" s="47">
        <v>1</v>
      </c>
      <c r="E1114" s="48">
        <v>8221.6</v>
      </c>
      <c r="F1114" s="48">
        <v>74</v>
      </c>
      <c r="G1114" s="48">
        <v>8295.6</v>
      </c>
      <c r="H1114" s="48">
        <v>203853.2</v>
      </c>
      <c r="I1114" s="48">
        <v>8754.7000000000007</v>
      </c>
      <c r="J1114" s="48">
        <v>212607.9</v>
      </c>
      <c r="K1114" s="48">
        <v>14871.9</v>
      </c>
      <c r="L1114" s="48">
        <v>110.3</v>
      </c>
      <c r="M1114" s="48">
        <v>2884.5</v>
      </c>
      <c r="N1114" s="48">
        <v>1261</v>
      </c>
    </row>
    <row r="1115" spans="1:14" ht="10.050000000000001" customHeight="1">
      <c r="A1115" s="45" t="s">
        <v>81</v>
      </c>
      <c r="B1115" s="46">
        <v>2023</v>
      </c>
      <c r="C1115" s="45" t="s">
        <v>130</v>
      </c>
      <c r="D1115" s="47">
        <v>1</v>
      </c>
      <c r="E1115" s="48">
        <v>43974.5</v>
      </c>
      <c r="F1115" s="48">
        <v>0</v>
      </c>
      <c r="G1115" s="48">
        <v>43974.5</v>
      </c>
      <c r="H1115" s="48">
        <v>786471.80000000098</v>
      </c>
      <c r="I1115" s="48">
        <v>1825.9</v>
      </c>
      <c r="J1115" s="48">
        <v>788297.700000001</v>
      </c>
      <c r="K1115" s="48">
        <v>227811.8</v>
      </c>
      <c r="L1115" s="48">
        <v>3776.7</v>
      </c>
      <c r="M1115" s="48">
        <v>31306.2</v>
      </c>
      <c r="N1115" s="48">
        <v>7795.4</v>
      </c>
    </row>
    <row r="1116" spans="1:14" ht="10.050000000000001" customHeight="1">
      <c r="A1116" s="45" t="s">
        <v>80</v>
      </c>
      <c r="B1116" s="46">
        <v>2023</v>
      </c>
      <c r="C1116" s="45" t="s">
        <v>130</v>
      </c>
      <c r="D1116" s="47">
        <v>2</v>
      </c>
      <c r="E1116" s="48">
        <v>126444.6</v>
      </c>
      <c r="F1116" s="48">
        <v>0</v>
      </c>
      <c r="G1116" s="48">
        <v>126444.6</v>
      </c>
      <c r="H1116" s="48">
        <v>949837.4</v>
      </c>
      <c r="I1116" s="48">
        <v>4012.5</v>
      </c>
      <c r="J1116" s="48">
        <v>953849.9</v>
      </c>
      <c r="K1116" s="48">
        <v>514344.8</v>
      </c>
      <c r="L1116" s="48">
        <v>12885</v>
      </c>
      <c r="M1116" s="48">
        <v>81730.899999999994</v>
      </c>
      <c r="N1116" s="48">
        <v>5534.4</v>
      </c>
    </row>
    <row r="1117" spans="1:14" ht="10.050000000000001" customHeight="1">
      <c r="A1117" s="45" t="s">
        <v>83</v>
      </c>
      <c r="B1117" s="46">
        <v>2023</v>
      </c>
      <c r="C1117" s="45" t="s">
        <v>130</v>
      </c>
      <c r="D1117" s="47">
        <v>2</v>
      </c>
      <c r="E1117" s="48">
        <v>929</v>
      </c>
      <c r="F1117" s="48">
        <v>0</v>
      </c>
      <c r="G1117" s="48">
        <v>929</v>
      </c>
      <c r="H1117" s="48">
        <v>16675.7</v>
      </c>
      <c r="I1117" s="48">
        <v>795</v>
      </c>
      <c r="J1117" s="48">
        <v>17470.7</v>
      </c>
      <c r="K1117" s="48">
        <v>404.6</v>
      </c>
      <c r="L1117" s="48">
        <v>26.8</v>
      </c>
      <c r="M1117" s="48">
        <v>117.5</v>
      </c>
      <c r="N1117" s="48">
        <v>20.9</v>
      </c>
    </row>
    <row r="1118" spans="1:14" ht="10.050000000000001" customHeight="1">
      <c r="A1118" s="45" t="s">
        <v>82</v>
      </c>
      <c r="B1118" s="46">
        <v>2023</v>
      </c>
      <c r="C1118" s="45" t="s">
        <v>130</v>
      </c>
      <c r="D1118" s="47">
        <v>2</v>
      </c>
      <c r="E1118" s="48">
        <v>5953.1</v>
      </c>
      <c r="F1118" s="48">
        <v>162.1</v>
      </c>
      <c r="G1118" s="48">
        <v>6115.2</v>
      </c>
      <c r="H1118" s="48">
        <v>193870.3</v>
      </c>
      <c r="I1118" s="48">
        <v>6783.5</v>
      </c>
      <c r="J1118" s="48">
        <v>200653.8</v>
      </c>
      <c r="K1118" s="48">
        <v>13579.3</v>
      </c>
      <c r="L1118" s="48">
        <v>245.4</v>
      </c>
      <c r="M1118" s="48">
        <v>1231.5999999999999</v>
      </c>
      <c r="N1118" s="48">
        <v>308.89999999999998</v>
      </c>
    </row>
    <row r="1119" spans="1:14" ht="10.050000000000001" customHeight="1">
      <c r="A1119" s="45" t="s">
        <v>81</v>
      </c>
      <c r="B1119" s="46">
        <v>2023</v>
      </c>
      <c r="C1119" s="45" t="s">
        <v>130</v>
      </c>
      <c r="D1119" s="47">
        <v>2</v>
      </c>
      <c r="E1119" s="48">
        <v>31768.2</v>
      </c>
      <c r="F1119" s="48">
        <v>1617.9</v>
      </c>
      <c r="G1119" s="48">
        <v>33386.1</v>
      </c>
      <c r="H1119" s="48">
        <v>674532.3</v>
      </c>
      <c r="I1119" s="48">
        <v>1576.6</v>
      </c>
      <c r="J1119" s="48">
        <v>676108.9</v>
      </c>
      <c r="K1119" s="48">
        <v>204999.9</v>
      </c>
      <c r="L1119" s="48">
        <v>2036.6</v>
      </c>
      <c r="M1119" s="48">
        <v>21542.3</v>
      </c>
      <c r="N1119" s="48">
        <v>3269.5</v>
      </c>
    </row>
    <row r="1120" spans="1:14" ht="10.050000000000001" customHeight="1">
      <c r="A1120" s="45" t="s">
        <v>80</v>
      </c>
      <c r="B1120" s="46">
        <v>2023</v>
      </c>
      <c r="C1120" s="45" t="s">
        <v>130</v>
      </c>
      <c r="D1120" s="47">
        <v>3</v>
      </c>
      <c r="E1120" s="48">
        <v>210769</v>
      </c>
      <c r="F1120" s="48">
        <v>0</v>
      </c>
      <c r="G1120" s="48">
        <v>210769</v>
      </c>
      <c r="H1120" s="48">
        <v>815897.3</v>
      </c>
      <c r="I1120" s="48">
        <v>4002.1</v>
      </c>
      <c r="J1120" s="48">
        <v>819899.4</v>
      </c>
      <c r="K1120" s="48">
        <v>372903.1</v>
      </c>
      <c r="L1120" s="48">
        <v>14495.1</v>
      </c>
      <c r="M1120" s="48">
        <v>138510.70000000001</v>
      </c>
      <c r="N1120" s="48">
        <v>24633</v>
      </c>
    </row>
    <row r="1121" spans="1:14" ht="10.050000000000001" customHeight="1">
      <c r="A1121" s="45" t="s">
        <v>83</v>
      </c>
      <c r="B1121" s="46">
        <v>2023</v>
      </c>
      <c r="C1121" s="45" t="s">
        <v>130</v>
      </c>
      <c r="D1121" s="47">
        <v>3</v>
      </c>
      <c r="E1121" s="48">
        <v>311.3</v>
      </c>
      <c r="F1121" s="48">
        <v>69.5</v>
      </c>
      <c r="G1121" s="48">
        <v>380.8</v>
      </c>
      <c r="H1121" s="48">
        <v>14039.5</v>
      </c>
      <c r="I1121" s="48">
        <v>721.1</v>
      </c>
      <c r="J1121" s="48">
        <v>14760.6</v>
      </c>
      <c r="K1121" s="48">
        <v>360.9</v>
      </c>
      <c r="L1121" s="48">
        <v>51.9</v>
      </c>
      <c r="M1121" s="48">
        <v>95.7</v>
      </c>
      <c r="N1121" s="48">
        <v>0</v>
      </c>
    </row>
    <row r="1122" spans="1:14" ht="10.050000000000001" customHeight="1">
      <c r="A1122" s="45" t="s">
        <v>82</v>
      </c>
      <c r="B1122" s="46">
        <v>2023</v>
      </c>
      <c r="C1122" s="45" t="s">
        <v>130</v>
      </c>
      <c r="D1122" s="47">
        <v>3</v>
      </c>
      <c r="E1122" s="48">
        <v>6615.4</v>
      </c>
      <c r="F1122" s="48">
        <v>0</v>
      </c>
      <c r="G1122" s="48">
        <v>6615.4</v>
      </c>
      <c r="H1122" s="48">
        <v>175562.9</v>
      </c>
      <c r="I1122" s="48">
        <v>5433.1</v>
      </c>
      <c r="J1122" s="48">
        <v>180996</v>
      </c>
      <c r="K1122" s="48">
        <v>10690.6</v>
      </c>
      <c r="L1122" s="48">
        <v>428.7</v>
      </c>
      <c r="M1122" s="48">
        <v>2800.8</v>
      </c>
      <c r="N1122" s="48">
        <v>499.9</v>
      </c>
    </row>
    <row r="1123" spans="1:14" ht="10.050000000000001" customHeight="1">
      <c r="A1123" s="45" t="s">
        <v>81</v>
      </c>
      <c r="B1123" s="46">
        <v>2023</v>
      </c>
      <c r="C1123" s="45" t="s">
        <v>130</v>
      </c>
      <c r="D1123" s="47">
        <v>3</v>
      </c>
      <c r="E1123" s="48">
        <v>57112</v>
      </c>
      <c r="F1123" s="48">
        <v>963.3</v>
      </c>
      <c r="G1123" s="48">
        <v>58075.3</v>
      </c>
      <c r="H1123" s="48">
        <v>582585.30000000005</v>
      </c>
      <c r="I1123" s="48">
        <v>1509.1</v>
      </c>
      <c r="J1123" s="48">
        <v>584094.4</v>
      </c>
      <c r="K1123" s="48">
        <v>159837.70000000001</v>
      </c>
      <c r="L1123" s="48">
        <v>3381.9</v>
      </c>
      <c r="M1123" s="48">
        <v>41616.1</v>
      </c>
      <c r="N1123" s="48">
        <v>8708.7000000000007</v>
      </c>
    </row>
    <row r="1124" spans="1:14" ht="10.050000000000001" customHeight="1">
      <c r="A1124" s="45" t="s">
        <v>80</v>
      </c>
      <c r="B1124" s="46">
        <v>2023</v>
      </c>
      <c r="C1124" s="45" t="s">
        <v>130</v>
      </c>
      <c r="D1124" s="47">
        <v>4</v>
      </c>
      <c r="E1124" s="48">
        <v>231976.7</v>
      </c>
      <c r="F1124" s="48">
        <v>0</v>
      </c>
      <c r="G1124" s="48">
        <v>231976.7</v>
      </c>
      <c r="H1124" s="48">
        <v>688850.6</v>
      </c>
      <c r="I1124" s="48">
        <v>3801.8</v>
      </c>
      <c r="J1124" s="48">
        <v>692652.4</v>
      </c>
      <c r="K1124" s="48">
        <v>201876.6</v>
      </c>
      <c r="L1124" s="48">
        <v>19592.3</v>
      </c>
      <c r="M1124" s="48">
        <v>166470.29999999999</v>
      </c>
      <c r="N1124" s="48">
        <v>24755.1</v>
      </c>
    </row>
    <row r="1125" spans="1:14" ht="10.050000000000001" customHeight="1">
      <c r="A1125" s="45" t="s">
        <v>83</v>
      </c>
      <c r="B1125" s="46">
        <v>2023</v>
      </c>
      <c r="C1125" s="45" t="s">
        <v>130</v>
      </c>
      <c r="D1125" s="47">
        <v>4</v>
      </c>
      <c r="E1125" s="48">
        <v>391.8</v>
      </c>
      <c r="F1125" s="48">
        <v>0</v>
      </c>
      <c r="G1125" s="48">
        <v>391.8</v>
      </c>
      <c r="H1125" s="48">
        <v>12361.6</v>
      </c>
      <c r="I1125" s="48">
        <v>561.6</v>
      </c>
      <c r="J1125" s="48">
        <v>12923.2</v>
      </c>
      <c r="K1125" s="48">
        <v>154.9</v>
      </c>
      <c r="L1125" s="48">
        <v>0.6</v>
      </c>
      <c r="M1125" s="48">
        <v>176.5</v>
      </c>
      <c r="N1125" s="48">
        <v>30.3</v>
      </c>
    </row>
    <row r="1126" spans="1:14" ht="10.050000000000001" customHeight="1">
      <c r="A1126" s="45" t="s">
        <v>82</v>
      </c>
      <c r="B1126" s="46">
        <v>2023</v>
      </c>
      <c r="C1126" s="45" t="s">
        <v>130</v>
      </c>
      <c r="D1126" s="47">
        <v>4</v>
      </c>
      <c r="E1126" s="48">
        <v>5722.3</v>
      </c>
      <c r="F1126" s="48">
        <v>0</v>
      </c>
      <c r="G1126" s="48">
        <v>5722.3</v>
      </c>
      <c r="H1126" s="48">
        <v>162515.6</v>
      </c>
      <c r="I1126" s="48">
        <v>3736.8</v>
      </c>
      <c r="J1126" s="48">
        <v>166252.4</v>
      </c>
      <c r="K1126" s="48">
        <v>6324.9</v>
      </c>
      <c r="L1126" s="48">
        <v>265</v>
      </c>
      <c r="M1126" s="48">
        <v>3476.4</v>
      </c>
      <c r="N1126" s="48">
        <v>1157.9000000000001</v>
      </c>
    </row>
    <row r="1127" spans="1:14" ht="10.050000000000001" customHeight="1">
      <c r="A1127" s="45" t="s">
        <v>81</v>
      </c>
      <c r="B1127" s="46">
        <v>2023</v>
      </c>
      <c r="C1127" s="45" t="s">
        <v>130</v>
      </c>
      <c r="D1127" s="47">
        <v>4</v>
      </c>
      <c r="E1127" s="48">
        <v>53557.3</v>
      </c>
      <c r="F1127" s="48">
        <v>501.8</v>
      </c>
      <c r="G1127" s="48">
        <v>54059.1</v>
      </c>
      <c r="H1127" s="48">
        <v>494500.3</v>
      </c>
      <c r="I1127" s="48">
        <v>1360.5</v>
      </c>
      <c r="J1127" s="48">
        <v>495860.8</v>
      </c>
      <c r="K1127" s="48">
        <v>114490.2</v>
      </c>
      <c r="L1127" s="48">
        <v>656.3</v>
      </c>
      <c r="M1127" s="48">
        <v>39859.300000000003</v>
      </c>
      <c r="N1127" s="48">
        <v>8476.9</v>
      </c>
    </row>
    <row r="1128" spans="1:14" ht="10.050000000000001" customHeight="1">
      <c r="A1128" s="45" t="s">
        <v>80</v>
      </c>
      <c r="B1128" s="46">
        <v>2023</v>
      </c>
      <c r="C1128" s="45" t="s">
        <v>130</v>
      </c>
      <c r="D1128" s="47">
        <v>5</v>
      </c>
      <c r="E1128" s="48">
        <v>175773.3</v>
      </c>
      <c r="F1128" s="48">
        <v>0</v>
      </c>
      <c r="G1128" s="48">
        <v>175773.3</v>
      </c>
      <c r="H1128" s="48">
        <v>442335.9</v>
      </c>
      <c r="I1128" s="48">
        <v>3670.1</v>
      </c>
      <c r="J1128" s="48">
        <v>446006</v>
      </c>
      <c r="K1128" s="48">
        <v>92082</v>
      </c>
      <c r="L1128" s="48">
        <v>24584.6</v>
      </c>
      <c r="M1128" s="48">
        <v>126215.5</v>
      </c>
      <c r="N1128" s="48">
        <v>18092.5</v>
      </c>
    </row>
    <row r="1129" spans="1:14" ht="10.050000000000001" customHeight="1">
      <c r="A1129" s="45" t="s">
        <v>83</v>
      </c>
      <c r="B1129" s="46">
        <v>2023</v>
      </c>
      <c r="C1129" s="45" t="s">
        <v>130</v>
      </c>
      <c r="D1129" s="47">
        <v>5</v>
      </c>
      <c r="E1129" s="48">
        <v>313.39999999999998</v>
      </c>
      <c r="F1129" s="48">
        <v>0</v>
      </c>
      <c r="G1129" s="48">
        <v>313.39999999999998</v>
      </c>
      <c r="H1129" s="48">
        <v>10439.799999999999</v>
      </c>
      <c r="I1129" s="48">
        <v>559.29999999999995</v>
      </c>
      <c r="J1129" s="48">
        <v>10999.1</v>
      </c>
      <c r="K1129" s="48">
        <v>95.9</v>
      </c>
      <c r="L1129" s="48">
        <v>1.4</v>
      </c>
      <c r="M1129" s="48">
        <v>60.3</v>
      </c>
      <c r="N1129" s="48">
        <v>0</v>
      </c>
    </row>
    <row r="1130" spans="1:14" ht="10.050000000000001" customHeight="1">
      <c r="A1130" s="45" t="s">
        <v>82</v>
      </c>
      <c r="B1130" s="46">
        <v>2023</v>
      </c>
      <c r="C1130" s="45" t="s">
        <v>130</v>
      </c>
      <c r="D1130" s="47">
        <v>5</v>
      </c>
      <c r="E1130" s="48">
        <v>3115.4</v>
      </c>
      <c r="F1130" s="48">
        <v>0</v>
      </c>
      <c r="G1130" s="48">
        <v>3115.4</v>
      </c>
      <c r="H1130" s="48">
        <v>141519.6</v>
      </c>
      <c r="I1130" s="48">
        <v>3038.2</v>
      </c>
      <c r="J1130" s="48">
        <v>144557.79999999999</v>
      </c>
      <c r="K1130" s="48">
        <v>4013.9</v>
      </c>
      <c r="L1130" s="48">
        <v>897.1</v>
      </c>
      <c r="M1130" s="48">
        <v>1773.4</v>
      </c>
      <c r="N1130" s="48">
        <v>1437</v>
      </c>
    </row>
    <row r="1131" spans="1:14" ht="10.050000000000001" customHeight="1">
      <c r="A1131" s="45" t="s">
        <v>81</v>
      </c>
      <c r="B1131" s="46">
        <v>2023</v>
      </c>
      <c r="C1131" s="45" t="s">
        <v>130</v>
      </c>
      <c r="D1131" s="47">
        <v>5</v>
      </c>
      <c r="E1131" s="48">
        <v>72469.100000000006</v>
      </c>
      <c r="F1131" s="48">
        <v>0</v>
      </c>
      <c r="G1131" s="48">
        <v>72469.100000000006</v>
      </c>
      <c r="H1131" s="48">
        <v>397552.2</v>
      </c>
      <c r="I1131" s="48">
        <v>1367.1</v>
      </c>
      <c r="J1131" s="48">
        <v>398919.3</v>
      </c>
      <c r="K1131" s="48">
        <v>50060.5</v>
      </c>
      <c r="L1131" s="48">
        <v>4289.7</v>
      </c>
      <c r="M1131" s="48">
        <v>63630.7</v>
      </c>
      <c r="N1131" s="48">
        <v>5861.3</v>
      </c>
    </row>
    <row r="1132" spans="1:14" ht="10.050000000000001" customHeight="1">
      <c r="A1132" s="45" t="s">
        <v>80</v>
      </c>
      <c r="B1132" s="46">
        <v>2023</v>
      </c>
      <c r="C1132" s="45" t="s">
        <v>130</v>
      </c>
      <c r="D1132" s="47">
        <v>6</v>
      </c>
      <c r="E1132" s="48">
        <v>89860.7</v>
      </c>
      <c r="F1132" s="48">
        <v>0</v>
      </c>
      <c r="G1132" s="48">
        <v>89860.7</v>
      </c>
      <c r="H1132" s="48">
        <v>169230.5</v>
      </c>
      <c r="I1132" s="48">
        <v>3322.6</v>
      </c>
      <c r="J1132" s="48">
        <v>172553.1</v>
      </c>
      <c r="K1132" s="48">
        <v>32555.8</v>
      </c>
      <c r="L1132" s="48">
        <v>31267.4</v>
      </c>
      <c r="M1132" s="48">
        <v>43667.8</v>
      </c>
      <c r="N1132" s="48">
        <v>25995.200000000001</v>
      </c>
    </row>
    <row r="1133" spans="1:14" ht="10.050000000000001" customHeight="1">
      <c r="A1133" s="45" t="s">
        <v>83</v>
      </c>
      <c r="B1133" s="46">
        <v>2023</v>
      </c>
      <c r="C1133" s="45" t="s">
        <v>130</v>
      </c>
      <c r="D1133" s="47">
        <v>6</v>
      </c>
      <c r="E1133" s="48">
        <v>285</v>
      </c>
      <c r="F1133" s="48">
        <v>0</v>
      </c>
      <c r="G1133" s="48">
        <v>285</v>
      </c>
      <c r="H1133" s="48">
        <v>6228.2</v>
      </c>
      <c r="I1133" s="48">
        <v>557.29999999999995</v>
      </c>
      <c r="J1133" s="48">
        <v>6785.5</v>
      </c>
      <c r="K1133" s="48">
        <v>43.7</v>
      </c>
      <c r="L1133" s="48">
        <v>0</v>
      </c>
      <c r="M1133" s="48">
        <v>26.8</v>
      </c>
      <c r="N1133" s="48">
        <v>25.5</v>
      </c>
    </row>
    <row r="1134" spans="1:14" ht="10.050000000000001" customHeight="1">
      <c r="A1134" s="45" t="s">
        <v>82</v>
      </c>
      <c r="B1134" s="46">
        <v>2023</v>
      </c>
      <c r="C1134" s="45" t="s">
        <v>130</v>
      </c>
      <c r="D1134" s="47">
        <v>6</v>
      </c>
      <c r="E1134" s="48">
        <v>3008.6</v>
      </c>
      <c r="F1134" s="48">
        <v>1447.3</v>
      </c>
      <c r="G1134" s="48">
        <v>4455.8999999999996</v>
      </c>
      <c r="H1134" s="48">
        <v>100204.5</v>
      </c>
      <c r="I1134" s="48">
        <v>2841.6</v>
      </c>
      <c r="J1134" s="48">
        <v>103046.1</v>
      </c>
      <c r="K1134" s="48">
        <v>2355.6999999999998</v>
      </c>
      <c r="L1134" s="48">
        <v>479.2</v>
      </c>
      <c r="M1134" s="48">
        <v>1187.3</v>
      </c>
      <c r="N1134" s="48">
        <v>978.2</v>
      </c>
    </row>
    <row r="1135" spans="1:14" ht="10.050000000000001" customHeight="1">
      <c r="A1135" s="45" t="s">
        <v>81</v>
      </c>
      <c r="B1135" s="46">
        <v>2023</v>
      </c>
      <c r="C1135" s="45" t="s">
        <v>130</v>
      </c>
      <c r="D1135" s="47">
        <v>6</v>
      </c>
      <c r="E1135" s="48">
        <v>29683.5</v>
      </c>
      <c r="F1135" s="48">
        <v>0</v>
      </c>
      <c r="G1135" s="48">
        <v>29683.5</v>
      </c>
      <c r="H1135" s="48">
        <v>242443</v>
      </c>
      <c r="I1135" s="48">
        <v>835.3</v>
      </c>
      <c r="J1135" s="48">
        <v>243278.3</v>
      </c>
      <c r="K1135" s="48">
        <v>23194</v>
      </c>
      <c r="L1135" s="48">
        <v>5797.6</v>
      </c>
      <c r="M1135" s="48">
        <v>19894.400000000001</v>
      </c>
      <c r="N1135" s="48">
        <v>8115.9</v>
      </c>
    </row>
    <row r="1136" spans="1:14" ht="10.050000000000001" customHeight="1">
      <c r="A1136" s="45" t="s">
        <v>80</v>
      </c>
      <c r="B1136" s="46">
        <v>2023</v>
      </c>
      <c r="C1136" s="45" t="s">
        <v>131</v>
      </c>
      <c r="D1136" s="47">
        <v>7</v>
      </c>
      <c r="E1136" s="48">
        <v>1677366</v>
      </c>
      <c r="F1136" s="48">
        <v>7488.8</v>
      </c>
      <c r="G1136" s="48">
        <v>1684854.8</v>
      </c>
      <c r="H1136" s="48">
        <v>1582229.2</v>
      </c>
      <c r="I1136" s="48">
        <v>5183.8</v>
      </c>
      <c r="J1136" s="48">
        <v>1587413</v>
      </c>
      <c r="K1136" s="48">
        <v>1438478.2</v>
      </c>
      <c r="L1136" s="48">
        <v>1606135.3</v>
      </c>
      <c r="M1136" s="48">
        <v>190407.9</v>
      </c>
      <c r="N1136" s="48">
        <v>8582.6</v>
      </c>
    </row>
    <row r="1137" spans="1:14" ht="10.050000000000001" customHeight="1">
      <c r="A1137" s="45" t="s">
        <v>83</v>
      </c>
      <c r="B1137" s="46">
        <v>2023</v>
      </c>
      <c r="C1137" s="45" t="s">
        <v>131</v>
      </c>
      <c r="D1137" s="47">
        <v>7</v>
      </c>
      <c r="E1137" s="48">
        <v>17161.599999999999</v>
      </c>
      <c r="F1137" s="48">
        <v>125.5</v>
      </c>
      <c r="G1137" s="48">
        <v>17287.099999999999</v>
      </c>
      <c r="H1137" s="48">
        <v>21390.799999999999</v>
      </c>
      <c r="I1137" s="48">
        <v>414.2</v>
      </c>
      <c r="J1137" s="48">
        <v>21805</v>
      </c>
      <c r="K1137" s="48">
        <v>6571</v>
      </c>
      <c r="L1137" s="48">
        <v>8585.1000000000095</v>
      </c>
      <c r="M1137" s="48">
        <v>2019.2</v>
      </c>
      <c r="N1137" s="48">
        <v>38.6</v>
      </c>
    </row>
    <row r="1138" spans="1:14" ht="10.050000000000001" customHeight="1">
      <c r="A1138" s="45" t="s">
        <v>82</v>
      </c>
      <c r="B1138" s="46">
        <v>2023</v>
      </c>
      <c r="C1138" s="45" t="s">
        <v>131</v>
      </c>
      <c r="D1138" s="47">
        <v>7</v>
      </c>
      <c r="E1138" s="48">
        <v>848.2</v>
      </c>
      <c r="F1138" s="48">
        <v>0</v>
      </c>
      <c r="G1138" s="48">
        <v>848.2</v>
      </c>
      <c r="H1138" s="48">
        <v>87732.6</v>
      </c>
      <c r="I1138" s="48">
        <v>2613.6</v>
      </c>
      <c r="J1138" s="48">
        <v>90346.2</v>
      </c>
      <c r="K1138" s="48">
        <v>2161.3000000000002</v>
      </c>
      <c r="L1138" s="48">
        <v>88.5</v>
      </c>
      <c r="M1138" s="48">
        <v>213.7</v>
      </c>
      <c r="N1138" s="48">
        <v>69.3</v>
      </c>
    </row>
    <row r="1139" spans="1:14" ht="10.050000000000001" customHeight="1">
      <c r="A1139" s="45" t="s">
        <v>81</v>
      </c>
      <c r="B1139" s="46">
        <v>2023</v>
      </c>
      <c r="C1139" s="45" t="s">
        <v>131</v>
      </c>
      <c r="D1139" s="47">
        <v>7</v>
      </c>
      <c r="E1139" s="48">
        <v>6015.2</v>
      </c>
      <c r="F1139" s="48">
        <v>0</v>
      </c>
      <c r="G1139" s="48">
        <v>6015.2</v>
      </c>
      <c r="H1139" s="48">
        <v>165770.5</v>
      </c>
      <c r="I1139" s="48">
        <v>862.4</v>
      </c>
      <c r="J1139" s="48">
        <v>166632.9</v>
      </c>
      <c r="K1139" s="48">
        <v>14986.8</v>
      </c>
      <c r="L1139" s="48">
        <v>2180.1999999999998</v>
      </c>
      <c r="M1139" s="48">
        <v>3368.9</v>
      </c>
      <c r="N1139" s="48">
        <v>7007.7</v>
      </c>
    </row>
    <row r="1140" spans="1:14" ht="10.050000000000001" customHeight="1">
      <c r="A1140" s="45" t="s">
        <v>80</v>
      </c>
      <c r="B1140" s="46">
        <v>2023</v>
      </c>
      <c r="C1140" s="45" t="s">
        <v>131</v>
      </c>
      <c r="D1140" s="47">
        <v>8</v>
      </c>
      <c r="E1140" s="48">
        <v>459058.1</v>
      </c>
      <c r="F1140" s="48">
        <v>836.4</v>
      </c>
      <c r="G1140" s="48">
        <v>459894.5</v>
      </c>
      <c r="H1140" s="48">
        <v>1687385.3</v>
      </c>
      <c r="I1140" s="48">
        <v>5252.2</v>
      </c>
      <c r="J1140" s="48">
        <v>1692637.5</v>
      </c>
      <c r="K1140" s="48">
        <v>1292206.8</v>
      </c>
      <c r="L1140" s="48">
        <v>203966.4</v>
      </c>
      <c r="M1140" s="48">
        <v>284257.8</v>
      </c>
      <c r="N1140" s="48">
        <v>65856</v>
      </c>
    </row>
    <row r="1141" spans="1:14" ht="10.050000000000001" customHeight="1">
      <c r="A1141" s="45" t="s">
        <v>83</v>
      </c>
      <c r="B1141" s="46">
        <v>2023</v>
      </c>
      <c r="C1141" s="45" t="s">
        <v>131</v>
      </c>
      <c r="D1141" s="47">
        <v>8</v>
      </c>
      <c r="E1141" s="48">
        <v>9182.2999999999993</v>
      </c>
      <c r="F1141" s="48">
        <v>147.6</v>
      </c>
      <c r="G1141" s="48">
        <v>9329.9</v>
      </c>
      <c r="H1141" s="48">
        <v>28368.2</v>
      </c>
      <c r="I1141" s="48">
        <v>418.2</v>
      </c>
      <c r="J1141" s="48">
        <v>28786.400000000001</v>
      </c>
      <c r="K1141" s="48">
        <v>3229.7</v>
      </c>
      <c r="L1141" s="48">
        <v>1413.3</v>
      </c>
      <c r="M1141" s="48">
        <v>4687.2</v>
      </c>
      <c r="N1141" s="48">
        <v>67.599999999999994</v>
      </c>
    </row>
    <row r="1142" spans="1:14" ht="10.050000000000001" customHeight="1">
      <c r="A1142" s="45" t="s">
        <v>82</v>
      </c>
      <c r="B1142" s="46">
        <v>2023</v>
      </c>
      <c r="C1142" s="45" t="s">
        <v>131</v>
      </c>
      <c r="D1142" s="47">
        <v>8</v>
      </c>
      <c r="E1142" s="48">
        <v>1355.1</v>
      </c>
      <c r="F1142" s="48">
        <v>765.1</v>
      </c>
      <c r="G1142" s="48">
        <v>2120.1999999999998</v>
      </c>
      <c r="H1142" s="48">
        <v>69736.2</v>
      </c>
      <c r="I1142" s="48">
        <v>3282.6</v>
      </c>
      <c r="J1142" s="48">
        <v>73018.8</v>
      </c>
      <c r="K1142" s="48">
        <v>2119.1999999999998</v>
      </c>
      <c r="L1142" s="48">
        <v>441.4</v>
      </c>
      <c r="M1142" s="48">
        <v>251.7</v>
      </c>
      <c r="N1142" s="48">
        <v>244.4</v>
      </c>
    </row>
    <row r="1143" spans="1:14" ht="10.050000000000001" customHeight="1">
      <c r="A1143" s="45" t="s">
        <v>81</v>
      </c>
      <c r="B1143" s="46">
        <v>2023</v>
      </c>
      <c r="C1143" s="45" t="s">
        <v>131</v>
      </c>
      <c r="D1143" s="47">
        <v>8</v>
      </c>
      <c r="E1143" s="48">
        <v>56078.1</v>
      </c>
      <c r="F1143" s="48">
        <v>637.20000000000005</v>
      </c>
      <c r="G1143" s="48">
        <v>56715.3</v>
      </c>
      <c r="H1143" s="48">
        <v>150914.6</v>
      </c>
      <c r="I1143" s="48">
        <v>1308.4000000000001</v>
      </c>
      <c r="J1143" s="48">
        <v>152223</v>
      </c>
      <c r="K1143" s="48">
        <v>59199.9</v>
      </c>
      <c r="L1143" s="48">
        <v>48307.4</v>
      </c>
      <c r="M1143" s="48">
        <v>3599.8</v>
      </c>
      <c r="N1143" s="48">
        <v>518.79999999999995</v>
      </c>
    </row>
    <row r="1144" spans="1:14" ht="10.050000000000001" customHeight="1">
      <c r="A1144" s="45" t="s">
        <v>80</v>
      </c>
      <c r="B1144" s="46">
        <v>2023</v>
      </c>
      <c r="C1144" s="45" t="s">
        <v>131</v>
      </c>
      <c r="D1144" s="47">
        <v>9</v>
      </c>
      <c r="E1144" s="48">
        <v>219022.5</v>
      </c>
      <c r="F1144" s="48">
        <v>0</v>
      </c>
      <c r="G1144" s="48">
        <v>219022.5</v>
      </c>
      <c r="H1144" s="48">
        <v>1683391</v>
      </c>
      <c r="I1144" s="48">
        <v>5147.2</v>
      </c>
      <c r="J1144" s="48">
        <v>1688538.2</v>
      </c>
      <c r="K1144" s="48">
        <v>1146178.3999999999</v>
      </c>
      <c r="L1144" s="48">
        <v>98863</v>
      </c>
      <c r="M1144" s="48">
        <v>152424.29999999999</v>
      </c>
      <c r="N1144" s="48">
        <v>92548.6</v>
      </c>
    </row>
    <row r="1145" spans="1:14" ht="10.050000000000001" customHeight="1">
      <c r="A1145" s="45" t="s">
        <v>83</v>
      </c>
      <c r="B1145" s="46">
        <v>2023</v>
      </c>
      <c r="C1145" s="45" t="s">
        <v>131</v>
      </c>
      <c r="D1145" s="47">
        <v>9</v>
      </c>
      <c r="E1145" s="48">
        <v>4314</v>
      </c>
      <c r="F1145" s="48">
        <v>213.5</v>
      </c>
      <c r="G1145" s="48">
        <v>4527.5</v>
      </c>
      <c r="H1145" s="48">
        <v>30051.4</v>
      </c>
      <c r="I1145" s="48">
        <v>442.1</v>
      </c>
      <c r="J1145" s="48">
        <v>30493.5</v>
      </c>
      <c r="K1145" s="48">
        <v>1697.7</v>
      </c>
      <c r="L1145" s="48">
        <v>763.4</v>
      </c>
      <c r="M1145" s="48">
        <v>2251</v>
      </c>
      <c r="N1145" s="48">
        <v>49</v>
      </c>
    </row>
    <row r="1146" spans="1:14" ht="10.050000000000001" customHeight="1">
      <c r="A1146" s="45" t="s">
        <v>82</v>
      </c>
      <c r="B1146" s="46">
        <v>2023</v>
      </c>
      <c r="C1146" s="45" t="s">
        <v>131</v>
      </c>
      <c r="D1146" s="47">
        <v>9</v>
      </c>
      <c r="E1146" s="48">
        <v>102285.9</v>
      </c>
      <c r="F1146" s="48">
        <v>4261.7</v>
      </c>
      <c r="G1146" s="48">
        <v>106547.6</v>
      </c>
      <c r="H1146" s="48">
        <v>149785.1</v>
      </c>
      <c r="I1146" s="48">
        <v>7581</v>
      </c>
      <c r="J1146" s="48">
        <v>157366.1</v>
      </c>
      <c r="K1146" s="48">
        <v>35000.300000000003</v>
      </c>
      <c r="L1146" s="48">
        <v>39471.800000000003</v>
      </c>
      <c r="M1146" s="48">
        <v>3940.4</v>
      </c>
      <c r="N1146" s="48">
        <v>3048.8</v>
      </c>
    </row>
    <row r="1147" spans="1:14" ht="10.050000000000001" customHeight="1">
      <c r="A1147" s="45" t="s">
        <v>81</v>
      </c>
      <c r="B1147" s="46">
        <v>2023</v>
      </c>
      <c r="C1147" s="45" t="s">
        <v>131</v>
      </c>
      <c r="D1147" s="47">
        <v>9</v>
      </c>
      <c r="E1147" s="48">
        <v>780489.4</v>
      </c>
      <c r="F1147" s="48">
        <v>2362.4</v>
      </c>
      <c r="G1147" s="48">
        <v>782851.8</v>
      </c>
      <c r="H1147" s="48">
        <v>865536.7</v>
      </c>
      <c r="I1147" s="48">
        <v>2338.6999999999998</v>
      </c>
      <c r="J1147" s="48">
        <v>867875.4</v>
      </c>
      <c r="K1147" s="48">
        <v>562471.19999999995</v>
      </c>
      <c r="L1147" s="48">
        <v>577990</v>
      </c>
      <c r="M1147" s="48">
        <v>72670.7</v>
      </c>
      <c r="N1147" s="48">
        <v>2038.7</v>
      </c>
    </row>
    <row r="1148" spans="1:14" ht="10.050000000000001" customHeight="1">
      <c r="A1148" s="45" t="s">
        <v>80</v>
      </c>
      <c r="B1148" s="46">
        <v>2023</v>
      </c>
      <c r="C1148" s="45" t="s">
        <v>131</v>
      </c>
      <c r="D1148" s="47">
        <v>10</v>
      </c>
      <c r="E1148" s="48">
        <v>155449.70000000001</v>
      </c>
      <c r="F1148" s="48">
        <v>0</v>
      </c>
      <c r="G1148" s="48">
        <v>155449.70000000001</v>
      </c>
      <c r="H1148" s="48">
        <v>1598548.8</v>
      </c>
      <c r="I1148" s="48">
        <v>3169.5</v>
      </c>
      <c r="J1148" s="48">
        <v>1601718.3</v>
      </c>
      <c r="K1148" s="48">
        <v>1033016.2</v>
      </c>
      <c r="L1148" s="48">
        <v>15415.4</v>
      </c>
      <c r="M1148" s="48">
        <v>109933.1</v>
      </c>
      <c r="N1148" s="48">
        <v>18590</v>
      </c>
    </row>
    <row r="1149" spans="1:14" ht="10.050000000000001" customHeight="1">
      <c r="A1149" s="45" t="s">
        <v>83</v>
      </c>
      <c r="B1149" s="46">
        <v>2023</v>
      </c>
      <c r="C1149" s="45" t="s">
        <v>131</v>
      </c>
      <c r="D1149" s="47">
        <v>10</v>
      </c>
      <c r="E1149" s="48">
        <v>968.3</v>
      </c>
      <c r="F1149" s="48">
        <v>58.7</v>
      </c>
      <c r="G1149" s="48">
        <v>1027</v>
      </c>
      <c r="H1149" s="48">
        <v>28949.5</v>
      </c>
      <c r="I1149" s="48">
        <v>490.6</v>
      </c>
      <c r="J1149" s="48">
        <v>29440.1</v>
      </c>
      <c r="K1149" s="48">
        <v>1348.7</v>
      </c>
      <c r="L1149" s="48">
        <v>129.30000000000001</v>
      </c>
      <c r="M1149" s="48">
        <v>414.7</v>
      </c>
      <c r="N1149" s="48">
        <v>62.4</v>
      </c>
    </row>
    <row r="1150" spans="1:14" ht="10.050000000000001" customHeight="1">
      <c r="A1150" s="45" t="s">
        <v>82</v>
      </c>
      <c r="B1150" s="46">
        <v>2023</v>
      </c>
      <c r="C1150" s="45" t="s">
        <v>131</v>
      </c>
      <c r="D1150" s="47">
        <v>10</v>
      </c>
      <c r="E1150" s="48">
        <v>141559.70000000001</v>
      </c>
      <c r="F1150" s="48">
        <v>4086.6</v>
      </c>
      <c r="G1150" s="48">
        <v>145646.29999999999</v>
      </c>
      <c r="H1150" s="48">
        <v>258333.1</v>
      </c>
      <c r="I1150" s="48">
        <v>10373.9</v>
      </c>
      <c r="J1150" s="48">
        <v>268707</v>
      </c>
      <c r="K1150" s="48">
        <v>46612.6</v>
      </c>
      <c r="L1150" s="48">
        <v>41189.199999999997</v>
      </c>
      <c r="M1150" s="48">
        <v>26877.599999999999</v>
      </c>
      <c r="N1150" s="48">
        <v>2041.6</v>
      </c>
    </row>
    <row r="1151" spans="1:14" ht="10.050000000000001" customHeight="1">
      <c r="A1151" s="45" t="s">
        <v>81</v>
      </c>
      <c r="B1151" s="46">
        <v>2023</v>
      </c>
      <c r="C1151" s="45" t="s">
        <v>131</v>
      </c>
      <c r="D1151" s="47">
        <v>10</v>
      </c>
      <c r="E1151" s="48">
        <v>463799.6</v>
      </c>
      <c r="F1151" s="48">
        <v>1133.0999999999999</v>
      </c>
      <c r="G1151" s="48">
        <v>464932.7</v>
      </c>
      <c r="H1151" s="48">
        <v>1132106</v>
      </c>
      <c r="I1151" s="48">
        <v>2898.5</v>
      </c>
      <c r="J1151" s="48">
        <v>1135004.5</v>
      </c>
      <c r="K1151" s="48">
        <v>477350.8</v>
      </c>
      <c r="L1151" s="48">
        <v>135754.4</v>
      </c>
      <c r="M1151" s="48">
        <v>201665.3</v>
      </c>
      <c r="N1151" s="48">
        <v>19209.400000000001</v>
      </c>
    </row>
    <row r="1152" spans="1:14" ht="10.050000000000001" customHeight="1">
      <c r="A1152" s="45" t="s">
        <v>80</v>
      </c>
      <c r="B1152" s="46">
        <v>2023</v>
      </c>
      <c r="C1152" s="45" t="s">
        <v>131</v>
      </c>
      <c r="D1152" s="47">
        <v>11</v>
      </c>
      <c r="E1152" s="48">
        <v>245983.8</v>
      </c>
      <c r="F1152" s="48">
        <v>1650</v>
      </c>
      <c r="G1152" s="48">
        <v>247633.8</v>
      </c>
      <c r="H1152" s="48">
        <v>1509548.4</v>
      </c>
      <c r="I1152" s="48">
        <v>3101.7</v>
      </c>
      <c r="J1152" s="48">
        <v>1512650.1</v>
      </c>
      <c r="K1152" s="48">
        <v>858460.6</v>
      </c>
      <c r="L1152" s="48">
        <v>24746.7</v>
      </c>
      <c r="M1152" s="48">
        <v>180488.1</v>
      </c>
      <c r="N1152" s="48">
        <v>18842.099999999999</v>
      </c>
    </row>
    <row r="1153" spans="1:14" ht="10.050000000000001" customHeight="1">
      <c r="A1153" s="45" t="s">
        <v>83</v>
      </c>
      <c r="B1153" s="46">
        <v>2023</v>
      </c>
      <c r="C1153" s="45" t="s">
        <v>131</v>
      </c>
      <c r="D1153" s="47">
        <v>11</v>
      </c>
      <c r="E1153" s="48">
        <v>1350</v>
      </c>
      <c r="F1153" s="48">
        <v>85.9</v>
      </c>
      <c r="G1153" s="48">
        <v>1435.9</v>
      </c>
      <c r="H1153" s="48">
        <v>27839.4</v>
      </c>
      <c r="I1153" s="48">
        <v>512.4</v>
      </c>
      <c r="J1153" s="48">
        <v>28351.8</v>
      </c>
      <c r="K1153" s="48">
        <v>696.1</v>
      </c>
      <c r="L1153" s="48">
        <v>21.9</v>
      </c>
      <c r="M1153" s="48">
        <v>646.79999999999995</v>
      </c>
      <c r="N1153" s="48">
        <v>27.8</v>
      </c>
    </row>
    <row r="1154" spans="1:14" ht="10.050000000000001" customHeight="1">
      <c r="A1154" s="45" t="s">
        <v>82</v>
      </c>
      <c r="B1154" s="46">
        <v>2023</v>
      </c>
      <c r="C1154" s="45" t="s">
        <v>131</v>
      </c>
      <c r="D1154" s="47">
        <v>11</v>
      </c>
      <c r="E1154" s="48">
        <v>31606.9</v>
      </c>
      <c r="F1154" s="48">
        <v>3176.8</v>
      </c>
      <c r="G1154" s="48">
        <v>34783.699999999997</v>
      </c>
      <c r="H1154" s="48">
        <v>255193.3</v>
      </c>
      <c r="I1154" s="48">
        <v>10272.1</v>
      </c>
      <c r="J1154" s="48">
        <v>265465.40000000002</v>
      </c>
      <c r="K1154" s="48">
        <v>30172.9</v>
      </c>
      <c r="L1154" s="48">
        <v>3115.1</v>
      </c>
      <c r="M1154" s="48">
        <v>18505.099999999999</v>
      </c>
      <c r="N1154" s="48">
        <v>1255.2</v>
      </c>
    </row>
    <row r="1155" spans="1:14" ht="10.050000000000001" customHeight="1">
      <c r="A1155" s="45" t="s">
        <v>81</v>
      </c>
      <c r="B1155" s="46">
        <v>2023</v>
      </c>
      <c r="C1155" s="45" t="s">
        <v>131</v>
      </c>
      <c r="D1155" s="47">
        <v>11</v>
      </c>
      <c r="E1155" s="48">
        <v>172105.60000000001</v>
      </c>
      <c r="F1155" s="48">
        <v>2936.5</v>
      </c>
      <c r="G1155" s="48">
        <v>175042.1</v>
      </c>
      <c r="H1155" s="48">
        <v>1134913.8999999999</v>
      </c>
      <c r="I1155" s="48">
        <v>4063.3</v>
      </c>
      <c r="J1155" s="48">
        <v>1138977.2</v>
      </c>
      <c r="K1155" s="48">
        <v>330696.59999999998</v>
      </c>
      <c r="L1155" s="48">
        <v>27313.9</v>
      </c>
      <c r="M1155" s="48">
        <v>128945.5</v>
      </c>
      <c r="N1155" s="48">
        <v>45011.9</v>
      </c>
    </row>
    <row r="1156" spans="1:14" ht="10.050000000000001" customHeight="1">
      <c r="A1156" s="45" t="s">
        <v>80</v>
      </c>
      <c r="B1156" s="46">
        <v>2023</v>
      </c>
      <c r="C1156" s="45" t="s">
        <v>131</v>
      </c>
      <c r="D1156" s="47">
        <v>12</v>
      </c>
      <c r="E1156" s="48">
        <v>183975.6</v>
      </c>
      <c r="F1156" s="48">
        <v>66.099999999999994</v>
      </c>
      <c r="G1156" s="48">
        <v>184041.7</v>
      </c>
      <c r="H1156" s="48">
        <v>1396609.8</v>
      </c>
      <c r="I1156" s="48">
        <v>3172.3</v>
      </c>
      <c r="J1156" s="48">
        <v>1399782.1</v>
      </c>
      <c r="K1156" s="48">
        <v>752652.1</v>
      </c>
      <c r="L1156" s="48">
        <v>31180.9</v>
      </c>
      <c r="M1156" s="48">
        <v>120324.4</v>
      </c>
      <c r="N1156" s="48">
        <v>16637</v>
      </c>
    </row>
    <row r="1157" spans="1:14" ht="10.050000000000001" customHeight="1">
      <c r="A1157" s="45" t="s">
        <v>83</v>
      </c>
      <c r="B1157" s="46">
        <v>2023</v>
      </c>
      <c r="C1157" s="45" t="s">
        <v>131</v>
      </c>
      <c r="D1157" s="47">
        <v>12</v>
      </c>
      <c r="E1157" s="48">
        <v>935.6</v>
      </c>
      <c r="F1157" s="48">
        <v>279.60000000000002</v>
      </c>
      <c r="G1157" s="48">
        <v>1215.2</v>
      </c>
      <c r="H1157" s="48">
        <v>26538.2</v>
      </c>
      <c r="I1157" s="48">
        <v>655.4</v>
      </c>
      <c r="J1157" s="48">
        <v>27193.599999999999</v>
      </c>
      <c r="K1157" s="48">
        <v>586.6</v>
      </c>
      <c r="L1157" s="48">
        <v>86.5</v>
      </c>
      <c r="M1157" s="48">
        <v>193.8</v>
      </c>
      <c r="N1157" s="48">
        <v>2.2000000000000002</v>
      </c>
    </row>
    <row r="1158" spans="1:14" ht="10.050000000000001" customHeight="1">
      <c r="A1158" s="45" t="s">
        <v>82</v>
      </c>
      <c r="B1158" s="46">
        <v>2023</v>
      </c>
      <c r="C1158" s="45" t="s">
        <v>131</v>
      </c>
      <c r="D1158" s="47">
        <v>12</v>
      </c>
      <c r="E1158" s="48">
        <v>12648.7</v>
      </c>
      <c r="F1158" s="48">
        <v>753.1</v>
      </c>
      <c r="G1158" s="48">
        <v>13401.8</v>
      </c>
      <c r="H1158" s="48">
        <v>237719.4</v>
      </c>
      <c r="I1158" s="48">
        <v>10191.5</v>
      </c>
      <c r="J1158" s="48">
        <v>247910.9</v>
      </c>
      <c r="K1158" s="48">
        <v>23185.8</v>
      </c>
      <c r="L1158" s="48">
        <v>965</v>
      </c>
      <c r="M1158" s="48">
        <v>6166.5</v>
      </c>
      <c r="N1158" s="48">
        <v>1894.4</v>
      </c>
    </row>
    <row r="1159" spans="1:14" ht="10.050000000000001" customHeight="1">
      <c r="A1159" s="45" t="s">
        <v>81</v>
      </c>
      <c r="B1159" s="46">
        <v>2023</v>
      </c>
      <c r="C1159" s="45" t="s">
        <v>131</v>
      </c>
      <c r="D1159" s="47">
        <v>12</v>
      </c>
      <c r="E1159" s="48">
        <v>81813</v>
      </c>
      <c r="F1159" s="48">
        <v>52.1</v>
      </c>
      <c r="G1159" s="48">
        <v>81865.100000000006</v>
      </c>
      <c r="H1159" s="48">
        <v>1078770.3</v>
      </c>
      <c r="I1159" s="48">
        <v>3751.5</v>
      </c>
      <c r="J1159" s="48">
        <v>1082521.8</v>
      </c>
      <c r="K1159" s="48">
        <v>262765.2</v>
      </c>
      <c r="L1159" s="48">
        <v>6186.7</v>
      </c>
      <c r="M1159" s="48">
        <v>65908.800000000003</v>
      </c>
      <c r="N1159" s="48">
        <v>8258.2999999999993</v>
      </c>
    </row>
    <row r="1160" spans="1:14" ht="10.050000000000001" customHeight="1">
      <c r="A1160" s="45" t="s">
        <v>80</v>
      </c>
      <c r="B1160" s="46">
        <v>2024</v>
      </c>
      <c r="C1160" s="45" t="s">
        <v>131</v>
      </c>
      <c r="D1160" s="47">
        <v>1</v>
      </c>
      <c r="E1160" s="48">
        <v>176616.6</v>
      </c>
      <c r="F1160" s="48">
        <v>0</v>
      </c>
      <c r="G1160" s="48">
        <v>176616.6</v>
      </c>
      <c r="H1160" s="48">
        <v>1263979.6000000001</v>
      </c>
      <c r="I1160" s="48">
        <v>3162.4</v>
      </c>
      <c r="J1160" s="48">
        <v>1267142</v>
      </c>
      <c r="K1160" s="48">
        <v>635208.69999999995</v>
      </c>
      <c r="L1160" s="48">
        <v>17614.099999999999</v>
      </c>
      <c r="M1160" s="48">
        <v>120626.7</v>
      </c>
      <c r="N1160" s="48">
        <v>14448.7</v>
      </c>
    </row>
    <row r="1161" spans="1:14" ht="10.050000000000001" customHeight="1">
      <c r="A1161" s="45" t="s">
        <v>83</v>
      </c>
      <c r="B1161" s="46">
        <v>2024</v>
      </c>
      <c r="C1161" s="45" t="s">
        <v>131</v>
      </c>
      <c r="D1161" s="47">
        <v>1</v>
      </c>
      <c r="E1161" s="48">
        <v>313.8</v>
      </c>
      <c r="F1161" s="48">
        <v>0</v>
      </c>
      <c r="G1161" s="48">
        <v>313.8</v>
      </c>
      <c r="H1161" s="48">
        <v>23739.200000000001</v>
      </c>
      <c r="I1161" s="48">
        <v>528.6</v>
      </c>
      <c r="J1161" s="48">
        <v>24267.8</v>
      </c>
      <c r="K1161" s="48">
        <v>548.9</v>
      </c>
      <c r="L1161" s="48">
        <v>84.9</v>
      </c>
      <c r="M1161" s="48">
        <v>122.5</v>
      </c>
      <c r="N1161" s="48">
        <v>0</v>
      </c>
    </row>
    <row r="1162" spans="1:14" ht="10.050000000000001" customHeight="1">
      <c r="A1162" s="45" t="s">
        <v>82</v>
      </c>
      <c r="B1162" s="46">
        <v>2024</v>
      </c>
      <c r="C1162" s="45" t="s">
        <v>131</v>
      </c>
      <c r="D1162" s="47">
        <v>1</v>
      </c>
      <c r="E1162" s="48">
        <v>9060.1</v>
      </c>
      <c r="F1162" s="48">
        <v>330.2</v>
      </c>
      <c r="G1162" s="48">
        <v>9390.2999999999993</v>
      </c>
      <c r="H1162" s="48">
        <v>195721.60000000001</v>
      </c>
      <c r="I1162" s="48">
        <v>8705.5</v>
      </c>
      <c r="J1162" s="48">
        <v>204427.1</v>
      </c>
      <c r="K1162" s="48">
        <v>18703.400000000001</v>
      </c>
      <c r="L1162" s="48">
        <v>578.4</v>
      </c>
      <c r="M1162" s="48">
        <v>4188.8</v>
      </c>
      <c r="N1162" s="48">
        <v>945.8</v>
      </c>
    </row>
    <row r="1163" spans="1:14" ht="10.050000000000001" customHeight="1">
      <c r="A1163" s="45" t="s">
        <v>81</v>
      </c>
      <c r="B1163" s="46">
        <v>2024</v>
      </c>
      <c r="C1163" s="45" t="s">
        <v>131</v>
      </c>
      <c r="D1163" s="47">
        <v>1</v>
      </c>
      <c r="E1163" s="48">
        <v>79983</v>
      </c>
      <c r="F1163" s="48">
        <v>1182.4000000000001</v>
      </c>
      <c r="G1163" s="48">
        <v>81165.399999999994</v>
      </c>
      <c r="H1163" s="48">
        <v>981946.8</v>
      </c>
      <c r="I1163" s="48">
        <v>3105.8</v>
      </c>
      <c r="J1163" s="48">
        <v>985052.6</v>
      </c>
      <c r="K1163" s="48">
        <v>198122.6</v>
      </c>
      <c r="L1163" s="48">
        <v>4070.6</v>
      </c>
      <c r="M1163" s="48">
        <v>49756.3</v>
      </c>
      <c r="N1163" s="48">
        <v>18642.3</v>
      </c>
    </row>
    <row r="1164" spans="1:14" ht="10.050000000000001" customHeight="1">
      <c r="A1164" s="45" t="s">
        <v>80</v>
      </c>
      <c r="B1164" s="46">
        <v>2024</v>
      </c>
      <c r="C1164" s="45" t="s">
        <v>131</v>
      </c>
      <c r="D1164" s="47">
        <v>2</v>
      </c>
      <c r="E1164" s="48">
        <v>243801.7</v>
      </c>
      <c r="F1164" s="48">
        <v>0</v>
      </c>
      <c r="G1164" s="48">
        <v>243801.7</v>
      </c>
      <c r="H1164" s="48">
        <v>1087033.5</v>
      </c>
      <c r="I1164" s="48">
        <v>3158.2</v>
      </c>
      <c r="J1164" s="48">
        <v>1090191.7</v>
      </c>
      <c r="K1164" s="48">
        <v>489101.1</v>
      </c>
      <c r="L1164" s="48">
        <v>28880.5</v>
      </c>
      <c r="M1164" s="48">
        <v>162729.20000000001</v>
      </c>
      <c r="N1164" s="48">
        <v>12211.7</v>
      </c>
    </row>
    <row r="1165" spans="1:14" ht="10.050000000000001" customHeight="1">
      <c r="A1165" s="45" t="s">
        <v>83</v>
      </c>
      <c r="B1165" s="46">
        <v>2024</v>
      </c>
      <c r="C1165" s="45" t="s">
        <v>131</v>
      </c>
      <c r="D1165" s="47">
        <v>2</v>
      </c>
      <c r="E1165" s="48">
        <v>319.89999999999998</v>
      </c>
      <c r="F1165" s="48">
        <v>0</v>
      </c>
      <c r="G1165" s="48">
        <v>319.89999999999998</v>
      </c>
      <c r="H1165" s="48">
        <v>20792.5</v>
      </c>
      <c r="I1165" s="48">
        <v>227.2</v>
      </c>
      <c r="J1165" s="48">
        <v>21019.7</v>
      </c>
      <c r="K1165" s="48">
        <v>441.6</v>
      </c>
      <c r="L1165" s="48">
        <v>0</v>
      </c>
      <c r="M1165" s="48">
        <v>97.1</v>
      </c>
      <c r="N1165" s="48">
        <v>10.1</v>
      </c>
    </row>
    <row r="1166" spans="1:14" ht="10.050000000000001" customHeight="1">
      <c r="A1166" s="45" t="s">
        <v>82</v>
      </c>
      <c r="B1166" s="46">
        <v>2024</v>
      </c>
      <c r="C1166" s="45" t="s">
        <v>131</v>
      </c>
      <c r="D1166" s="47">
        <v>2</v>
      </c>
      <c r="E1166" s="48">
        <v>6668.8</v>
      </c>
      <c r="F1166" s="48">
        <v>105.9</v>
      </c>
      <c r="G1166" s="48">
        <v>6774.7</v>
      </c>
      <c r="H1166" s="48">
        <v>171516</v>
      </c>
      <c r="I1166" s="48">
        <v>8198.7000000000007</v>
      </c>
      <c r="J1166" s="48">
        <v>179714.7</v>
      </c>
      <c r="K1166" s="48">
        <v>14106.5</v>
      </c>
      <c r="L1166" s="48">
        <v>460.9</v>
      </c>
      <c r="M1166" s="48">
        <v>2863</v>
      </c>
      <c r="N1166" s="48">
        <v>2197.1</v>
      </c>
    </row>
    <row r="1167" spans="1:14" ht="10.050000000000001" customHeight="1">
      <c r="A1167" s="45" t="s">
        <v>81</v>
      </c>
      <c r="B1167" s="46">
        <v>2024</v>
      </c>
      <c r="C1167" s="45" t="s">
        <v>131</v>
      </c>
      <c r="D1167" s="47">
        <v>2</v>
      </c>
      <c r="E1167" s="48">
        <v>57918.2</v>
      </c>
      <c r="F1167" s="48">
        <v>426.3</v>
      </c>
      <c r="G1167" s="48">
        <v>58344.5</v>
      </c>
      <c r="H1167" s="48">
        <v>849830.7</v>
      </c>
      <c r="I1167" s="48">
        <v>2539.1</v>
      </c>
      <c r="J1167" s="48">
        <v>852369.8</v>
      </c>
      <c r="K1167" s="48">
        <v>151274.20000000001</v>
      </c>
      <c r="L1167" s="48">
        <v>3188.3</v>
      </c>
      <c r="M1167" s="48">
        <v>44518</v>
      </c>
      <c r="N1167" s="48">
        <v>4725</v>
      </c>
    </row>
    <row r="1168" spans="1:14" ht="10.050000000000001" customHeight="1">
      <c r="A1168" s="45" t="s">
        <v>80</v>
      </c>
      <c r="B1168" s="46">
        <v>2024</v>
      </c>
      <c r="C1168" s="45" t="s">
        <v>131</v>
      </c>
      <c r="D1168" s="47">
        <v>3</v>
      </c>
      <c r="E1168" s="48">
        <v>280262</v>
      </c>
      <c r="F1168" s="48">
        <v>0</v>
      </c>
      <c r="G1168" s="48">
        <v>280262</v>
      </c>
      <c r="H1168" s="48">
        <v>944859.10000000102</v>
      </c>
      <c r="I1168" s="48">
        <v>3058.7</v>
      </c>
      <c r="J1168" s="48">
        <v>947917.80000000098</v>
      </c>
      <c r="K1168" s="48">
        <v>312477.90000000002</v>
      </c>
      <c r="L1168" s="48">
        <v>26863</v>
      </c>
      <c r="M1168" s="48">
        <v>175266.1</v>
      </c>
      <c r="N1168" s="48">
        <v>28120</v>
      </c>
    </row>
    <row r="1169" spans="1:14" ht="10.050000000000001" customHeight="1">
      <c r="A1169" s="45" t="s">
        <v>83</v>
      </c>
      <c r="B1169" s="46">
        <v>2024</v>
      </c>
      <c r="C1169" s="45" t="s">
        <v>131</v>
      </c>
      <c r="D1169" s="47">
        <v>3</v>
      </c>
      <c r="E1169" s="48">
        <v>275.3</v>
      </c>
      <c r="F1169" s="48">
        <v>77</v>
      </c>
      <c r="G1169" s="48">
        <v>352.3</v>
      </c>
      <c r="H1169" s="48">
        <v>17763.7</v>
      </c>
      <c r="I1169" s="48">
        <v>261.89999999999998</v>
      </c>
      <c r="J1169" s="48">
        <v>18025.599999999999</v>
      </c>
      <c r="K1169" s="48">
        <v>353.3</v>
      </c>
      <c r="L1169" s="48">
        <v>52.3</v>
      </c>
      <c r="M1169" s="48">
        <v>113.1</v>
      </c>
      <c r="N1169" s="48">
        <v>27.5</v>
      </c>
    </row>
    <row r="1170" spans="1:14" ht="10.050000000000001" customHeight="1">
      <c r="A1170" s="45" t="s">
        <v>82</v>
      </c>
      <c r="B1170" s="46">
        <v>2024</v>
      </c>
      <c r="C1170" s="45" t="s">
        <v>131</v>
      </c>
      <c r="D1170" s="47">
        <v>3</v>
      </c>
      <c r="E1170" s="48">
        <v>5675.5</v>
      </c>
      <c r="F1170" s="48">
        <v>0</v>
      </c>
      <c r="G1170" s="48">
        <v>5675.5</v>
      </c>
      <c r="H1170" s="48">
        <v>148073</v>
      </c>
      <c r="I1170" s="48">
        <v>6826.1</v>
      </c>
      <c r="J1170" s="48">
        <v>154899.1</v>
      </c>
      <c r="K1170" s="48">
        <v>10634</v>
      </c>
      <c r="L1170" s="48">
        <v>300.89999999999998</v>
      </c>
      <c r="M1170" s="48">
        <v>2233.4</v>
      </c>
      <c r="N1170" s="48">
        <v>1539.8</v>
      </c>
    </row>
    <row r="1171" spans="1:14" ht="10.050000000000001" customHeight="1">
      <c r="A1171" s="45" t="s">
        <v>81</v>
      </c>
      <c r="B1171" s="46">
        <v>2024</v>
      </c>
      <c r="C1171" s="45" t="s">
        <v>131</v>
      </c>
      <c r="D1171" s="47">
        <v>3</v>
      </c>
      <c r="E1171" s="48">
        <v>50231.9</v>
      </c>
      <c r="F1171" s="48">
        <v>913.3</v>
      </c>
      <c r="G1171" s="48">
        <v>51145.2</v>
      </c>
      <c r="H1171" s="48">
        <v>735455.5</v>
      </c>
      <c r="I1171" s="48">
        <v>2477.3000000000002</v>
      </c>
      <c r="J1171" s="48">
        <v>737932.80000000005</v>
      </c>
      <c r="K1171" s="48">
        <v>111097.7</v>
      </c>
      <c r="L1171" s="48">
        <v>1994.2</v>
      </c>
      <c r="M1171" s="48">
        <v>38493.199999999997</v>
      </c>
      <c r="N1171" s="48">
        <v>3678.1</v>
      </c>
    </row>
    <row r="1172" spans="1:14" ht="10.050000000000001" customHeight="1">
      <c r="A1172" s="45" t="s">
        <v>80</v>
      </c>
      <c r="B1172" s="46">
        <v>2024</v>
      </c>
      <c r="C1172" s="45" t="s">
        <v>131</v>
      </c>
      <c r="D1172" s="47">
        <v>4</v>
      </c>
      <c r="E1172" s="48">
        <v>262693.90000000002</v>
      </c>
      <c r="F1172" s="48">
        <v>0</v>
      </c>
      <c r="G1172" s="48">
        <v>262693.90000000002</v>
      </c>
      <c r="H1172" s="48">
        <v>775098.09999999905</v>
      </c>
      <c r="I1172" s="48">
        <v>2936.6</v>
      </c>
      <c r="J1172" s="48">
        <v>778034.69999999902</v>
      </c>
      <c r="K1172" s="48">
        <v>158243.1</v>
      </c>
      <c r="L1172" s="48">
        <v>25317.1</v>
      </c>
      <c r="M1172" s="48">
        <v>161971.70000000001</v>
      </c>
      <c r="N1172" s="48">
        <v>17714.2</v>
      </c>
    </row>
    <row r="1173" spans="1:14" ht="10.050000000000001" customHeight="1">
      <c r="A1173" s="45" t="s">
        <v>83</v>
      </c>
      <c r="B1173" s="46">
        <v>2024</v>
      </c>
      <c r="C1173" s="45" t="s">
        <v>131</v>
      </c>
      <c r="D1173" s="47">
        <v>4</v>
      </c>
      <c r="E1173" s="48">
        <v>281.10000000000002</v>
      </c>
      <c r="F1173" s="48">
        <v>270.89999999999998</v>
      </c>
      <c r="G1173" s="48">
        <v>552</v>
      </c>
      <c r="H1173" s="48">
        <v>14711.1</v>
      </c>
      <c r="I1173" s="48">
        <v>526.29999999999995</v>
      </c>
      <c r="J1173" s="48">
        <v>15237.4</v>
      </c>
      <c r="K1173" s="48">
        <v>250.3</v>
      </c>
      <c r="L1173" s="48">
        <v>26.7</v>
      </c>
      <c r="M1173" s="48">
        <v>129.69999999999999</v>
      </c>
      <c r="N1173" s="48">
        <v>0</v>
      </c>
    </row>
    <row r="1174" spans="1:14" ht="10.050000000000001" customHeight="1">
      <c r="A1174" s="45" t="s">
        <v>82</v>
      </c>
      <c r="B1174" s="46">
        <v>2024</v>
      </c>
      <c r="C1174" s="45" t="s">
        <v>131</v>
      </c>
      <c r="D1174" s="47">
        <v>4</v>
      </c>
      <c r="E1174" s="48">
        <v>6697.3</v>
      </c>
      <c r="F1174" s="48">
        <v>69</v>
      </c>
      <c r="G1174" s="48">
        <v>6766.3</v>
      </c>
      <c r="H1174" s="48">
        <v>123969.7</v>
      </c>
      <c r="I1174" s="48">
        <v>5619.1</v>
      </c>
      <c r="J1174" s="48">
        <v>129588.8</v>
      </c>
      <c r="K1174" s="48">
        <v>6837.2</v>
      </c>
      <c r="L1174" s="48">
        <v>896</v>
      </c>
      <c r="M1174" s="48">
        <v>3272.6</v>
      </c>
      <c r="N1174" s="48">
        <v>1329.2</v>
      </c>
    </row>
    <row r="1175" spans="1:14" ht="10.050000000000001" customHeight="1">
      <c r="A1175" s="45" t="s">
        <v>81</v>
      </c>
      <c r="B1175" s="46">
        <v>2024</v>
      </c>
      <c r="C1175" s="45" t="s">
        <v>131</v>
      </c>
      <c r="D1175" s="47">
        <v>4</v>
      </c>
      <c r="E1175" s="48">
        <v>48444.800000000003</v>
      </c>
      <c r="F1175" s="48">
        <v>615.9</v>
      </c>
      <c r="G1175" s="48">
        <v>49060.7</v>
      </c>
      <c r="H1175" s="48">
        <v>598627.1</v>
      </c>
      <c r="I1175" s="48">
        <v>2430.9</v>
      </c>
      <c r="J1175" s="48">
        <v>601058</v>
      </c>
      <c r="K1175" s="48">
        <v>73659.7</v>
      </c>
      <c r="L1175" s="48">
        <v>3256.1</v>
      </c>
      <c r="M1175" s="48">
        <v>36773.599999999999</v>
      </c>
      <c r="N1175" s="48">
        <v>3963.8</v>
      </c>
    </row>
    <row r="1176" spans="1:14" ht="10.050000000000001" customHeight="1">
      <c r="A1176" s="45" t="s">
        <v>80</v>
      </c>
      <c r="B1176" s="46">
        <v>2024</v>
      </c>
      <c r="C1176" s="45" t="s">
        <v>131</v>
      </c>
      <c r="D1176" s="47">
        <v>5</v>
      </c>
      <c r="E1176" s="48">
        <v>185640.7</v>
      </c>
      <c r="F1176" s="48">
        <v>0</v>
      </c>
      <c r="G1176" s="48">
        <v>185640.7</v>
      </c>
      <c r="H1176" s="48">
        <v>547643.69999999995</v>
      </c>
      <c r="I1176" s="48">
        <v>2470.3000000000002</v>
      </c>
      <c r="J1176" s="48">
        <v>550114</v>
      </c>
      <c r="K1176" s="48">
        <v>59236.5</v>
      </c>
      <c r="L1176" s="48">
        <v>24837.1</v>
      </c>
      <c r="M1176" s="48">
        <v>115240.2</v>
      </c>
      <c r="N1176" s="48">
        <v>9621</v>
      </c>
    </row>
    <row r="1177" spans="1:14" ht="10.050000000000001" customHeight="1">
      <c r="A1177" s="45" t="s">
        <v>83</v>
      </c>
      <c r="B1177" s="46">
        <v>2024</v>
      </c>
      <c r="C1177" s="45" t="s">
        <v>131</v>
      </c>
      <c r="D1177" s="47">
        <v>5</v>
      </c>
      <c r="E1177" s="48">
        <v>173.1</v>
      </c>
      <c r="F1177" s="48">
        <v>10.1</v>
      </c>
      <c r="G1177" s="48">
        <v>183.2</v>
      </c>
      <c r="H1177" s="48">
        <v>11462.8</v>
      </c>
      <c r="I1177" s="48">
        <v>524.29999999999995</v>
      </c>
      <c r="J1177" s="48">
        <v>11987.1</v>
      </c>
      <c r="K1177" s="48">
        <v>171.2</v>
      </c>
      <c r="L1177" s="48">
        <v>0</v>
      </c>
      <c r="M1177" s="48">
        <v>69.599999999999994</v>
      </c>
      <c r="N1177" s="48">
        <v>9.5</v>
      </c>
    </row>
    <row r="1178" spans="1:14" ht="10.050000000000001" customHeight="1">
      <c r="A1178" s="45" t="s">
        <v>82</v>
      </c>
      <c r="B1178" s="46">
        <v>2024</v>
      </c>
      <c r="C1178" s="45" t="s">
        <v>131</v>
      </c>
      <c r="D1178" s="47">
        <v>5</v>
      </c>
      <c r="E1178" s="48">
        <v>4024</v>
      </c>
      <c r="F1178" s="48">
        <v>1828.9</v>
      </c>
      <c r="G1178" s="48">
        <v>5852.9</v>
      </c>
      <c r="H1178" s="48">
        <v>105593.7</v>
      </c>
      <c r="I1178" s="48">
        <v>5524.4</v>
      </c>
      <c r="J1178" s="48">
        <v>111118.1</v>
      </c>
      <c r="K1178" s="48">
        <v>4971.8999999999996</v>
      </c>
      <c r="L1178" s="48">
        <v>1118.0999999999999</v>
      </c>
      <c r="M1178" s="48">
        <v>1904</v>
      </c>
      <c r="N1178" s="48">
        <v>1173.5</v>
      </c>
    </row>
    <row r="1179" spans="1:14" ht="10.050000000000001" customHeight="1">
      <c r="A1179" s="45" t="s">
        <v>81</v>
      </c>
      <c r="B1179" s="46">
        <v>2024</v>
      </c>
      <c r="C1179" s="45" t="s">
        <v>131</v>
      </c>
      <c r="D1179" s="47">
        <v>5</v>
      </c>
      <c r="E1179" s="48">
        <v>53485.9</v>
      </c>
      <c r="F1179" s="48">
        <v>0</v>
      </c>
      <c r="G1179" s="48">
        <v>53485.9</v>
      </c>
      <c r="H1179" s="48">
        <v>442077.7</v>
      </c>
      <c r="I1179" s="48">
        <v>2117.6999999999998</v>
      </c>
      <c r="J1179" s="48">
        <v>444195.4</v>
      </c>
      <c r="K1179" s="48">
        <v>30182.7</v>
      </c>
      <c r="L1179" s="48">
        <v>2624</v>
      </c>
      <c r="M1179" s="48">
        <v>41852.300000000003</v>
      </c>
      <c r="N1179" s="48">
        <v>4157.3</v>
      </c>
    </row>
    <row r="1180" spans="1:14" ht="10.050000000000001" customHeight="1">
      <c r="A1180" s="45" t="s">
        <v>80</v>
      </c>
      <c r="B1180" s="46">
        <v>2024</v>
      </c>
      <c r="C1180" s="45" t="s">
        <v>131</v>
      </c>
      <c r="D1180" s="47">
        <v>6</v>
      </c>
      <c r="E1180" s="48">
        <v>92939.7</v>
      </c>
      <c r="F1180" s="48">
        <v>0</v>
      </c>
      <c r="G1180" s="48">
        <v>92939.7</v>
      </c>
      <c r="H1180" s="48">
        <v>222078.1</v>
      </c>
      <c r="I1180" s="48">
        <v>2590</v>
      </c>
      <c r="J1180" s="48">
        <v>224668.1</v>
      </c>
      <c r="K1180" s="48">
        <v>29081.5</v>
      </c>
      <c r="L1180" s="48">
        <v>17329.2</v>
      </c>
      <c r="M1180" s="48">
        <v>36897.9</v>
      </c>
      <c r="N1180" s="48">
        <v>11168.6</v>
      </c>
    </row>
    <row r="1181" spans="1:14" ht="10.050000000000001" customHeight="1">
      <c r="A1181" s="45" t="s">
        <v>83</v>
      </c>
      <c r="B1181" s="46">
        <v>2024</v>
      </c>
      <c r="C1181" s="45" t="s">
        <v>131</v>
      </c>
      <c r="D1181" s="47">
        <v>6</v>
      </c>
      <c r="E1181" s="48">
        <v>158.80000000000001</v>
      </c>
      <c r="F1181" s="48">
        <v>0</v>
      </c>
      <c r="G1181" s="48">
        <v>158.80000000000001</v>
      </c>
      <c r="H1181" s="48">
        <v>6933</v>
      </c>
      <c r="I1181" s="48">
        <v>524.1</v>
      </c>
      <c r="J1181" s="48">
        <v>7457.1</v>
      </c>
      <c r="K1181" s="48">
        <v>149</v>
      </c>
      <c r="L1181" s="48">
        <v>0</v>
      </c>
      <c r="M1181" s="48">
        <v>0</v>
      </c>
      <c r="N1181" s="48">
        <v>52.9</v>
      </c>
    </row>
    <row r="1182" spans="1:14" ht="10.050000000000001" customHeight="1">
      <c r="A1182" s="45" t="s">
        <v>82</v>
      </c>
      <c r="B1182" s="46">
        <v>2024</v>
      </c>
      <c r="C1182" s="45" t="s">
        <v>131</v>
      </c>
      <c r="D1182" s="47">
        <v>6</v>
      </c>
      <c r="E1182" s="48">
        <v>5963.5</v>
      </c>
      <c r="F1182" s="48">
        <v>55.8</v>
      </c>
      <c r="G1182" s="48">
        <v>6019.3</v>
      </c>
      <c r="H1182" s="48">
        <v>61775.8</v>
      </c>
      <c r="I1182" s="48">
        <v>3962.4</v>
      </c>
      <c r="J1182" s="48">
        <v>65738.2</v>
      </c>
      <c r="K1182" s="48">
        <v>4061.6</v>
      </c>
      <c r="L1182" s="48">
        <v>918.8</v>
      </c>
      <c r="M1182" s="48">
        <v>1160.9000000000001</v>
      </c>
      <c r="N1182" s="48">
        <v>576.29999999999995</v>
      </c>
    </row>
    <row r="1183" spans="1:14" ht="10.050000000000001" customHeight="1">
      <c r="A1183" s="45" t="s">
        <v>81</v>
      </c>
      <c r="B1183" s="46">
        <v>2024</v>
      </c>
      <c r="C1183" s="45" t="s">
        <v>131</v>
      </c>
      <c r="D1183" s="47">
        <v>6</v>
      </c>
      <c r="E1183" s="48">
        <v>31592.799999999999</v>
      </c>
      <c r="F1183" s="48">
        <v>8.4</v>
      </c>
      <c r="G1183" s="48">
        <v>31601.200000000001</v>
      </c>
      <c r="H1183" s="48">
        <v>216275.5</v>
      </c>
      <c r="I1183" s="48">
        <v>1847.6</v>
      </c>
      <c r="J1183" s="48">
        <v>218123.1</v>
      </c>
      <c r="K1183" s="48">
        <v>14610.3</v>
      </c>
      <c r="L1183" s="48">
        <v>5433.3</v>
      </c>
      <c r="M1183" s="48">
        <v>13182.9</v>
      </c>
      <c r="N1183" s="48">
        <v>8019.2</v>
      </c>
    </row>
    <row r="1184" spans="1:14" ht="10.050000000000001" customHeight="1">
      <c r="A1184" s="45" t="s">
        <v>80</v>
      </c>
      <c r="B1184" s="46">
        <v>2024</v>
      </c>
      <c r="C1184" s="45" t="s">
        <v>132</v>
      </c>
      <c r="D1184" s="47">
        <v>7</v>
      </c>
      <c r="E1184" s="48">
        <v>1697843.5</v>
      </c>
      <c r="F1184" s="48">
        <v>11772</v>
      </c>
      <c r="G1184" s="48">
        <v>1709615.5</v>
      </c>
      <c r="H1184" s="48">
        <v>1588578.8</v>
      </c>
      <c r="I1184" s="48">
        <v>7571.4</v>
      </c>
      <c r="J1184" s="48">
        <v>1596150.2</v>
      </c>
      <c r="K1184" s="48">
        <v>1233481</v>
      </c>
      <c r="L1184" s="48">
        <v>1380056.8</v>
      </c>
      <c r="M1184" s="48">
        <v>166655</v>
      </c>
      <c r="N1184" s="48">
        <v>7218</v>
      </c>
    </row>
    <row r="1185" spans="1:14" ht="10.050000000000001" customHeight="1">
      <c r="A1185" s="45" t="s">
        <v>83</v>
      </c>
      <c r="B1185" s="46">
        <v>2024</v>
      </c>
      <c r="C1185" s="45" t="s">
        <v>132</v>
      </c>
      <c r="D1185" s="47">
        <v>7</v>
      </c>
      <c r="E1185" s="48">
        <v>7184.2</v>
      </c>
      <c r="F1185" s="48">
        <v>150</v>
      </c>
      <c r="G1185" s="48">
        <v>7334.2</v>
      </c>
      <c r="H1185" s="48">
        <v>12336.6</v>
      </c>
      <c r="I1185" s="48">
        <v>453.6</v>
      </c>
      <c r="J1185" s="48">
        <v>12790.2</v>
      </c>
      <c r="K1185" s="48">
        <v>2523.6999999999998</v>
      </c>
      <c r="L1185" s="48">
        <v>2994.2</v>
      </c>
      <c r="M1185" s="48">
        <v>619.5</v>
      </c>
      <c r="N1185" s="48">
        <v>0</v>
      </c>
    </row>
    <row r="1186" spans="1:14" ht="10.050000000000001" customHeight="1">
      <c r="A1186" s="45" t="s">
        <v>82</v>
      </c>
      <c r="B1186" s="46">
        <v>2024</v>
      </c>
      <c r="C1186" s="45" t="s">
        <v>132</v>
      </c>
      <c r="D1186" s="47">
        <v>7</v>
      </c>
      <c r="E1186" s="48">
        <v>1487.4</v>
      </c>
      <c r="F1186" s="48">
        <v>0</v>
      </c>
      <c r="G1186" s="48">
        <v>1487.4</v>
      </c>
      <c r="H1186" s="48">
        <v>49021.9</v>
      </c>
      <c r="I1186" s="48">
        <v>3941.5</v>
      </c>
      <c r="J1186" s="48">
        <v>52963.4</v>
      </c>
      <c r="K1186" s="48">
        <v>4110.3</v>
      </c>
      <c r="L1186" s="48">
        <v>572.5</v>
      </c>
      <c r="M1186" s="48">
        <v>268.3</v>
      </c>
      <c r="N1186" s="48">
        <v>341.6</v>
      </c>
    </row>
    <row r="1187" spans="1:14" ht="10.050000000000001" customHeight="1">
      <c r="A1187" s="45" t="s">
        <v>81</v>
      </c>
      <c r="B1187" s="46">
        <v>2024</v>
      </c>
      <c r="C1187" s="45" t="s">
        <v>132</v>
      </c>
      <c r="D1187" s="47">
        <v>7</v>
      </c>
      <c r="E1187" s="48">
        <v>6888.1</v>
      </c>
      <c r="F1187" s="48">
        <v>0</v>
      </c>
      <c r="G1187" s="48">
        <v>6888.1</v>
      </c>
      <c r="H1187" s="48">
        <v>130806.8</v>
      </c>
      <c r="I1187" s="48">
        <v>1801.6</v>
      </c>
      <c r="J1187" s="48">
        <v>132608.4</v>
      </c>
      <c r="K1187" s="48">
        <v>11063.6</v>
      </c>
      <c r="L1187" s="48">
        <v>996.8</v>
      </c>
      <c r="M1187" s="48">
        <v>2266.9</v>
      </c>
      <c r="N1187" s="48">
        <v>2290.6</v>
      </c>
    </row>
    <row r="1188" spans="1:14" ht="10.050000000000001" customHeight="1">
      <c r="A1188" s="45" t="s">
        <v>80</v>
      </c>
      <c r="B1188" s="46">
        <v>2024</v>
      </c>
      <c r="C1188" s="45" t="s">
        <v>132</v>
      </c>
      <c r="D1188" s="47">
        <v>8</v>
      </c>
      <c r="E1188" s="48">
        <v>383281.9</v>
      </c>
      <c r="F1188" s="48">
        <v>279.39999999999998</v>
      </c>
      <c r="G1188" s="48">
        <v>383561.3</v>
      </c>
      <c r="H1188" s="48">
        <v>1638214.3</v>
      </c>
      <c r="I1188" s="48">
        <v>7341.3</v>
      </c>
      <c r="J1188" s="48">
        <v>1645555.6</v>
      </c>
      <c r="K1188" s="48">
        <v>1007569.1</v>
      </c>
      <c r="L1188" s="48">
        <v>79843.100000000006</v>
      </c>
      <c r="M1188" s="48">
        <v>268362.59999999998</v>
      </c>
      <c r="N1188" s="48">
        <v>37368.699999999997</v>
      </c>
    </row>
    <row r="1189" spans="1:14" ht="10.050000000000001" customHeight="1">
      <c r="A1189" s="45" t="s">
        <v>83</v>
      </c>
      <c r="B1189" s="46">
        <v>2024</v>
      </c>
      <c r="C1189" s="45" t="s">
        <v>132</v>
      </c>
      <c r="D1189" s="47">
        <v>8</v>
      </c>
      <c r="E1189" s="48">
        <v>7695.8</v>
      </c>
      <c r="F1189" s="48">
        <v>48.3</v>
      </c>
      <c r="G1189" s="48">
        <v>7744.1</v>
      </c>
      <c r="H1189" s="48">
        <v>18059.099999999999</v>
      </c>
      <c r="I1189" s="48">
        <v>372.8</v>
      </c>
      <c r="J1189" s="48">
        <v>18431.900000000001</v>
      </c>
      <c r="K1189" s="48">
        <v>1335.3</v>
      </c>
      <c r="L1189" s="48">
        <v>1450.4</v>
      </c>
      <c r="M1189" s="48">
        <v>2591.6999999999998</v>
      </c>
      <c r="N1189" s="48">
        <v>16.5</v>
      </c>
    </row>
    <row r="1190" spans="1:14" ht="10.050000000000001" customHeight="1">
      <c r="A1190" s="45" t="s">
        <v>82</v>
      </c>
      <c r="B1190" s="46">
        <v>2024</v>
      </c>
      <c r="C1190" s="45" t="s">
        <v>132</v>
      </c>
      <c r="D1190" s="47">
        <v>8</v>
      </c>
      <c r="E1190" s="48">
        <v>741.5</v>
      </c>
      <c r="F1190" s="48">
        <v>0</v>
      </c>
      <c r="G1190" s="48">
        <v>741.5</v>
      </c>
      <c r="H1190" s="48">
        <v>34468</v>
      </c>
      <c r="I1190" s="48">
        <v>282.8</v>
      </c>
      <c r="J1190" s="48">
        <v>34750.800000000003</v>
      </c>
      <c r="K1190" s="48">
        <v>3475.6</v>
      </c>
      <c r="L1190" s="48">
        <v>86.4</v>
      </c>
      <c r="M1190" s="48">
        <v>107.7</v>
      </c>
      <c r="N1190" s="48">
        <v>613.1</v>
      </c>
    </row>
    <row r="1191" spans="1:14" ht="10.050000000000001" customHeight="1">
      <c r="A1191" s="45" t="s">
        <v>81</v>
      </c>
      <c r="B1191" s="46">
        <v>2024</v>
      </c>
      <c r="C1191" s="45" t="s">
        <v>132</v>
      </c>
      <c r="D1191" s="47">
        <v>8</v>
      </c>
      <c r="E1191" s="48">
        <v>7643.1</v>
      </c>
      <c r="F1191" s="48">
        <v>6.3</v>
      </c>
      <c r="G1191" s="48">
        <v>7649.4</v>
      </c>
      <c r="H1191" s="48">
        <v>72187.899999999994</v>
      </c>
      <c r="I1191" s="48">
        <v>1804.4</v>
      </c>
      <c r="J1191" s="48">
        <v>73992.3</v>
      </c>
      <c r="K1191" s="48">
        <v>10284.799999999999</v>
      </c>
      <c r="L1191" s="48">
        <v>1293.0999999999999</v>
      </c>
      <c r="M1191" s="48">
        <v>1286.0999999999999</v>
      </c>
      <c r="N1191" s="48">
        <v>771.8</v>
      </c>
    </row>
    <row r="1192" spans="1:14" ht="10.050000000000001" customHeight="1">
      <c r="A1192" s="45" t="s">
        <v>80</v>
      </c>
      <c r="B1192" s="46">
        <v>2024</v>
      </c>
      <c r="C1192" s="45" t="s">
        <v>132</v>
      </c>
      <c r="D1192" s="47">
        <v>9</v>
      </c>
      <c r="E1192" s="48">
        <v>303727.2</v>
      </c>
      <c r="F1192" s="48">
        <v>19</v>
      </c>
      <c r="G1192" s="48">
        <v>303746.2</v>
      </c>
      <c r="H1192" s="48">
        <v>1675990.7</v>
      </c>
      <c r="I1192" s="48">
        <v>7352.5</v>
      </c>
      <c r="J1192" s="48">
        <v>1683343.2</v>
      </c>
      <c r="K1192" s="48">
        <v>792857.2</v>
      </c>
      <c r="L1192" s="48">
        <v>79712.600000000006</v>
      </c>
      <c r="M1192" s="48">
        <v>205179.7</v>
      </c>
      <c r="N1192" s="48">
        <v>89293.3</v>
      </c>
    </row>
    <row r="1193" spans="1:14" ht="10.050000000000001" customHeight="1">
      <c r="A1193" s="45" t="s">
        <v>83</v>
      </c>
      <c r="B1193" s="46">
        <v>2024</v>
      </c>
      <c r="C1193" s="45" t="s">
        <v>132</v>
      </c>
      <c r="D1193" s="47">
        <v>9</v>
      </c>
      <c r="E1193" s="48">
        <v>1865</v>
      </c>
      <c r="F1193" s="48">
        <v>185.4</v>
      </c>
      <c r="G1193" s="48">
        <v>2050.4</v>
      </c>
      <c r="H1193" s="48">
        <v>17926.900000000001</v>
      </c>
      <c r="I1193" s="48">
        <v>222.5</v>
      </c>
      <c r="J1193" s="48">
        <v>18149.400000000001</v>
      </c>
      <c r="K1193" s="48">
        <v>888.6</v>
      </c>
      <c r="L1193" s="48">
        <v>163.5</v>
      </c>
      <c r="M1193" s="48">
        <v>545.70000000000005</v>
      </c>
      <c r="N1193" s="48">
        <v>82.6</v>
      </c>
    </row>
    <row r="1194" spans="1:14" ht="10.050000000000001" customHeight="1">
      <c r="A1194" s="45" t="s">
        <v>82</v>
      </c>
      <c r="B1194" s="46">
        <v>2024</v>
      </c>
      <c r="C1194" s="45" t="s">
        <v>132</v>
      </c>
      <c r="D1194" s="47">
        <v>9</v>
      </c>
      <c r="E1194" s="48">
        <v>34452</v>
      </c>
      <c r="F1194" s="48">
        <v>2462.5</v>
      </c>
      <c r="G1194" s="48">
        <v>36914.5</v>
      </c>
      <c r="H1194" s="48">
        <v>52756.800000000003</v>
      </c>
      <c r="I1194" s="48">
        <v>2622.8</v>
      </c>
      <c r="J1194" s="48">
        <v>55379.6</v>
      </c>
      <c r="K1194" s="48">
        <v>10060.6</v>
      </c>
      <c r="L1194" s="48">
        <v>10156.700000000001</v>
      </c>
      <c r="M1194" s="48">
        <v>1529.4</v>
      </c>
      <c r="N1194" s="48">
        <v>1952.8</v>
      </c>
    </row>
    <row r="1195" spans="1:14" ht="10.050000000000001" customHeight="1">
      <c r="A1195" s="45" t="s">
        <v>81</v>
      </c>
      <c r="B1195" s="46">
        <v>2024</v>
      </c>
      <c r="C1195" s="45" t="s">
        <v>132</v>
      </c>
      <c r="D1195" s="47">
        <v>9</v>
      </c>
      <c r="E1195" s="48">
        <v>199977.9</v>
      </c>
      <c r="F1195" s="48">
        <v>2700.9</v>
      </c>
      <c r="G1195" s="48">
        <v>202678.8</v>
      </c>
      <c r="H1195" s="48">
        <v>201693.1</v>
      </c>
      <c r="I1195" s="48">
        <v>3963.6</v>
      </c>
      <c r="J1195" s="48">
        <v>205656.7</v>
      </c>
      <c r="K1195" s="48">
        <v>74283.899999999994</v>
      </c>
      <c r="L1195" s="48">
        <v>78386.5</v>
      </c>
      <c r="M1195" s="48">
        <v>13452.2</v>
      </c>
      <c r="N1195" s="48">
        <v>985.8</v>
      </c>
    </row>
    <row r="1196" spans="1:14" ht="10.050000000000001" customHeight="1">
      <c r="A1196" s="45" t="s">
        <v>80</v>
      </c>
      <c r="B1196" s="46">
        <v>2024</v>
      </c>
      <c r="C1196" s="45" t="s">
        <v>132</v>
      </c>
      <c r="D1196" s="47">
        <v>10</v>
      </c>
      <c r="E1196" s="48">
        <v>295126.90000000002</v>
      </c>
      <c r="F1196" s="48">
        <v>1148.2</v>
      </c>
      <c r="G1196" s="48">
        <v>296275.09999999998</v>
      </c>
      <c r="H1196" s="48">
        <v>1627880.7</v>
      </c>
      <c r="I1196" s="48">
        <v>5123.3999999999996</v>
      </c>
      <c r="J1196" s="48">
        <v>1633004.1</v>
      </c>
      <c r="K1196" s="48">
        <v>578614.9</v>
      </c>
      <c r="L1196" s="48">
        <v>21133.3</v>
      </c>
      <c r="M1196" s="48">
        <v>209213.3</v>
      </c>
      <c r="N1196" s="48">
        <v>26200.2</v>
      </c>
    </row>
    <row r="1197" spans="1:14" ht="10.050000000000001" customHeight="1">
      <c r="A1197" s="45" t="s">
        <v>83</v>
      </c>
      <c r="B1197" s="46">
        <v>2024</v>
      </c>
      <c r="C1197" s="45" t="s">
        <v>132</v>
      </c>
      <c r="D1197" s="47">
        <v>10</v>
      </c>
      <c r="E1197" s="48">
        <v>1337.7</v>
      </c>
      <c r="F1197" s="48">
        <v>65.099999999999994</v>
      </c>
      <c r="G1197" s="48">
        <v>1402.8</v>
      </c>
      <c r="H1197" s="48">
        <v>16407</v>
      </c>
      <c r="I1197" s="48">
        <v>246.2</v>
      </c>
      <c r="J1197" s="48">
        <v>16653.2</v>
      </c>
      <c r="K1197" s="48">
        <v>696.6</v>
      </c>
      <c r="L1197" s="48">
        <v>180.8</v>
      </c>
      <c r="M1197" s="48">
        <v>364.1</v>
      </c>
      <c r="N1197" s="48">
        <v>8.6</v>
      </c>
    </row>
    <row r="1198" spans="1:14" ht="10.050000000000001" customHeight="1">
      <c r="A1198" s="45" t="s">
        <v>82</v>
      </c>
      <c r="B1198" s="46">
        <v>2024</v>
      </c>
      <c r="C1198" s="45" t="s">
        <v>132</v>
      </c>
      <c r="D1198" s="47">
        <v>10</v>
      </c>
      <c r="E1198" s="48">
        <v>159718.70000000001</v>
      </c>
      <c r="F1198" s="48">
        <v>20182.2</v>
      </c>
      <c r="G1198" s="48">
        <v>179900.9</v>
      </c>
      <c r="H1198" s="48">
        <v>191169.1</v>
      </c>
      <c r="I1198" s="48">
        <v>18643.599999999999</v>
      </c>
      <c r="J1198" s="48">
        <v>209812.7</v>
      </c>
      <c r="K1198" s="48">
        <v>39626.800000000003</v>
      </c>
      <c r="L1198" s="48">
        <v>45532.3</v>
      </c>
      <c r="M1198" s="48">
        <v>13520.9</v>
      </c>
      <c r="N1198" s="48">
        <v>2658.9</v>
      </c>
    </row>
    <row r="1199" spans="1:14" ht="10.050000000000001" customHeight="1">
      <c r="A1199" s="45" t="s">
        <v>81</v>
      </c>
      <c r="B1199" s="46">
        <v>2024</v>
      </c>
      <c r="C1199" s="45" t="s">
        <v>132</v>
      </c>
      <c r="D1199" s="47">
        <v>10</v>
      </c>
      <c r="E1199" s="48">
        <v>574701.1</v>
      </c>
      <c r="F1199" s="48">
        <v>7555.1</v>
      </c>
      <c r="G1199" s="48">
        <v>582256.19999999995</v>
      </c>
      <c r="H1199" s="48">
        <v>616953.80000000005</v>
      </c>
      <c r="I1199" s="48">
        <v>4437.8</v>
      </c>
      <c r="J1199" s="48">
        <v>621391.6</v>
      </c>
      <c r="K1199" s="48">
        <v>226212.5</v>
      </c>
      <c r="L1199" s="48">
        <v>242492.79999999999</v>
      </c>
      <c r="M1199" s="48">
        <v>86366.9</v>
      </c>
      <c r="N1199" s="48">
        <v>4379.3</v>
      </c>
    </row>
    <row r="1200" spans="1:14" ht="10.050000000000001" customHeight="1">
      <c r="A1200" s="45" t="s">
        <v>80</v>
      </c>
      <c r="B1200" s="46">
        <v>2024</v>
      </c>
      <c r="C1200" s="45" t="s">
        <v>132</v>
      </c>
      <c r="D1200" s="47">
        <v>11</v>
      </c>
      <c r="E1200" s="48">
        <v>243137.3</v>
      </c>
      <c r="F1200" s="48">
        <v>401.3</v>
      </c>
      <c r="G1200" s="48">
        <v>243538.6</v>
      </c>
      <c r="H1200" s="48">
        <v>1562775.6</v>
      </c>
      <c r="I1200" s="48">
        <v>4920.6000000000004</v>
      </c>
      <c r="J1200" s="48">
        <v>1567696.2</v>
      </c>
      <c r="K1200" s="48">
        <v>419242.2</v>
      </c>
      <c r="L1200" s="48">
        <v>19937.3</v>
      </c>
      <c r="M1200" s="48">
        <v>165144.29999999999</v>
      </c>
      <c r="N1200" s="48">
        <v>14186.5</v>
      </c>
    </row>
    <row r="1201" spans="1:14" ht="10.050000000000001" customHeight="1">
      <c r="A1201" s="45" t="s">
        <v>83</v>
      </c>
      <c r="B1201" s="46">
        <v>2024</v>
      </c>
      <c r="C1201" s="45" t="s">
        <v>132</v>
      </c>
      <c r="D1201" s="47">
        <v>11</v>
      </c>
      <c r="E1201" s="48">
        <v>278.39999999999998</v>
      </c>
      <c r="F1201" s="48">
        <v>226.3</v>
      </c>
      <c r="G1201" s="48">
        <v>504.7</v>
      </c>
      <c r="H1201" s="48">
        <v>14383.8</v>
      </c>
      <c r="I1201" s="48">
        <v>484.9</v>
      </c>
      <c r="J1201" s="48">
        <v>14868.7</v>
      </c>
      <c r="K1201" s="48">
        <v>696.4</v>
      </c>
      <c r="L1201" s="48">
        <v>71.7</v>
      </c>
      <c r="M1201" s="48">
        <v>70.7</v>
      </c>
      <c r="N1201" s="48">
        <v>1.2</v>
      </c>
    </row>
    <row r="1202" spans="1:14" ht="10.050000000000001" customHeight="1">
      <c r="A1202" s="45" t="s">
        <v>82</v>
      </c>
      <c r="B1202" s="46">
        <v>2024</v>
      </c>
      <c r="C1202" s="45" t="s">
        <v>132</v>
      </c>
      <c r="D1202" s="47">
        <v>11</v>
      </c>
      <c r="E1202" s="48">
        <v>74322</v>
      </c>
      <c r="F1202" s="48">
        <v>1949.5</v>
      </c>
      <c r="G1202" s="48">
        <v>76271.5</v>
      </c>
      <c r="H1202" s="48">
        <v>244035.9</v>
      </c>
      <c r="I1202" s="48">
        <v>17438.5</v>
      </c>
      <c r="J1202" s="48">
        <v>261474.4</v>
      </c>
      <c r="K1202" s="48">
        <v>29779.1</v>
      </c>
      <c r="L1202" s="48">
        <v>17145.7</v>
      </c>
      <c r="M1202" s="48">
        <v>23463.4</v>
      </c>
      <c r="N1202" s="48">
        <v>3502.1</v>
      </c>
    </row>
    <row r="1203" spans="1:14" ht="10.050000000000001" customHeight="1">
      <c r="A1203" s="45" t="s">
        <v>81</v>
      </c>
      <c r="B1203" s="46">
        <v>2024</v>
      </c>
      <c r="C1203" s="45" t="s">
        <v>132</v>
      </c>
      <c r="D1203" s="47">
        <v>11</v>
      </c>
      <c r="E1203" s="48">
        <v>305252.40000000002</v>
      </c>
      <c r="F1203" s="48">
        <v>146.5</v>
      </c>
      <c r="G1203" s="48">
        <v>305398.90000000002</v>
      </c>
      <c r="H1203" s="48">
        <v>772229.1</v>
      </c>
      <c r="I1203" s="48">
        <v>3506.4</v>
      </c>
      <c r="J1203" s="48">
        <v>775735.5</v>
      </c>
      <c r="K1203" s="48">
        <v>135865.20000000001</v>
      </c>
      <c r="L1203" s="48">
        <v>70149.399999999994</v>
      </c>
      <c r="M1203" s="48">
        <v>139790.79999999999</v>
      </c>
      <c r="N1203" s="48">
        <v>21005.4</v>
      </c>
    </row>
    <row r="1204" spans="1:14" ht="10.050000000000001" customHeight="1">
      <c r="A1204" s="45" t="s">
        <v>80</v>
      </c>
      <c r="B1204" s="46">
        <v>2024</v>
      </c>
      <c r="C1204" s="45" t="s">
        <v>132</v>
      </c>
      <c r="D1204" s="47">
        <v>12</v>
      </c>
      <c r="E1204" s="48">
        <v>189093.3</v>
      </c>
      <c r="F1204" s="48">
        <v>0</v>
      </c>
      <c r="G1204" s="48">
        <v>189093.3</v>
      </c>
      <c r="H1204" s="48">
        <v>1441842</v>
      </c>
      <c r="I1204" s="48">
        <v>4917.1000000000004</v>
      </c>
      <c r="J1204" s="48">
        <v>1446759.1</v>
      </c>
      <c r="K1204" s="48">
        <v>344186.7</v>
      </c>
      <c r="L1204" s="48">
        <v>45001.2</v>
      </c>
      <c r="M1204" s="48">
        <v>108237.3</v>
      </c>
      <c r="N1204" s="48">
        <v>11116.9</v>
      </c>
    </row>
    <row r="1205" spans="1:14" ht="10.050000000000001" customHeight="1">
      <c r="A1205" s="45" t="s">
        <v>83</v>
      </c>
      <c r="B1205" s="46">
        <v>2024</v>
      </c>
      <c r="C1205" s="45" t="s">
        <v>132</v>
      </c>
      <c r="D1205" s="47">
        <v>12</v>
      </c>
      <c r="E1205" s="48">
        <v>533.6</v>
      </c>
      <c r="F1205" s="48">
        <v>76.900000000000006</v>
      </c>
      <c r="G1205" s="48">
        <v>610.5</v>
      </c>
      <c r="H1205" s="48">
        <v>12658.5</v>
      </c>
      <c r="I1205" s="48">
        <v>390.8</v>
      </c>
      <c r="J1205" s="48">
        <v>13049.3</v>
      </c>
      <c r="K1205" s="48">
        <v>640.4</v>
      </c>
      <c r="L1205" s="48">
        <v>37</v>
      </c>
      <c r="M1205" s="48">
        <v>66.8</v>
      </c>
      <c r="N1205" s="48">
        <v>55.3</v>
      </c>
    </row>
    <row r="1206" spans="1:14" ht="10.050000000000001" customHeight="1">
      <c r="A1206" s="45" t="s">
        <v>82</v>
      </c>
      <c r="B1206" s="46">
        <v>2024</v>
      </c>
      <c r="C1206" s="45" t="s">
        <v>132</v>
      </c>
      <c r="D1206" s="47">
        <v>12</v>
      </c>
      <c r="E1206" s="48">
        <v>15881</v>
      </c>
      <c r="F1206" s="48">
        <v>427.2</v>
      </c>
      <c r="G1206" s="48">
        <v>16308.2</v>
      </c>
      <c r="H1206" s="48">
        <v>232329.8</v>
      </c>
      <c r="I1206" s="48">
        <v>17679.7</v>
      </c>
      <c r="J1206" s="48">
        <v>250009.5</v>
      </c>
      <c r="K1206" s="48">
        <v>21692.7</v>
      </c>
      <c r="L1206" s="48">
        <v>1931.3</v>
      </c>
      <c r="M1206" s="48">
        <v>8499.7000000000007</v>
      </c>
      <c r="N1206" s="48">
        <v>1517.4</v>
      </c>
    </row>
    <row r="1207" spans="1:14" ht="10.050000000000001" customHeight="1">
      <c r="A1207" s="45" t="s">
        <v>81</v>
      </c>
      <c r="B1207" s="46">
        <v>2024</v>
      </c>
      <c r="C1207" s="45" t="s">
        <v>132</v>
      </c>
      <c r="D1207" s="47">
        <v>12</v>
      </c>
      <c r="E1207" s="48">
        <v>65181.2</v>
      </c>
      <c r="F1207" s="48">
        <v>100.5</v>
      </c>
      <c r="G1207" s="48">
        <v>65281.7</v>
      </c>
      <c r="H1207" s="48">
        <v>701716.9</v>
      </c>
      <c r="I1207" s="48">
        <v>3378</v>
      </c>
      <c r="J1207" s="48">
        <v>705094.9</v>
      </c>
      <c r="K1207" s="48">
        <v>86899.6</v>
      </c>
      <c r="L1207" s="48">
        <v>8344.4</v>
      </c>
      <c r="M1207" s="48">
        <v>49000.800000000003</v>
      </c>
      <c r="N1207" s="48">
        <v>8212.2000000000007</v>
      </c>
    </row>
    <row r="1209" spans="1:14" ht="13.05" customHeight="1">
      <c r="A1209" s="1072" t="s">
        <v>133</v>
      </c>
      <c r="B1209" s="1072"/>
      <c r="C1209" s="1072"/>
      <c r="D1209" s="1072"/>
      <c r="E1209" s="1072"/>
      <c r="F1209" s="1072"/>
      <c r="G1209" s="1072"/>
      <c r="H1209" s="1072"/>
      <c r="I1209" s="1072"/>
      <c r="J1209" s="1072"/>
      <c r="K1209" s="1072"/>
      <c r="L1209" s="1072"/>
      <c r="M1209" s="1072"/>
      <c r="N1209" s="1072"/>
    </row>
    <row r="1210" spans="1:14" ht="13.05" customHeight="1">
      <c r="A1210" s="1072" t="s">
        <v>134</v>
      </c>
      <c r="B1210" s="1072"/>
      <c r="C1210" s="1072"/>
      <c r="D1210" s="1072"/>
      <c r="E1210" s="1072"/>
      <c r="F1210" s="1072"/>
      <c r="G1210" s="1072"/>
      <c r="H1210" s="1072"/>
      <c r="I1210" s="1072"/>
      <c r="J1210" s="1072"/>
      <c r="K1210" s="1072"/>
      <c r="L1210" s="1072"/>
      <c r="M1210" s="1072"/>
      <c r="N1210" s="1072"/>
    </row>
    <row r="1211" spans="1:14" ht="13.05" customHeight="1">
      <c r="A1211" s="1072" t="s">
        <v>135</v>
      </c>
      <c r="B1211" s="1072"/>
      <c r="C1211" s="1072"/>
      <c r="D1211" s="1072"/>
      <c r="E1211" s="1072"/>
      <c r="F1211" s="1072"/>
      <c r="G1211" s="1072"/>
      <c r="H1211" s="1072"/>
      <c r="I1211" s="1072"/>
      <c r="J1211" s="1072"/>
      <c r="K1211" s="1072"/>
      <c r="L1211" s="1072"/>
      <c r="M1211" s="1072"/>
      <c r="N1211" s="1072"/>
    </row>
    <row r="1212" spans="1:14" ht="13.05" customHeight="1">
      <c r="A1212" s="1072" t="s">
        <v>136</v>
      </c>
      <c r="B1212" s="1072"/>
      <c r="C1212" s="1072"/>
      <c r="D1212" s="1072"/>
      <c r="E1212" s="1072"/>
      <c r="F1212" s="1072"/>
      <c r="G1212" s="1072"/>
      <c r="H1212" s="1072"/>
      <c r="I1212" s="1072"/>
      <c r="J1212" s="1072"/>
      <c r="K1212" s="1072"/>
      <c r="L1212" s="1072"/>
      <c r="M1212" s="1072"/>
      <c r="N1212" s="1072"/>
    </row>
    <row r="1213" spans="1:14" ht="13.05" customHeight="1">
      <c r="A1213" s="1072" t="s">
        <v>137</v>
      </c>
      <c r="B1213" s="1072"/>
      <c r="C1213" s="1072"/>
      <c r="D1213" s="1072"/>
      <c r="E1213" s="1072"/>
      <c r="F1213" s="1072"/>
      <c r="G1213" s="1072"/>
      <c r="H1213" s="1072"/>
      <c r="I1213" s="1072"/>
      <c r="J1213" s="1072"/>
      <c r="K1213" s="1072"/>
      <c r="L1213" s="1072"/>
      <c r="M1213" s="1072"/>
      <c r="N1213" s="1072"/>
    </row>
    <row r="1214" spans="1:14" ht="13.05" customHeight="1">
      <c r="A1214" s="1072" t="s">
        <v>138</v>
      </c>
      <c r="B1214" s="1072"/>
      <c r="C1214" s="1072"/>
      <c r="D1214" s="1072"/>
      <c r="E1214" s="1072"/>
      <c r="F1214" s="1072"/>
      <c r="G1214" s="1072"/>
      <c r="H1214" s="1072"/>
      <c r="I1214" s="1072"/>
      <c r="J1214" s="1072"/>
      <c r="K1214" s="1072"/>
      <c r="L1214" s="1072"/>
      <c r="M1214" s="1072"/>
      <c r="N1214" s="1072"/>
    </row>
    <row r="1215" spans="1:14" ht="13.05" customHeight="1">
      <c r="A1215" s="1072" t="s">
        <v>139</v>
      </c>
      <c r="B1215" s="1072"/>
      <c r="C1215" s="1072"/>
      <c r="D1215" s="1072"/>
      <c r="E1215" s="1072"/>
      <c r="F1215" s="1072"/>
      <c r="G1215" s="1072"/>
      <c r="H1215" s="1072"/>
      <c r="I1215" s="1072"/>
      <c r="J1215" s="1072"/>
      <c r="K1215" s="1072"/>
      <c r="L1215" s="1072"/>
      <c r="M1215" s="1072"/>
      <c r="N1215" s="1072"/>
    </row>
    <row r="1216" spans="1:14" ht="13.05" customHeight="1">
      <c r="A1216" s="1072" t="s">
        <v>140</v>
      </c>
      <c r="B1216" s="1072"/>
      <c r="C1216" s="1072"/>
      <c r="D1216" s="1072"/>
      <c r="E1216" s="1072"/>
      <c r="F1216" s="1072"/>
      <c r="G1216" s="1072"/>
      <c r="H1216" s="1072"/>
      <c r="I1216" s="1072"/>
      <c r="J1216" s="1072"/>
      <c r="K1216" s="1072"/>
      <c r="L1216" s="1072"/>
      <c r="M1216" s="1072"/>
      <c r="N1216" s="1072"/>
    </row>
    <row r="1217" spans="1:14" ht="13.05" customHeight="1">
      <c r="A1217" s="1072" t="s">
        <v>141</v>
      </c>
      <c r="B1217" s="1072"/>
      <c r="C1217" s="1072"/>
      <c r="D1217" s="1072"/>
      <c r="E1217" s="1072"/>
      <c r="F1217" s="1072"/>
      <c r="G1217" s="1072"/>
      <c r="H1217" s="1072"/>
      <c r="I1217" s="1072"/>
      <c r="J1217" s="1072"/>
      <c r="K1217" s="1072"/>
      <c r="L1217" s="1072"/>
      <c r="M1217" s="1072"/>
      <c r="N1217" s="1072"/>
    </row>
    <row r="1218" spans="1:14" ht="13.05" customHeight="1">
      <c r="A1218" s="1072" t="s">
        <v>142</v>
      </c>
      <c r="B1218" s="1072"/>
      <c r="C1218" s="1072"/>
      <c r="D1218" s="1072"/>
      <c r="E1218" s="1072"/>
      <c r="F1218" s="1072"/>
      <c r="G1218" s="1072"/>
      <c r="H1218" s="1072"/>
      <c r="I1218" s="1072"/>
      <c r="J1218" s="1072"/>
      <c r="K1218" s="1072"/>
      <c r="L1218" s="1072"/>
      <c r="M1218" s="1072"/>
      <c r="N1218" s="1072"/>
    </row>
  </sheetData>
  <autoFilter ref="A5:D1207" xr:uid="{00000000-0009-0000-0000-000002000000}"/>
  <mergeCells count="13">
    <mergeCell ref="A1218:N1218"/>
    <mergeCell ref="A1212:N1212"/>
    <mergeCell ref="A1213:N1213"/>
    <mergeCell ref="A1214:N1214"/>
    <mergeCell ref="A1215:N1215"/>
    <mergeCell ref="A1216:N1216"/>
    <mergeCell ref="A1217:N1217"/>
    <mergeCell ref="A1211:N1211"/>
    <mergeCell ref="A1:N1"/>
    <mergeCell ref="A2:N2"/>
    <mergeCell ref="A3:N3"/>
    <mergeCell ref="A1209:N1209"/>
    <mergeCell ref="A1210:N1210"/>
  </mergeCells>
  <printOptions horizontalCentered="1" verticalCentered="1"/>
  <pageMargins left="0.2" right="0.2" top="0.2" bottom="0.2" header="0" footer="0"/>
  <pageSetup paperSize="9" scale="60"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867B0-E9C7-481C-A766-F497FAF336E6}">
  <sheetPr>
    <tabColor rgb="FFFFC000"/>
  </sheetPr>
  <dimension ref="A1:N1021"/>
  <sheetViews>
    <sheetView zoomScaleNormal="100" workbookViewId="0">
      <pane xSplit="4" ySplit="5" topLeftCell="E980" activePane="bottomRight" state="frozen"/>
      <selection activeCell="A1018" sqref="A1018:N1018"/>
      <selection pane="topRight" activeCell="A1018" sqref="A1018:N1018"/>
      <selection pane="bottomLeft" activeCell="A1018" sqref="A1018:N1018"/>
      <selection pane="bottomRight" activeCell="X1024" sqref="X1024"/>
    </sheetView>
  </sheetViews>
  <sheetFormatPr baseColWidth="10" defaultRowHeight="12" customHeight="1"/>
  <cols>
    <col min="1" max="1" width="9.6640625" style="42" bestFit="1" customWidth="1"/>
    <col min="2" max="2" width="6.6640625" style="42" bestFit="1" customWidth="1"/>
    <col min="3" max="3" width="10.6640625" style="42" bestFit="1" customWidth="1"/>
    <col min="4" max="4" width="5.6640625" style="42" bestFit="1" customWidth="1"/>
    <col min="5" max="5" width="15.6640625" style="42" bestFit="1" customWidth="1"/>
    <col min="6" max="6" width="10.6640625" style="42" bestFit="1" customWidth="1"/>
    <col min="7" max="7" width="9.6640625" style="42" bestFit="1" customWidth="1"/>
    <col min="8" max="8" width="15.6640625" style="42" bestFit="1" customWidth="1"/>
    <col min="9" max="9" width="10.6640625" style="42" bestFit="1" customWidth="1"/>
    <col min="10" max="11" width="7.6640625" style="42" bestFit="1" customWidth="1"/>
    <col min="12" max="14" width="8.6640625" style="42" bestFit="1" customWidth="1"/>
    <col min="15" max="16384" width="11.5546875" style="42"/>
  </cols>
  <sheetData>
    <row r="1" spans="1:14" ht="19.05" customHeight="1">
      <c r="A1" s="1073" t="s">
        <v>90</v>
      </c>
      <c r="B1" s="1074"/>
      <c r="C1" s="1074"/>
      <c r="D1" s="1074"/>
      <c r="E1" s="1074"/>
      <c r="F1" s="1074"/>
      <c r="G1" s="1074"/>
      <c r="H1" s="1074"/>
      <c r="I1" s="1074"/>
      <c r="J1" s="1074"/>
      <c r="K1" s="1074"/>
      <c r="L1" s="1074"/>
      <c r="M1" s="1074"/>
      <c r="N1" s="1074"/>
    </row>
    <row r="2" spans="1:14" ht="15" customHeight="1">
      <c r="A2" s="1075" t="s">
        <v>91</v>
      </c>
      <c r="B2" s="1074"/>
      <c r="C2" s="1074"/>
      <c r="D2" s="1074"/>
      <c r="E2" s="1074"/>
      <c r="F2" s="1074"/>
      <c r="G2" s="1074"/>
      <c r="H2" s="1074"/>
      <c r="I2" s="1074"/>
      <c r="J2" s="1074"/>
      <c r="K2" s="1074"/>
      <c r="L2" s="1074"/>
      <c r="M2" s="1074"/>
      <c r="N2" s="1074"/>
    </row>
    <row r="3" spans="1:14" ht="15" customHeight="1">
      <c r="A3" s="1076" t="s">
        <v>92</v>
      </c>
      <c r="B3" s="1074"/>
      <c r="C3" s="1074"/>
      <c r="D3" s="1074"/>
      <c r="E3" s="1074"/>
      <c r="F3" s="1074"/>
      <c r="G3" s="1074"/>
      <c r="H3" s="1074"/>
      <c r="I3" s="1074"/>
      <c r="J3" s="1074"/>
      <c r="K3" s="1074"/>
      <c r="L3" s="1074"/>
      <c r="M3" s="1074"/>
      <c r="N3" s="1074"/>
    </row>
    <row r="5" spans="1:14" ht="30" customHeight="1">
      <c r="A5" s="43" t="s">
        <v>93</v>
      </c>
      <c r="B5" s="43" t="s">
        <v>94</v>
      </c>
      <c r="C5" s="43" t="s">
        <v>95</v>
      </c>
      <c r="D5" s="43" t="s">
        <v>96</v>
      </c>
      <c r="E5" s="44" t="s">
        <v>97</v>
      </c>
      <c r="F5" s="44" t="s">
        <v>98</v>
      </c>
      <c r="G5" s="44" t="s">
        <v>99</v>
      </c>
      <c r="H5" s="44" t="s">
        <v>100</v>
      </c>
      <c r="I5" s="44" t="s">
        <v>101</v>
      </c>
      <c r="J5" s="44" t="s">
        <v>102</v>
      </c>
      <c r="K5" s="44" t="s">
        <v>103</v>
      </c>
      <c r="L5" s="44" t="s">
        <v>104</v>
      </c>
      <c r="M5" s="44" t="s">
        <v>105</v>
      </c>
      <c r="N5" s="44" t="s">
        <v>106</v>
      </c>
    </row>
    <row r="6" spans="1:14" ht="10.050000000000001" customHeight="1">
      <c r="A6" s="45" t="s">
        <v>84</v>
      </c>
      <c r="B6" s="46">
        <v>2000</v>
      </c>
      <c r="C6" s="45" t="s">
        <v>107</v>
      </c>
      <c r="D6" s="47">
        <v>7</v>
      </c>
      <c r="E6" s="48">
        <v>7935.9</v>
      </c>
      <c r="F6" s="48">
        <v>0</v>
      </c>
      <c r="G6" s="48">
        <v>7935.9</v>
      </c>
      <c r="H6" s="48">
        <v>9887</v>
      </c>
      <c r="I6" s="48">
        <v>489.5</v>
      </c>
      <c r="J6" s="48">
        <v>10376.5</v>
      </c>
      <c r="K6" s="48">
        <v>126.8</v>
      </c>
      <c r="L6" s="48">
        <v>126.7</v>
      </c>
      <c r="M6" s="48">
        <v>0</v>
      </c>
      <c r="N6" s="48">
        <v>0</v>
      </c>
    </row>
    <row r="7" spans="1:14" ht="10.050000000000001" customHeight="1">
      <c r="A7" s="45" t="s">
        <v>89</v>
      </c>
      <c r="B7" s="46">
        <v>2000</v>
      </c>
      <c r="C7" s="45" t="s">
        <v>107</v>
      </c>
      <c r="D7" s="47">
        <v>7</v>
      </c>
      <c r="E7" s="48">
        <v>8</v>
      </c>
      <c r="F7" s="48">
        <v>0</v>
      </c>
      <c r="G7" s="48">
        <v>8</v>
      </c>
      <c r="H7" s="48">
        <v>3382.7</v>
      </c>
      <c r="I7" s="48">
        <v>101</v>
      </c>
      <c r="J7" s="48">
        <v>3483.7</v>
      </c>
      <c r="K7" s="48">
        <v>6.1</v>
      </c>
      <c r="L7" s="48">
        <v>0</v>
      </c>
      <c r="M7" s="48">
        <v>0</v>
      </c>
      <c r="N7" s="48">
        <v>0</v>
      </c>
    </row>
    <row r="8" spans="1:14" ht="10.050000000000001" customHeight="1">
      <c r="A8" s="45" t="s">
        <v>87</v>
      </c>
      <c r="B8" s="46">
        <v>2000</v>
      </c>
      <c r="C8" s="45" t="s">
        <v>107</v>
      </c>
      <c r="D8" s="47">
        <v>7</v>
      </c>
      <c r="E8" s="48">
        <v>377302</v>
      </c>
      <c r="F8" s="48">
        <v>7028.5</v>
      </c>
      <c r="G8" s="48">
        <v>384330.5</v>
      </c>
      <c r="H8" s="48">
        <v>335077.8</v>
      </c>
      <c r="I8" s="48">
        <v>13696.5</v>
      </c>
      <c r="J8" s="48">
        <v>348774.3</v>
      </c>
      <c r="K8" s="48">
        <v>57321.4</v>
      </c>
      <c r="L8" s="48">
        <v>68522.2</v>
      </c>
      <c r="M8" s="48">
        <v>11211.2</v>
      </c>
      <c r="N8" s="48">
        <v>443</v>
      </c>
    </row>
    <row r="9" spans="1:14" ht="10.050000000000001" customHeight="1">
      <c r="A9" s="45" t="s">
        <v>84</v>
      </c>
      <c r="B9" s="46">
        <v>2000</v>
      </c>
      <c r="C9" s="45" t="s">
        <v>107</v>
      </c>
      <c r="D9" s="47">
        <v>8</v>
      </c>
      <c r="E9" s="48">
        <v>43182.1</v>
      </c>
      <c r="F9" s="48">
        <v>208.2</v>
      </c>
      <c r="G9" s="48">
        <v>43390.3</v>
      </c>
      <c r="H9" s="48">
        <v>47533.2</v>
      </c>
      <c r="I9" s="48">
        <v>697.7</v>
      </c>
      <c r="J9" s="48">
        <v>48230.9</v>
      </c>
      <c r="K9" s="48">
        <v>1220.3</v>
      </c>
      <c r="L9" s="48">
        <v>3433</v>
      </c>
      <c r="M9" s="48">
        <v>2336.6</v>
      </c>
      <c r="N9" s="48">
        <v>2.9</v>
      </c>
    </row>
    <row r="10" spans="1:14" ht="10.050000000000001" customHeight="1">
      <c r="A10" s="45" t="s">
        <v>89</v>
      </c>
      <c r="B10" s="46">
        <v>2000</v>
      </c>
      <c r="C10" s="45" t="s">
        <v>107</v>
      </c>
      <c r="D10" s="47">
        <v>8</v>
      </c>
      <c r="E10" s="48">
        <v>1541.8</v>
      </c>
      <c r="F10" s="48">
        <v>505.7</v>
      </c>
      <c r="G10" s="48">
        <v>2047.5</v>
      </c>
      <c r="H10" s="48">
        <v>4612.1000000000004</v>
      </c>
      <c r="I10" s="48">
        <v>606.79999999999995</v>
      </c>
      <c r="J10" s="48">
        <v>5218.8999999999996</v>
      </c>
      <c r="K10" s="48">
        <v>127.1</v>
      </c>
      <c r="L10" s="48">
        <v>121</v>
      </c>
      <c r="M10" s="48">
        <v>0</v>
      </c>
      <c r="N10" s="48">
        <v>0</v>
      </c>
    </row>
    <row r="11" spans="1:14" ht="10.050000000000001" customHeight="1">
      <c r="A11" s="45" t="s">
        <v>87</v>
      </c>
      <c r="B11" s="46">
        <v>2000</v>
      </c>
      <c r="C11" s="45" t="s">
        <v>107</v>
      </c>
      <c r="D11" s="47">
        <v>8</v>
      </c>
      <c r="E11" s="48">
        <v>632362.6</v>
      </c>
      <c r="F11" s="48">
        <v>7530.5</v>
      </c>
      <c r="G11" s="48">
        <v>639893.1</v>
      </c>
      <c r="H11" s="48">
        <v>789709.9</v>
      </c>
      <c r="I11" s="48">
        <v>19899.400000000001</v>
      </c>
      <c r="J11" s="48">
        <v>809609.3</v>
      </c>
      <c r="K11" s="48">
        <v>330396.79999999999</v>
      </c>
      <c r="L11" s="48">
        <v>309734.40000000002</v>
      </c>
      <c r="M11" s="48">
        <v>35509.800000000003</v>
      </c>
      <c r="N11" s="48">
        <v>1149.2</v>
      </c>
    </row>
    <row r="12" spans="1:14" ht="10.050000000000001" customHeight="1">
      <c r="A12" s="45" t="s">
        <v>84</v>
      </c>
      <c r="B12" s="46">
        <v>2000</v>
      </c>
      <c r="C12" s="45" t="s">
        <v>107</v>
      </c>
      <c r="D12" s="47">
        <v>9</v>
      </c>
      <c r="E12" s="48">
        <v>7477.1</v>
      </c>
      <c r="F12" s="48">
        <v>89.6</v>
      </c>
      <c r="G12" s="48">
        <v>7566.7</v>
      </c>
      <c r="H12" s="48">
        <v>32452.2</v>
      </c>
      <c r="I12" s="48">
        <v>697.7</v>
      </c>
      <c r="J12" s="48">
        <v>33149.9</v>
      </c>
      <c r="K12" s="48">
        <v>1153.9000000000001</v>
      </c>
      <c r="L12" s="48">
        <v>228.4</v>
      </c>
      <c r="M12" s="48">
        <v>289.8</v>
      </c>
      <c r="N12" s="48">
        <v>5</v>
      </c>
    </row>
    <row r="13" spans="1:14" ht="10.050000000000001" customHeight="1">
      <c r="A13" s="45" t="s">
        <v>89</v>
      </c>
      <c r="B13" s="46">
        <v>2000</v>
      </c>
      <c r="C13" s="45" t="s">
        <v>107</v>
      </c>
      <c r="D13" s="47">
        <v>9</v>
      </c>
      <c r="E13" s="48">
        <v>6516.6</v>
      </c>
      <c r="F13" s="48">
        <v>832.1</v>
      </c>
      <c r="G13" s="48">
        <v>7348.7</v>
      </c>
      <c r="H13" s="48">
        <v>10177.799999999999</v>
      </c>
      <c r="I13" s="48">
        <v>1439.7</v>
      </c>
      <c r="J13" s="48">
        <v>11617.5</v>
      </c>
      <c r="K13" s="48">
        <v>76.099999999999994</v>
      </c>
      <c r="L13" s="48">
        <v>18.899999999999999</v>
      </c>
      <c r="M13" s="48">
        <v>58.5</v>
      </c>
      <c r="N13" s="48">
        <v>11.4</v>
      </c>
    </row>
    <row r="14" spans="1:14" ht="10.050000000000001" customHeight="1">
      <c r="A14" s="45" t="s">
        <v>87</v>
      </c>
      <c r="B14" s="46">
        <v>2000</v>
      </c>
      <c r="C14" s="45" t="s">
        <v>107</v>
      </c>
      <c r="D14" s="47">
        <v>9</v>
      </c>
      <c r="E14" s="48">
        <v>94953</v>
      </c>
      <c r="F14" s="48">
        <v>328.8</v>
      </c>
      <c r="G14" s="48">
        <v>95281.8</v>
      </c>
      <c r="H14" s="48">
        <v>716250.4</v>
      </c>
      <c r="I14" s="48">
        <v>19935</v>
      </c>
      <c r="J14" s="48">
        <v>736185.4</v>
      </c>
      <c r="K14" s="48">
        <v>273269</v>
      </c>
      <c r="L14" s="48">
        <v>10081.5</v>
      </c>
      <c r="M14" s="48">
        <v>65709.899999999994</v>
      </c>
      <c r="N14" s="48">
        <v>1499.4</v>
      </c>
    </row>
    <row r="15" spans="1:14" ht="10.050000000000001" customHeight="1">
      <c r="A15" s="45" t="s">
        <v>84</v>
      </c>
      <c r="B15" s="46">
        <v>2000</v>
      </c>
      <c r="C15" s="45" t="s">
        <v>107</v>
      </c>
      <c r="D15" s="47">
        <v>10</v>
      </c>
      <c r="E15" s="48">
        <v>1827.7</v>
      </c>
      <c r="F15" s="48">
        <v>421</v>
      </c>
      <c r="G15" s="48">
        <v>2248.6999999999998</v>
      </c>
      <c r="H15" s="48">
        <v>27876</v>
      </c>
      <c r="I15" s="48">
        <v>909</v>
      </c>
      <c r="J15" s="48">
        <v>28785</v>
      </c>
      <c r="K15" s="48">
        <v>947.4</v>
      </c>
      <c r="L15" s="48">
        <v>68.3</v>
      </c>
      <c r="M15" s="48">
        <v>271.89999999999998</v>
      </c>
      <c r="N15" s="48">
        <v>2.9</v>
      </c>
    </row>
    <row r="16" spans="1:14" ht="10.050000000000001" customHeight="1">
      <c r="A16" s="45" t="s">
        <v>89</v>
      </c>
      <c r="B16" s="46">
        <v>2000</v>
      </c>
      <c r="C16" s="45" t="s">
        <v>107</v>
      </c>
      <c r="D16" s="47">
        <v>10</v>
      </c>
      <c r="E16" s="48">
        <v>533.70000000000005</v>
      </c>
      <c r="F16" s="48">
        <v>388.6</v>
      </c>
      <c r="G16" s="48">
        <v>922.3</v>
      </c>
      <c r="H16" s="48">
        <v>10053.9</v>
      </c>
      <c r="I16" s="48">
        <v>1827.1</v>
      </c>
      <c r="J16" s="48">
        <v>11881</v>
      </c>
      <c r="K16" s="48">
        <v>24.1</v>
      </c>
      <c r="L16" s="48">
        <v>0</v>
      </c>
      <c r="M16" s="48">
        <v>0</v>
      </c>
      <c r="N16" s="48">
        <v>52</v>
      </c>
    </row>
    <row r="17" spans="1:14" ht="10.050000000000001" customHeight="1">
      <c r="A17" s="45" t="s">
        <v>87</v>
      </c>
      <c r="B17" s="46">
        <v>2000</v>
      </c>
      <c r="C17" s="45" t="s">
        <v>107</v>
      </c>
      <c r="D17" s="47">
        <v>10</v>
      </c>
      <c r="E17" s="48">
        <v>73588.7</v>
      </c>
      <c r="F17" s="48">
        <v>3314.1</v>
      </c>
      <c r="G17" s="48">
        <v>76902.8</v>
      </c>
      <c r="H17" s="48">
        <v>638669.9</v>
      </c>
      <c r="I17" s="48">
        <v>21603.9</v>
      </c>
      <c r="J17" s="48">
        <v>660273.80000000005</v>
      </c>
      <c r="K17" s="48">
        <v>229977.5</v>
      </c>
      <c r="L17" s="48">
        <v>4049.8</v>
      </c>
      <c r="M17" s="48">
        <v>45591.9</v>
      </c>
      <c r="N17" s="48">
        <v>1749.4</v>
      </c>
    </row>
    <row r="18" spans="1:14" ht="10.050000000000001" customHeight="1">
      <c r="A18" s="45" t="s">
        <v>84</v>
      </c>
      <c r="B18" s="46">
        <v>2000</v>
      </c>
      <c r="C18" s="45" t="s">
        <v>107</v>
      </c>
      <c r="D18" s="47">
        <v>11</v>
      </c>
      <c r="E18" s="48">
        <v>1879.3</v>
      </c>
      <c r="F18" s="48">
        <v>1253.5</v>
      </c>
      <c r="G18" s="48">
        <v>3132.8</v>
      </c>
      <c r="H18" s="48">
        <v>24469.200000000001</v>
      </c>
      <c r="I18" s="48">
        <v>1379.1</v>
      </c>
      <c r="J18" s="48">
        <v>25848.3</v>
      </c>
      <c r="K18" s="48">
        <v>953.9</v>
      </c>
      <c r="L18" s="48">
        <v>274.10000000000002</v>
      </c>
      <c r="M18" s="48">
        <v>267.60000000000002</v>
      </c>
      <c r="N18" s="48">
        <v>0</v>
      </c>
    </row>
    <row r="19" spans="1:14" ht="10.050000000000001" customHeight="1">
      <c r="A19" s="45" t="s">
        <v>89</v>
      </c>
      <c r="B19" s="46">
        <v>2000</v>
      </c>
      <c r="C19" s="45" t="s">
        <v>107</v>
      </c>
      <c r="D19" s="47">
        <v>11</v>
      </c>
      <c r="E19" s="48">
        <v>159.1</v>
      </c>
      <c r="F19" s="48">
        <v>243.1</v>
      </c>
      <c r="G19" s="48">
        <v>402.2</v>
      </c>
      <c r="H19" s="48">
        <v>9657.4</v>
      </c>
      <c r="I19" s="48">
        <v>2050.4</v>
      </c>
      <c r="J19" s="48">
        <v>11707.8</v>
      </c>
      <c r="K19" s="48">
        <v>24.1</v>
      </c>
      <c r="L19" s="48">
        <v>0</v>
      </c>
      <c r="M19" s="48">
        <v>0</v>
      </c>
      <c r="N19" s="48">
        <v>0</v>
      </c>
    </row>
    <row r="20" spans="1:14" ht="10.050000000000001" customHeight="1">
      <c r="A20" s="45" t="s">
        <v>87</v>
      </c>
      <c r="B20" s="46">
        <v>2000</v>
      </c>
      <c r="C20" s="45" t="s">
        <v>107</v>
      </c>
      <c r="D20" s="47">
        <v>11</v>
      </c>
      <c r="E20" s="48">
        <v>45954.1</v>
      </c>
      <c r="F20" s="48">
        <v>8808.4</v>
      </c>
      <c r="G20" s="48">
        <v>54762.5</v>
      </c>
      <c r="H20" s="48">
        <v>550474.80000000005</v>
      </c>
      <c r="I20" s="48">
        <v>27664.6</v>
      </c>
      <c r="J20" s="48">
        <v>578139.4</v>
      </c>
      <c r="K20" s="48">
        <v>214026.3</v>
      </c>
      <c r="L20" s="48">
        <v>5815.2</v>
      </c>
      <c r="M20" s="48">
        <v>21143.9</v>
      </c>
      <c r="N20" s="48">
        <v>622.5</v>
      </c>
    </row>
    <row r="21" spans="1:14" ht="10.050000000000001" customHeight="1">
      <c r="A21" s="45" t="s">
        <v>84</v>
      </c>
      <c r="B21" s="46">
        <v>2000</v>
      </c>
      <c r="C21" s="45" t="s">
        <v>107</v>
      </c>
      <c r="D21" s="47">
        <v>12</v>
      </c>
      <c r="E21" s="48">
        <v>1730.6</v>
      </c>
      <c r="F21" s="48">
        <v>631.5</v>
      </c>
      <c r="G21" s="48">
        <v>2362.1</v>
      </c>
      <c r="H21" s="48">
        <v>23098.3</v>
      </c>
      <c r="I21" s="48">
        <v>1508.5</v>
      </c>
      <c r="J21" s="48">
        <v>24606.799999999999</v>
      </c>
      <c r="K21" s="48">
        <v>880.1</v>
      </c>
      <c r="L21" s="48">
        <v>54.8</v>
      </c>
      <c r="M21" s="48">
        <v>128.6</v>
      </c>
      <c r="N21" s="48">
        <v>0</v>
      </c>
    </row>
    <row r="22" spans="1:14" ht="10.050000000000001" customHeight="1">
      <c r="A22" s="45" t="s">
        <v>89</v>
      </c>
      <c r="B22" s="46">
        <v>2000</v>
      </c>
      <c r="C22" s="45" t="s">
        <v>107</v>
      </c>
      <c r="D22" s="47">
        <v>12</v>
      </c>
      <c r="E22" s="48">
        <v>30.3</v>
      </c>
      <c r="F22" s="48">
        <v>0</v>
      </c>
      <c r="G22" s="48">
        <v>30.3</v>
      </c>
      <c r="H22" s="48">
        <v>8528.6</v>
      </c>
      <c r="I22" s="48">
        <v>1894.8</v>
      </c>
      <c r="J22" s="48">
        <v>10423.4</v>
      </c>
      <c r="K22" s="48">
        <v>22.9</v>
      </c>
      <c r="L22" s="48">
        <v>0</v>
      </c>
      <c r="M22" s="48">
        <v>1.2</v>
      </c>
      <c r="N22" s="48">
        <v>0</v>
      </c>
    </row>
    <row r="23" spans="1:14" ht="10.050000000000001" customHeight="1">
      <c r="A23" s="45" t="s">
        <v>87</v>
      </c>
      <c r="B23" s="46">
        <v>2000</v>
      </c>
      <c r="C23" s="45" t="s">
        <v>107</v>
      </c>
      <c r="D23" s="47">
        <v>12</v>
      </c>
      <c r="E23" s="48">
        <v>78108.5</v>
      </c>
      <c r="F23" s="48">
        <v>11869.5</v>
      </c>
      <c r="G23" s="48">
        <v>89978</v>
      </c>
      <c r="H23" s="48">
        <v>492208.9</v>
      </c>
      <c r="I23" s="48">
        <v>29603.200000000001</v>
      </c>
      <c r="J23" s="48">
        <v>521812.1</v>
      </c>
      <c r="K23" s="48">
        <v>164907.6</v>
      </c>
      <c r="L23" s="48">
        <v>4680.1000000000004</v>
      </c>
      <c r="M23" s="48">
        <v>52576.9</v>
      </c>
      <c r="N23" s="48">
        <v>1221.9000000000001</v>
      </c>
    </row>
    <row r="24" spans="1:14" ht="10.050000000000001" customHeight="1">
      <c r="A24" s="45" t="s">
        <v>84</v>
      </c>
      <c r="B24" s="46">
        <v>2000</v>
      </c>
      <c r="C24" s="45" t="s">
        <v>108</v>
      </c>
      <c r="D24" s="47">
        <v>7</v>
      </c>
      <c r="E24" s="48">
        <v>0</v>
      </c>
      <c r="F24" s="48">
        <v>0</v>
      </c>
      <c r="G24" s="48">
        <v>0</v>
      </c>
      <c r="H24" s="48">
        <v>1.1000000000000001</v>
      </c>
      <c r="I24" s="48">
        <v>0</v>
      </c>
      <c r="J24" s="48">
        <v>1.1000000000000001</v>
      </c>
      <c r="K24" s="48">
        <v>0</v>
      </c>
      <c r="L24" s="48">
        <v>0</v>
      </c>
      <c r="M24" s="48">
        <v>0</v>
      </c>
      <c r="N24" s="48">
        <v>0</v>
      </c>
    </row>
    <row r="25" spans="1:14" ht="10.050000000000001" customHeight="1">
      <c r="A25" s="45" t="s">
        <v>87</v>
      </c>
      <c r="B25" s="46">
        <v>2000</v>
      </c>
      <c r="C25" s="45" t="s">
        <v>109</v>
      </c>
      <c r="D25" s="47">
        <v>11</v>
      </c>
      <c r="E25" s="48">
        <v>0</v>
      </c>
      <c r="F25" s="48">
        <v>0</v>
      </c>
      <c r="G25" s="48">
        <v>0</v>
      </c>
      <c r="H25" s="48">
        <v>156.19999999999999</v>
      </c>
      <c r="I25" s="48">
        <v>0</v>
      </c>
      <c r="J25" s="48">
        <v>156.19999999999999</v>
      </c>
      <c r="K25" s="48">
        <v>0</v>
      </c>
      <c r="L25" s="48">
        <v>0</v>
      </c>
      <c r="M25" s="48">
        <v>0</v>
      </c>
      <c r="N25" s="48">
        <v>0</v>
      </c>
    </row>
    <row r="26" spans="1:14" ht="10.050000000000001" customHeight="1">
      <c r="A26" s="45" t="s">
        <v>84</v>
      </c>
      <c r="B26" s="46">
        <v>2001</v>
      </c>
      <c r="C26" s="45" t="s">
        <v>107</v>
      </c>
      <c r="D26" s="47">
        <v>1</v>
      </c>
      <c r="E26" s="48">
        <v>2257.9</v>
      </c>
      <c r="F26" s="48">
        <v>339.9</v>
      </c>
      <c r="G26" s="48">
        <v>2597.8000000000002</v>
      </c>
      <c r="H26" s="48">
        <v>19258.099999999999</v>
      </c>
      <c r="I26" s="48">
        <v>913.4</v>
      </c>
      <c r="J26" s="48">
        <v>20171.5</v>
      </c>
      <c r="K26" s="48">
        <v>805.2</v>
      </c>
      <c r="L26" s="48">
        <v>398.1</v>
      </c>
      <c r="M26" s="48">
        <v>463.6</v>
      </c>
      <c r="N26" s="48">
        <v>9.4</v>
      </c>
    </row>
    <row r="27" spans="1:14" ht="10.050000000000001" customHeight="1">
      <c r="A27" s="45" t="s">
        <v>89</v>
      </c>
      <c r="B27" s="46">
        <v>2001</v>
      </c>
      <c r="C27" s="45" t="s">
        <v>107</v>
      </c>
      <c r="D27" s="47">
        <v>1</v>
      </c>
      <c r="E27" s="48">
        <v>17</v>
      </c>
      <c r="F27" s="48">
        <v>0</v>
      </c>
      <c r="G27" s="48">
        <v>17</v>
      </c>
      <c r="H27" s="48">
        <v>7330.1</v>
      </c>
      <c r="I27" s="48">
        <v>1765.9</v>
      </c>
      <c r="J27" s="48">
        <v>9096</v>
      </c>
      <c r="K27" s="48">
        <v>21.1</v>
      </c>
      <c r="L27" s="48">
        <v>0</v>
      </c>
      <c r="M27" s="48">
        <v>0</v>
      </c>
      <c r="N27" s="48">
        <v>1.8</v>
      </c>
    </row>
    <row r="28" spans="1:14" ht="10.050000000000001" customHeight="1">
      <c r="A28" s="45" t="s">
        <v>87</v>
      </c>
      <c r="B28" s="46">
        <v>2001</v>
      </c>
      <c r="C28" s="45" t="s">
        <v>107</v>
      </c>
      <c r="D28" s="47">
        <v>1</v>
      </c>
      <c r="E28" s="48">
        <v>98219</v>
      </c>
      <c r="F28" s="48">
        <v>15468.1</v>
      </c>
      <c r="G28" s="48">
        <v>113687.1</v>
      </c>
      <c r="H28" s="48">
        <v>499876.3</v>
      </c>
      <c r="I28" s="48">
        <v>31446.400000000001</v>
      </c>
      <c r="J28" s="48">
        <v>531322.69999999995</v>
      </c>
      <c r="K28" s="48">
        <v>113880.8</v>
      </c>
      <c r="L28" s="48">
        <v>21451.1</v>
      </c>
      <c r="M28" s="48">
        <v>58251.7</v>
      </c>
      <c r="N28" s="48">
        <v>908.3</v>
      </c>
    </row>
    <row r="29" spans="1:14" ht="10.050000000000001" customHeight="1">
      <c r="A29" s="45" t="s">
        <v>84</v>
      </c>
      <c r="B29" s="46">
        <v>2001</v>
      </c>
      <c r="C29" s="45" t="s">
        <v>107</v>
      </c>
      <c r="D29" s="47">
        <v>2</v>
      </c>
      <c r="E29" s="48">
        <v>1986.8</v>
      </c>
      <c r="F29" s="48">
        <v>56.7</v>
      </c>
      <c r="G29" s="48">
        <v>2043.5</v>
      </c>
      <c r="H29" s="48">
        <v>17022.400000000001</v>
      </c>
      <c r="I29" s="48">
        <v>536.79999999999995</v>
      </c>
      <c r="J29" s="48">
        <v>17559.2</v>
      </c>
      <c r="K29" s="48">
        <v>901.4</v>
      </c>
      <c r="L29" s="48">
        <v>250.3</v>
      </c>
      <c r="M29" s="48">
        <v>133.6</v>
      </c>
      <c r="N29" s="48">
        <v>20.5</v>
      </c>
    </row>
    <row r="30" spans="1:14" ht="10.050000000000001" customHeight="1">
      <c r="A30" s="45" t="s">
        <v>89</v>
      </c>
      <c r="B30" s="46">
        <v>2001</v>
      </c>
      <c r="C30" s="45" t="s">
        <v>107</v>
      </c>
      <c r="D30" s="47">
        <v>2</v>
      </c>
      <c r="E30" s="48">
        <v>49</v>
      </c>
      <c r="F30" s="48">
        <v>0</v>
      </c>
      <c r="G30" s="48">
        <v>49</v>
      </c>
      <c r="H30" s="48">
        <v>6662.9</v>
      </c>
      <c r="I30" s="48">
        <v>1578.1</v>
      </c>
      <c r="J30" s="48">
        <v>8241</v>
      </c>
      <c r="K30" s="48">
        <v>20.3</v>
      </c>
      <c r="L30" s="48">
        <v>2.5</v>
      </c>
      <c r="M30" s="48">
        <v>2.5</v>
      </c>
      <c r="N30" s="48">
        <v>0.8</v>
      </c>
    </row>
    <row r="31" spans="1:14" ht="10.050000000000001" customHeight="1">
      <c r="A31" s="45" t="s">
        <v>87</v>
      </c>
      <c r="B31" s="46">
        <v>2001</v>
      </c>
      <c r="C31" s="45" t="s">
        <v>107</v>
      </c>
      <c r="D31" s="47">
        <v>2</v>
      </c>
      <c r="E31" s="48">
        <v>58364.3</v>
      </c>
      <c r="F31" s="48">
        <v>5659.6</v>
      </c>
      <c r="G31" s="48">
        <v>64023.9</v>
      </c>
      <c r="H31" s="48">
        <v>456897.1</v>
      </c>
      <c r="I31" s="48">
        <v>17143.599999999999</v>
      </c>
      <c r="J31" s="48">
        <v>474040.7</v>
      </c>
      <c r="K31" s="48">
        <v>89525</v>
      </c>
      <c r="L31" s="48">
        <v>5547.8</v>
      </c>
      <c r="M31" s="48">
        <v>28025.9</v>
      </c>
      <c r="N31" s="48">
        <v>1877.7</v>
      </c>
    </row>
    <row r="32" spans="1:14" ht="10.050000000000001" customHeight="1">
      <c r="A32" s="45" t="s">
        <v>84</v>
      </c>
      <c r="B32" s="46">
        <v>2001</v>
      </c>
      <c r="C32" s="45" t="s">
        <v>107</v>
      </c>
      <c r="D32" s="47">
        <v>3</v>
      </c>
      <c r="E32" s="48">
        <v>3085.6</v>
      </c>
      <c r="F32" s="48">
        <v>191.5</v>
      </c>
      <c r="G32" s="48">
        <v>3277.1</v>
      </c>
      <c r="H32" s="48">
        <v>16548</v>
      </c>
      <c r="I32" s="48">
        <v>672.5</v>
      </c>
      <c r="J32" s="48">
        <v>17220.5</v>
      </c>
      <c r="K32" s="48">
        <v>528.70000000000005</v>
      </c>
      <c r="L32" s="48">
        <v>158.6</v>
      </c>
      <c r="M32" s="48">
        <v>468.6</v>
      </c>
      <c r="N32" s="48">
        <v>62.7</v>
      </c>
    </row>
    <row r="33" spans="1:14" ht="10.050000000000001" customHeight="1">
      <c r="A33" s="45" t="s">
        <v>89</v>
      </c>
      <c r="B33" s="46">
        <v>2001</v>
      </c>
      <c r="C33" s="45" t="s">
        <v>107</v>
      </c>
      <c r="D33" s="47">
        <v>3</v>
      </c>
      <c r="E33" s="48">
        <v>24.4</v>
      </c>
      <c r="F33" s="48">
        <v>0</v>
      </c>
      <c r="G33" s="48">
        <v>24.4</v>
      </c>
      <c r="H33" s="48">
        <v>5574.8</v>
      </c>
      <c r="I33" s="48">
        <v>1175.8</v>
      </c>
      <c r="J33" s="48">
        <v>6750.6</v>
      </c>
      <c r="K33" s="48">
        <v>13</v>
      </c>
      <c r="L33" s="48">
        <v>0</v>
      </c>
      <c r="M33" s="48">
        <v>0</v>
      </c>
      <c r="N33" s="48">
        <v>7.3</v>
      </c>
    </row>
    <row r="34" spans="1:14" ht="10.050000000000001" customHeight="1">
      <c r="A34" s="45" t="s">
        <v>87</v>
      </c>
      <c r="B34" s="46">
        <v>2001</v>
      </c>
      <c r="C34" s="45" t="s">
        <v>107</v>
      </c>
      <c r="D34" s="47">
        <v>3</v>
      </c>
      <c r="E34" s="48">
        <v>79006.8</v>
      </c>
      <c r="F34" s="48">
        <v>792.8</v>
      </c>
      <c r="G34" s="48">
        <v>79799.600000000006</v>
      </c>
      <c r="H34" s="48">
        <v>401376.8</v>
      </c>
      <c r="I34" s="48">
        <v>13408.1</v>
      </c>
      <c r="J34" s="48">
        <v>414784.9</v>
      </c>
      <c r="K34" s="48">
        <v>54815.199999999997</v>
      </c>
      <c r="L34" s="48">
        <v>6329.8</v>
      </c>
      <c r="M34" s="48">
        <v>38594.800000000003</v>
      </c>
      <c r="N34" s="48">
        <v>2444.8000000000002</v>
      </c>
    </row>
    <row r="35" spans="1:14" ht="10.050000000000001" customHeight="1">
      <c r="A35" s="45" t="s">
        <v>84</v>
      </c>
      <c r="B35" s="46">
        <v>2001</v>
      </c>
      <c r="C35" s="45" t="s">
        <v>107</v>
      </c>
      <c r="D35" s="47">
        <v>4</v>
      </c>
      <c r="E35" s="48">
        <v>1419</v>
      </c>
      <c r="F35" s="48">
        <v>0</v>
      </c>
      <c r="G35" s="48">
        <v>1419</v>
      </c>
      <c r="H35" s="48">
        <v>13646.5</v>
      </c>
      <c r="I35" s="48">
        <v>671.5</v>
      </c>
      <c r="J35" s="48">
        <v>14318</v>
      </c>
      <c r="K35" s="48">
        <v>279.60000000000002</v>
      </c>
      <c r="L35" s="48">
        <v>29.1</v>
      </c>
      <c r="M35" s="48">
        <v>223.1</v>
      </c>
      <c r="N35" s="48">
        <v>55.1</v>
      </c>
    </row>
    <row r="36" spans="1:14" ht="10.050000000000001" customHeight="1">
      <c r="A36" s="45" t="s">
        <v>89</v>
      </c>
      <c r="B36" s="46">
        <v>2001</v>
      </c>
      <c r="C36" s="45" t="s">
        <v>107</v>
      </c>
      <c r="D36" s="47">
        <v>4</v>
      </c>
      <c r="E36" s="48">
        <v>0</v>
      </c>
      <c r="F36" s="48">
        <v>0</v>
      </c>
      <c r="G36" s="48">
        <v>0</v>
      </c>
      <c r="H36" s="48">
        <v>5046.5</v>
      </c>
      <c r="I36" s="48">
        <v>1174.0999999999999</v>
      </c>
      <c r="J36" s="48">
        <v>6220.6</v>
      </c>
      <c r="K36" s="48">
        <v>12.6</v>
      </c>
      <c r="L36" s="48">
        <v>0</v>
      </c>
      <c r="M36" s="48">
        <v>0</v>
      </c>
      <c r="N36" s="48">
        <v>0.4</v>
      </c>
    </row>
    <row r="37" spans="1:14" ht="10.050000000000001" customHeight="1">
      <c r="A37" s="45" t="s">
        <v>87</v>
      </c>
      <c r="B37" s="46">
        <v>2001</v>
      </c>
      <c r="C37" s="45" t="s">
        <v>107</v>
      </c>
      <c r="D37" s="47">
        <v>4</v>
      </c>
      <c r="E37" s="48">
        <v>39244.300000000003</v>
      </c>
      <c r="F37" s="48">
        <v>432.3</v>
      </c>
      <c r="G37" s="48">
        <v>39676.6</v>
      </c>
      <c r="H37" s="48">
        <v>309953.59999999998</v>
      </c>
      <c r="I37" s="48">
        <v>10384.4</v>
      </c>
      <c r="J37" s="48">
        <v>320338</v>
      </c>
      <c r="K37" s="48">
        <v>33888.199999999997</v>
      </c>
      <c r="L37" s="48">
        <v>1833.6</v>
      </c>
      <c r="M37" s="48">
        <v>21505.8</v>
      </c>
      <c r="N37" s="48">
        <v>1254.8</v>
      </c>
    </row>
    <row r="38" spans="1:14" ht="10.050000000000001" customHeight="1">
      <c r="A38" s="45" t="s">
        <v>84</v>
      </c>
      <c r="B38" s="46">
        <v>2001</v>
      </c>
      <c r="C38" s="45" t="s">
        <v>107</v>
      </c>
      <c r="D38" s="47">
        <v>5</v>
      </c>
      <c r="E38" s="48">
        <v>838.9</v>
      </c>
      <c r="F38" s="48">
        <v>0</v>
      </c>
      <c r="G38" s="48">
        <v>838.9</v>
      </c>
      <c r="H38" s="48">
        <v>10629</v>
      </c>
      <c r="I38" s="48">
        <v>274.39999999999998</v>
      </c>
      <c r="J38" s="48">
        <v>10903.4</v>
      </c>
      <c r="K38" s="48">
        <v>79.599999999999994</v>
      </c>
      <c r="L38" s="48">
        <v>17.600000000000001</v>
      </c>
      <c r="M38" s="48">
        <v>217.6</v>
      </c>
      <c r="N38" s="48">
        <v>0</v>
      </c>
    </row>
    <row r="39" spans="1:14" ht="10.050000000000001" customHeight="1">
      <c r="A39" s="45" t="s">
        <v>89</v>
      </c>
      <c r="B39" s="46">
        <v>2001</v>
      </c>
      <c r="C39" s="45" t="s">
        <v>107</v>
      </c>
      <c r="D39" s="47">
        <v>5</v>
      </c>
      <c r="E39" s="48">
        <v>13</v>
      </c>
      <c r="F39" s="48">
        <v>50.3</v>
      </c>
      <c r="G39" s="48">
        <v>63.3</v>
      </c>
      <c r="H39" s="48">
        <v>4185.3999999999996</v>
      </c>
      <c r="I39" s="48">
        <v>834.8</v>
      </c>
      <c r="J39" s="48">
        <v>5020.2</v>
      </c>
      <c r="K39" s="48">
        <v>12.2</v>
      </c>
      <c r="L39" s="48">
        <v>0</v>
      </c>
      <c r="M39" s="48">
        <v>0</v>
      </c>
      <c r="N39" s="48">
        <v>0.4</v>
      </c>
    </row>
    <row r="40" spans="1:14" ht="10.050000000000001" customHeight="1">
      <c r="A40" s="45" t="s">
        <v>87</v>
      </c>
      <c r="B40" s="46">
        <v>2001</v>
      </c>
      <c r="C40" s="45" t="s">
        <v>107</v>
      </c>
      <c r="D40" s="47">
        <v>5</v>
      </c>
      <c r="E40" s="48">
        <v>44466.1</v>
      </c>
      <c r="F40" s="48">
        <v>1416.7</v>
      </c>
      <c r="G40" s="48">
        <v>45882.8</v>
      </c>
      <c r="H40" s="48">
        <v>227245.7</v>
      </c>
      <c r="I40" s="48">
        <v>6066.3</v>
      </c>
      <c r="J40" s="48">
        <v>233312</v>
      </c>
      <c r="K40" s="48">
        <v>13006</v>
      </c>
      <c r="L40" s="48">
        <v>2036.3</v>
      </c>
      <c r="M40" s="48">
        <v>22213.4</v>
      </c>
      <c r="N40" s="48">
        <v>705.1</v>
      </c>
    </row>
    <row r="41" spans="1:14" ht="10.050000000000001" customHeight="1">
      <c r="A41" s="45" t="s">
        <v>84</v>
      </c>
      <c r="B41" s="46">
        <v>2001</v>
      </c>
      <c r="C41" s="45" t="s">
        <v>107</v>
      </c>
      <c r="D41" s="47">
        <v>6</v>
      </c>
      <c r="E41" s="48">
        <v>926.2</v>
      </c>
      <c r="F41" s="48">
        <v>143.30000000000001</v>
      </c>
      <c r="G41" s="48">
        <v>1069.5</v>
      </c>
      <c r="H41" s="48">
        <v>5939.1</v>
      </c>
      <c r="I41" s="48">
        <v>204.1</v>
      </c>
      <c r="J41" s="48">
        <v>6143.2</v>
      </c>
      <c r="K41" s="48">
        <v>1</v>
      </c>
      <c r="L41" s="48">
        <v>2</v>
      </c>
      <c r="M41" s="48">
        <v>77.7</v>
      </c>
      <c r="N41" s="48">
        <v>2.9</v>
      </c>
    </row>
    <row r="42" spans="1:14" ht="10.050000000000001" customHeight="1">
      <c r="A42" s="45" t="s">
        <v>89</v>
      </c>
      <c r="B42" s="46">
        <v>2001</v>
      </c>
      <c r="C42" s="45" t="s">
        <v>107</v>
      </c>
      <c r="D42" s="47">
        <v>6</v>
      </c>
      <c r="E42" s="48">
        <v>139.69999999999999</v>
      </c>
      <c r="F42" s="48">
        <v>99.4</v>
      </c>
      <c r="G42" s="48">
        <v>239.1</v>
      </c>
      <c r="H42" s="48">
        <v>3711.7</v>
      </c>
      <c r="I42" s="48">
        <v>819.7</v>
      </c>
      <c r="J42" s="48">
        <v>4531.3999999999996</v>
      </c>
      <c r="K42" s="48">
        <v>0.2</v>
      </c>
      <c r="L42" s="48">
        <v>0</v>
      </c>
      <c r="M42" s="48">
        <v>0</v>
      </c>
      <c r="N42" s="48">
        <v>12</v>
      </c>
    </row>
    <row r="43" spans="1:14" ht="10.050000000000001" customHeight="1">
      <c r="A43" s="45" t="s">
        <v>87</v>
      </c>
      <c r="B43" s="46">
        <v>2001</v>
      </c>
      <c r="C43" s="45" t="s">
        <v>107</v>
      </c>
      <c r="D43" s="47">
        <v>6</v>
      </c>
      <c r="E43" s="48">
        <v>34744.400000000001</v>
      </c>
      <c r="F43" s="48">
        <v>3446.6</v>
      </c>
      <c r="G43" s="48">
        <v>38191</v>
      </c>
      <c r="H43" s="48">
        <v>122595.5</v>
      </c>
      <c r="I43" s="48">
        <v>3328.8</v>
      </c>
      <c r="J43" s="48">
        <v>125924.3</v>
      </c>
      <c r="K43" s="48">
        <v>1712.2</v>
      </c>
      <c r="L43" s="48">
        <v>745.8</v>
      </c>
      <c r="M43" s="48">
        <v>11048.1</v>
      </c>
      <c r="N43" s="48">
        <v>991.5</v>
      </c>
    </row>
    <row r="44" spans="1:14" ht="10.050000000000001" customHeight="1">
      <c r="A44" s="45" t="s">
        <v>84</v>
      </c>
      <c r="B44" s="46">
        <v>2001</v>
      </c>
      <c r="C44" s="45" t="s">
        <v>110</v>
      </c>
      <c r="D44" s="47">
        <v>7</v>
      </c>
      <c r="E44" s="48">
        <v>14882.2</v>
      </c>
      <c r="F44" s="48">
        <v>165.9</v>
      </c>
      <c r="G44" s="48">
        <v>15048.1</v>
      </c>
      <c r="H44" s="48">
        <v>16334.9</v>
      </c>
      <c r="I44" s="48">
        <v>377.5</v>
      </c>
      <c r="J44" s="48">
        <v>16712.400000000001</v>
      </c>
      <c r="K44" s="48">
        <v>598.20000000000005</v>
      </c>
      <c r="L44" s="48">
        <v>711</v>
      </c>
      <c r="M44" s="48">
        <v>113.2</v>
      </c>
      <c r="N44" s="48">
        <v>0.6</v>
      </c>
    </row>
    <row r="45" spans="1:14" ht="10.050000000000001" customHeight="1">
      <c r="A45" s="45" t="s">
        <v>89</v>
      </c>
      <c r="B45" s="46">
        <v>2001</v>
      </c>
      <c r="C45" s="45" t="s">
        <v>110</v>
      </c>
      <c r="D45" s="47">
        <v>7</v>
      </c>
      <c r="E45" s="48">
        <v>29.6</v>
      </c>
      <c r="F45" s="48">
        <v>0</v>
      </c>
      <c r="G45" s="48">
        <v>29.6</v>
      </c>
      <c r="H45" s="48">
        <v>3074.7</v>
      </c>
      <c r="I45" s="48">
        <v>817.6</v>
      </c>
      <c r="J45" s="48">
        <v>3892.3</v>
      </c>
      <c r="K45" s="48">
        <v>0</v>
      </c>
      <c r="L45" s="48">
        <v>0</v>
      </c>
      <c r="M45" s="48">
        <v>0</v>
      </c>
      <c r="N45" s="48">
        <v>0.2</v>
      </c>
    </row>
    <row r="46" spans="1:14" ht="10.050000000000001" customHeight="1">
      <c r="A46" s="45" t="s">
        <v>87</v>
      </c>
      <c r="B46" s="46">
        <v>2001</v>
      </c>
      <c r="C46" s="45" t="s">
        <v>110</v>
      </c>
      <c r="D46" s="47">
        <v>7</v>
      </c>
      <c r="E46" s="48">
        <v>325814</v>
      </c>
      <c r="F46" s="48">
        <v>7834.9</v>
      </c>
      <c r="G46" s="48">
        <v>333648.90000000002</v>
      </c>
      <c r="H46" s="48">
        <v>317375.3</v>
      </c>
      <c r="I46" s="48">
        <v>9591.6</v>
      </c>
      <c r="J46" s="48">
        <v>326966.90000000002</v>
      </c>
      <c r="K46" s="48">
        <v>77401.2</v>
      </c>
      <c r="L46" s="48">
        <v>78068.100000000006</v>
      </c>
      <c r="M46" s="48">
        <v>2066.1999999999998</v>
      </c>
      <c r="N46" s="48">
        <v>312.89999999999998</v>
      </c>
    </row>
    <row r="47" spans="1:14" ht="10.050000000000001" customHeight="1">
      <c r="A47" s="45" t="s">
        <v>84</v>
      </c>
      <c r="B47" s="46">
        <v>2001</v>
      </c>
      <c r="C47" s="45" t="s">
        <v>110</v>
      </c>
      <c r="D47" s="47">
        <v>8</v>
      </c>
      <c r="E47" s="48">
        <v>64067</v>
      </c>
      <c r="F47" s="48">
        <v>1171.0999999999999</v>
      </c>
      <c r="G47" s="48">
        <v>65238.1</v>
      </c>
      <c r="H47" s="48">
        <v>64967.9</v>
      </c>
      <c r="I47" s="48">
        <v>1068.0999999999999</v>
      </c>
      <c r="J47" s="48">
        <v>66036</v>
      </c>
      <c r="K47" s="48">
        <v>3842.7</v>
      </c>
      <c r="L47" s="48">
        <v>3457.5</v>
      </c>
      <c r="M47" s="48">
        <v>202.5</v>
      </c>
      <c r="N47" s="48">
        <v>10.5</v>
      </c>
    </row>
    <row r="48" spans="1:14" ht="10.050000000000001" customHeight="1">
      <c r="A48" s="45" t="s">
        <v>89</v>
      </c>
      <c r="B48" s="46">
        <v>2001</v>
      </c>
      <c r="C48" s="45" t="s">
        <v>110</v>
      </c>
      <c r="D48" s="47">
        <v>8</v>
      </c>
      <c r="E48" s="48">
        <v>2144.9</v>
      </c>
      <c r="F48" s="48">
        <v>390.1</v>
      </c>
      <c r="G48" s="48">
        <v>2535</v>
      </c>
      <c r="H48" s="48">
        <v>4398.1000000000004</v>
      </c>
      <c r="I48" s="48">
        <v>1213.5</v>
      </c>
      <c r="J48" s="48">
        <v>5611.6</v>
      </c>
      <c r="K48" s="48">
        <v>143.30000000000001</v>
      </c>
      <c r="L48" s="48">
        <v>153.1</v>
      </c>
      <c r="M48" s="48">
        <v>0</v>
      </c>
      <c r="N48" s="48">
        <v>9.8000000000000007</v>
      </c>
    </row>
    <row r="49" spans="1:14" ht="10.050000000000001" customHeight="1">
      <c r="A49" s="45" t="s">
        <v>87</v>
      </c>
      <c r="B49" s="46">
        <v>2001</v>
      </c>
      <c r="C49" s="45" t="s">
        <v>110</v>
      </c>
      <c r="D49" s="47">
        <v>8</v>
      </c>
      <c r="E49" s="48">
        <v>453126.8</v>
      </c>
      <c r="F49" s="48">
        <v>11441.5</v>
      </c>
      <c r="G49" s="48">
        <v>464568.3</v>
      </c>
      <c r="H49" s="48">
        <v>555677</v>
      </c>
      <c r="I49" s="48">
        <v>19619.5</v>
      </c>
      <c r="J49" s="48">
        <v>575296.5</v>
      </c>
      <c r="K49" s="48">
        <v>231770</v>
      </c>
      <c r="L49" s="48">
        <v>178274.3</v>
      </c>
      <c r="M49" s="48">
        <v>23015.7</v>
      </c>
      <c r="N49" s="48">
        <v>889.8</v>
      </c>
    </row>
    <row r="50" spans="1:14" ht="10.050000000000001" customHeight="1">
      <c r="A50" s="45" t="s">
        <v>84</v>
      </c>
      <c r="B50" s="46">
        <v>2001</v>
      </c>
      <c r="C50" s="45" t="s">
        <v>110</v>
      </c>
      <c r="D50" s="47">
        <v>9</v>
      </c>
      <c r="E50" s="48">
        <v>18099.900000000001</v>
      </c>
      <c r="F50" s="48">
        <v>501.1</v>
      </c>
      <c r="G50" s="48">
        <v>18601</v>
      </c>
      <c r="H50" s="48">
        <v>61040</v>
      </c>
      <c r="I50" s="48">
        <v>1378.3</v>
      </c>
      <c r="J50" s="48">
        <v>62418.3</v>
      </c>
      <c r="K50" s="48">
        <v>3611.6</v>
      </c>
      <c r="L50" s="48">
        <v>1007.6</v>
      </c>
      <c r="M50" s="48">
        <v>1224.3</v>
      </c>
      <c r="N50" s="48">
        <v>17.3</v>
      </c>
    </row>
    <row r="51" spans="1:14" ht="10.050000000000001" customHeight="1">
      <c r="A51" s="45" t="s">
        <v>89</v>
      </c>
      <c r="B51" s="46">
        <v>2001</v>
      </c>
      <c r="C51" s="45" t="s">
        <v>110</v>
      </c>
      <c r="D51" s="47">
        <v>9</v>
      </c>
      <c r="E51" s="48">
        <v>2686.2</v>
      </c>
      <c r="F51" s="48">
        <v>885.9</v>
      </c>
      <c r="G51" s="48">
        <v>3572.1</v>
      </c>
      <c r="H51" s="48">
        <v>6171.9</v>
      </c>
      <c r="I51" s="48">
        <v>1983.5</v>
      </c>
      <c r="J51" s="48">
        <v>8155.4</v>
      </c>
      <c r="K51" s="48">
        <v>132.30000000000001</v>
      </c>
      <c r="L51" s="48">
        <v>47.8</v>
      </c>
      <c r="M51" s="48">
        <v>20.100000000000001</v>
      </c>
      <c r="N51" s="48">
        <v>38.700000000000003</v>
      </c>
    </row>
    <row r="52" spans="1:14" ht="10.050000000000001" customHeight="1">
      <c r="A52" s="45" t="s">
        <v>87</v>
      </c>
      <c r="B52" s="46">
        <v>2001</v>
      </c>
      <c r="C52" s="45" t="s">
        <v>110</v>
      </c>
      <c r="D52" s="47">
        <v>9</v>
      </c>
      <c r="E52" s="48">
        <v>111713.7</v>
      </c>
      <c r="F52" s="48">
        <v>1225.8</v>
      </c>
      <c r="G52" s="48">
        <v>112939.5</v>
      </c>
      <c r="H52" s="48">
        <v>536448.30000000005</v>
      </c>
      <c r="I52" s="48">
        <v>20369</v>
      </c>
      <c r="J52" s="48">
        <v>556817.30000000005</v>
      </c>
      <c r="K52" s="48">
        <v>197578.8</v>
      </c>
      <c r="L52" s="48">
        <v>22300.6</v>
      </c>
      <c r="M52" s="48">
        <v>55696.1</v>
      </c>
      <c r="N52" s="48">
        <v>795.7</v>
      </c>
    </row>
    <row r="53" spans="1:14" ht="10.050000000000001" customHeight="1">
      <c r="A53" s="45" t="s">
        <v>84</v>
      </c>
      <c r="B53" s="46">
        <v>2001</v>
      </c>
      <c r="C53" s="45" t="s">
        <v>110</v>
      </c>
      <c r="D53" s="47">
        <v>10</v>
      </c>
      <c r="E53" s="48">
        <v>8592.2999999999993</v>
      </c>
      <c r="F53" s="48">
        <v>1506</v>
      </c>
      <c r="G53" s="48">
        <v>10098.299999999999</v>
      </c>
      <c r="H53" s="48">
        <v>59090.8</v>
      </c>
      <c r="I53" s="48">
        <v>2328.9</v>
      </c>
      <c r="J53" s="48">
        <v>61419.7</v>
      </c>
      <c r="K53" s="48">
        <v>3014.1</v>
      </c>
      <c r="L53" s="48">
        <v>316.39999999999998</v>
      </c>
      <c r="M53" s="48">
        <v>852.2</v>
      </c>
      <c r="N53" s="48">
        <v>61.7</v>
      </c>
    </row>
    <row r="54" spans="1:14" ht="10.050000000000001" customHeight="1">
      <c r="A54" s="45" t="s">
        <v>89</v>
      </c>
      <c r="B54" s="46">
        <v>2001</v>
      </c>
      <c r="C54" s="45" t="s">
        <v>110</v>
      </c>
      <c r="D54" s="47">
        <v>10</v>
      </c>
      <c r="E54" s="48">
        <v>469.3</v>
      </c>
      <c r="F54" s="48">
        <v>253.5</v>
      </c>
      <c r="G54" s="48">
        <v>722.8</v>
      </c>
      <c r="H54" s="48">
        <v>5786.2</v>
      </c>
      <c r="I54" s="48">
        <v>2249.9</v>
      </c>
      <c r="J54" s="48">
        <v>8036.1</v>
      </c>
      <c r="K54" s="48">
        <v>161.69999999999999</v>
      </c>
      <c r="L54" s="48">
        <v>71.099999999999994</v>
      </c>
      <c r="M54" s="48">
        <v>11.6</v>
      </c>
      <c r="N54" s="48">
        <v>30.1</v>
      </c>
    </row>
    <row r="55" spans="1:14" ht="10.050000000000001" customHeight="1">
      <c r="A55" s="45" t="s">
        <v>87</v>
      </c>
      <c r="B55" s="46">
        <v>2001</v>
      </c>
      <c r="C55" s="45" t="s">
        <v>110</v>
      </c>
      <c r="D55" s="47">
        <v>10</v>
      </c>
      <c r="E55" s="48">
        <v>51057.1</v>
      </c>
      <c r="F55" s="48">
        <v>5160.1000000000004</v>
      </c>
      <c r="G55" s="48">
        <v>56217.2</v>
      </c>
      <c r="H55" s="48">
        <v>432403.8</v>
      </c>
      <c r="I55" s="48">
        <v>24463.3</v>
      </c>
      <c r="J55" s="48">
        <v>456867.1</v>
      </c>
      <c r="K55" s="48">
        <v>175444.2</v>
      </c>
      <c r="L55" s="48">
        <v>5508.6</v>
      </c>
      <c r="M55" s="48">
        <v>24099.9</v>
      </c>
      <c r="N55" s="48">
        <v>3543.3</v>
      </c>
    </row>
    <row r="56" spans="1:14" ht="10.050000000000001" customHeight="1">
      <c r="A56" s="45" t="s">
        <v>84</v>
      </c>
      <c r="B56" s="46">
        <v>2001</v>
      </c>
      <c r="C56" s="45" t="s">
        <v>110</v>
      </c>
      <c r="D56" s="47">
        <v>11</v>
      </c>
      <c r="E56" s="48">
        <v>3117</v>
      </c>
      <c r="F56" s="48">
        <v>2252.4</v>
      </c>
      <c r="G56" s="48">
        <v>5369.4</v>
      </c>
      <c r="H56" s="48">
        <v>53906</v>
      </c>
      <c r="I56" s="48">
        <v>3921.1</v>
      </c>
      <c r="J56" s="48">
        <v>57827.1</v>
      </c>
      <c r="K56" s="48">
        <v>2738</v>
      </c>
      <c r="L56" s="48">
        <v>148.5</v>
      </c>
      <c r="M56" s="48">
        <v>384.9</v>
      </c>
      <c r="N56" s="48">
        <v>39.700000000000003</v>
      </c>
    </row>
    <row r="57" spans="1:14" ht="10.050000000000001" customHeight="1">
      <c r="A57" s="45" t="s">
        <v>89</v>
      </c>
      <c r="B57" s="46">
        <v>2001</v>
      </c>
      <c r="C57" s="45" t="s">
        <v>110</v>
      </c>
      <c r="D57" s="47">
        <v>11</v>
      </c>
      <c r="E57" s="48">
        <v>92.6</v>
      </c>
      <c r="F57" s="48">
        <v>401.7</v>
      </c>
      <c r="G57" s="48">
        <v>494.3</v>
      </c>
      <c r="H57" s="48">
        <v>5423.3</v>
      </c>
      <c r="I57" s="48">
        <v>2572.6999999999998</v>
      </c>
      <c r="J57" s="48">
        <v>7996</v>
      </c>
      <c r="K57" s="48">
        <v>128.80000000000001</v>
      </c>
      <c r="L57" s="48">
        <v>1.9</v>
      </c>
      <c r="M57" s="48">
        <v>2</v>
      </c>
      <c r="N57" s="48">
        <v>32.799999999999997</v>
      </c>
    </row>
    <row r="58" spans="1:14" ht="10.050000000000001" customHeight="1">
      <c r="A58" s="45" t="s">
        <v>87</v>
      </c>
      <c r="B58" s="46">
        <v>2001</v>
      </c>
      <c r="C58" s="45" t="s">
        <v>110</v>
      </c>
      <c r="D58" s="47">
        <v>11</v>
      </c>
      <c r="E58" s="48">
        <v>45257.7</v>
      </c>
      <c r="F58" s="48">
        <v>9554</v>
      </c>
      <c r="G58" s="48">
        <v>54811.7</v>
      </c>
      <c r="H58" s="48">
        <v>371607.4</v>
      </c>
      <c r="I58" s="48">
        <v>30012.9</v>
      </c>
      <c r="J58" s="48">
        <v>401620.3</v>
      </c>
      <c r="K58" s="48">
        <v>153148.20000000001</v>
      </c>
      <c r="L58" s="48">
        <v>4755.3</v>
      </c>
      <c r="M58" s="48">
        <v>25140</v>
      </c>
      <c r="N58" s="48">
        <v>1911.3</v>
      </c>
    </row>
    <row r="59" spans="1:14" ht="10.050000000000001" customHeight="1">
      <c r="A59" s="45" t="s">
        <v>84</v>
      </c>
      <c r="B59" s="46">
        <v>2001</v>
      </c>
      <c r="C59" s="45" t="s">
        <v>110</v>
      </c>
      <c r="D59" s="47">
        <v>12</v>
      </c>
      <c r="E59" s="48">
        <v>3170</v>
      </c>
      <c r="F59" s="48">
        <v>2046.3</v>
      </c>
      <c r="G59" s="48">
        <v>5216.3</v>
      </c>
      <c r="H59" s="48">
        <v>52310.3</v>
      </c>
      <c r="I59" s="48">
        <v>4439.6000000000004</v>
      </c>
      <c r="J59" s="48">
        <v>56749.9</v>
      </c>
      <c r="K59" s="48">
        <v>3657.2</v>
      </c>
      <c r="L59" s="48">
        <v>3047.3</v>
      </c>
      <c r="M59" s="48">
        <v>2076.6</v>
      </c>
      <c r="N59" s="48">
        <v>51.5</v>
      </c>
    </row>
    <row r="60" spans="1:14" ht="10.050000000000001" customHeight="1">
      <c r="A60" s="45" t="s">
        <v>89</v>
      </c>
      <c r="B60" s="46">
        <v>2001</v>
      </c>
      <c r="C60" s="45" t="s">
        <v>110</v>
      </c>
      <c r="D60" s="47">
        <v>12</v>
      </c>
      <c r="E60" s="48">
        <v>108.1</v>
      </c>
      <c r="F60" s="48">
        <v>27.7</v>
      </c>
      <c r="G60" s="48">
        <v>135.80000000000001</v>
      </c>
      <c r="H60" s="48">
        <v>5098.3</v>
      </c>
      <c r="I60" s="48">
        <v>2428.1</v>
      </c>
      <c r="J60" s="48">
        <v>7526.4</v>
      </c>
      <c r="K60" s="48">
        <v>110.3</v>
      </c>
      <c r="L60" s="48">
        <v>17.5</v>
      </c>
      <c r="M60" s="48">
        <v>17.3</v>
      </c>
      <c r="N60" s="48">
        <v>18.7</v>
      </c>
    </row>
    <row r="61" spans="1:14" ht="10.050000000000001" customHeight="1">
      <c r="A61" s="45" t="s">
        <v>87</v>
      </c>
      <c r="B61" s="46">
        <v>2001</v>
      </c>
      <c r="C61" s="45" t="s">
        <v>110</v>
      </c>
      <c r="D61" s="47">
        <v>12</v>
      </c>
      <c r="E61" s="48">
        <v>70510.8</v>
      </c>
      <c r="F61" s="48">
        <v>12954.4</v>
      </c>
      <c r="G61" s="48">
        <v>83465.2</v>
      </c>
      <c r="H61" s="48">
        <v>348847.7</v>
      </c>
      <c r="I61" s="48">
        <v>37876.300000000003</v>
      </c>
      <c r="J61" s="48">
        <v>386724</v>
      </c>
      <c r="K61" s="48">
        <v>117481.8</v>
      </c>
      <c r="L61" s="48">
        <v>18667</v>
      </c>
      <c r="M61" s="48">
        <v>50945.9</v>
      </c>
      <c r="N61" s="48">
        <v>3387.5</v>
      </c>
    </row>
    <row r="62" spans="1:14" ht="10.050000000000001" customHeight="1">
      <c r="A62" s="45" t="s">
        <v>87</v>
      </c>
      <c r="B62" s="46">
        <v>2001</v>
      </c>
      <c r="C62" s="45" t="s">
        <v>111</v>
      </c>
      <c r="D62" s="47">
        <v>2</v>
      </c>
      <c r="E62" s="48">
        <v>0</v>
      </c>
      <c r="F62" s="48">
        <v>0</v>
      </c>
      <c r="G62" s="48">
        <v>0</v>
      </c>
      <c r="H62" s="48">
        <v>0</v>
      </c>
      <c r="I62" s="48">
        <v>0</v>
      </c>
      <c r="J62" s="48">
        <v>0</v>
      </c>
      <c r="K62" s="48">
        <v>128.6</v>
      </c>
      <c r="L62" s="48">
        <v>0</v>
      </c>
      <c r="M62" s="48">
        <v>0</v>
      </c>
      <c r="N62" s="48">
        <v>0</v>
      </c>
    </row>
    <row r="63" spans="1:14" ht="10.050000000000001" customHeight="1">
      <c r="A63" s="45" t="s">
        <v>87</v>
      </c>
      <c r="B63" s="46">
        <v>2001</v>
      </c>
      <c r="C63" s="45" t="s">
        <v>108</v>
      </c>
      <c r="D63" s="47">
        <v>1</v>
      </c>
      <c r="E63" s="48">
        <v>0</v>
      </c>
      <c r="F63" s="48">
        <v>0</v>
      </c>
      <c r="G63" s="48">
        <v>0</v>
      </c>
      <c r="H63" s="48">
        <v>54.5</v>
      </c>
      <c r="I63" s="48">
        <v>0</v>
      </c>
      <c r="J63" s="48">
        <v>54.5</v>
      </c>
      <c r="K63" s="48">
        <v>0</v>
      </c>
      <c r="L63" s="48">
        <v>0</v>
      </c>
      <c r="M63" s="48">
        <v>0</v>
      </c>
      <c r="N63" s="48">
        <v>0</v>
      </c>
    </row>
    <row r="64" spans="1:14" ht="10.050000000000001" customHeight="1">
      <c r="A64" s="45" t="s">
        <v>84</v>
      </c>
      <c r="B64" s="46">
        <v>2002</v>
      </c>
      <c r="C64" s="45" t="s">
        <v>110</v>
      </c>
      <c r="D64" s="47">
        <v>1</v>
      </c>
      <c r="E64" s="48">
        <v>4226.3999999999996</v>
      </c>
      <c r="F64" s="48">
        <v>484.8</v>
      </c>
      <c r="G64" s="48">
        <v>4711.2</v>
      </c>
      <c r="H64" s="48">
        <v>47391.1</v>
      </c>
      <c r="I64" s="48">
        <v>3638.7</v>
      </c>
      <c r="J64" s="48">
        <v>51029.8</v>
      </c>
      <c r="K64" s="48">
        <v>3152.5</v>
      </c>
      <c r="L64" s="48">
        <v>640.20000000000005</v>
      </c>
      <c r="M64" s="48">
        <v>1062.3</v>
      </c>
      <c r="N64" s="48">
        <v>82.6</v>
      </c>
    </row>
    <row r="65" spans="1:14" ht="10.050000000000001" customHeight="1">
      <c r="A65" s="45" t="s">
        <v>89</v>
      </c>
      <c r="B65" s="46">
        <v>2002</v>
      </c>
      <c r="C65" s="45" t="s">
        <v>110</v>
      </c>
      <c r="D65" s="47">
        <v>1</v>
      </c>
      <c r="E65" s="48">
        <v>73</v>
      </c>
      <c r="F65" s="48">
        <v>141.30000000000001</v>
      </c>
      <c r="G65" s="48">
        <v>214.3</v>
      </c>
      <c r="H65" s="48">
        <v>4230.1000000000004</v>
      </c>
      <c r="I65" s="48">
        <v>2443.1999999999998</v>
      </c>
      <c r="J65" s="48">
        <v>6673.3</v>
      </c>
      <c r="K65" s="48">
        <v>103.3</v>
      </c>
      <c r="L65" s="48">
        <v>21.6</v>
      </c>
      <c r="M65" s="48">
        <v>12.1</v>
      </c>
      <c r="N65" s="48">
        <v>16.5</v>
      </c>
    </row>
    <row r="66" spans="1:14" ht="10.050000000000001" customHeight="1">
      <c r="A66" s="45" t="s">
        <v>87</v>
      </c>
      <c r="B66" s="46">
        <v>2002</v>
      </c>
      <c r="C66" s="45" t="s">
        <v>110</v>
      </c>
      <c r="D66" s="47">
        <v>1</v>
      </c>
      <c r="E66" s="48">
        <v>73106.600000000006</v>
      </c>
      <c r="F66" s="48">
        <v>12022.6</v>
      </c>
      <c r="G66" s="48">
        <v>85129.2</v>
      </c>
      <c r="H66" s="48">
        <v>317380.59999999998</v>
      </c>
      <c r="I66" s="48">
        <v>38394.199999999997</v>
      </c>
      <c r="J66" s="48">
        <v>355774.8</v>
      </c>
      <c r="K66" s="48">
        <v>90593.7</v>
      </c>
      <c r="L66" s="48">
        <v>7765.4</v>
      </c>
      <c r="M66" s="48">
        <v>33590.300000000003</v>
      </c>
      <c r="N66" s="48">
        <v>1063.2</v>
      </c>
    </row>
    <row r="67" spans="1:14" ht="10.050000000000001" customHeight="1">
      <c r="A67" s="45" t="s">
        <v>84</v>
      </c>
      <c r="B67" s="46">
        <v>2002</v>
      </c>
      <c r="C67" s="45" t="s">
        <v>110</v>
      </c>
      <c r="D67" s="47">
        <v>2</v>
      </c>
      <c r="E67" s="48">
        <v>5028.8999999999996</v>
      </c>
      <c r="F67" s="48">
        <v>421.2</v>
      </c>
      <c r="G67" s="48">
        <v>5450.1</v>
      </c>
      <c r="H67" s="48">
        <v>41015.599999999999</v>
      </c>
      <c r="I67" s="48">
        <v>2218</v>
      </c>
      <c r="J67" s="48">
        <v>43233.599999999999</v>
      </c>
      <c r="K67" s="48">
        <v>2802.1</v>
      </c>
      <c r="L67" s="48">
        <v>524.9</v>
      </c>
      <c r="M67" s="48">
        <v>816.7</v>
      </c>
      <c r="N67" s="48">
        <v>58.6</v>
      </c>
    </row>
    <row r="68" spans="1:14" ht="10.050000000000001" customHeight="1">
      <c r="A68" s="45" t="s">
        <v>89</v>
      </c>
      <c r="B68" s="46">
        <v>2002</v>
      </c>
      <c r="C68" s="45" t="s">
        <v>110</v>
      </c>
      <c r="D68" s="47">
        <v>2</v>
      </c>
      <c r="E68" s="48">
        <v>26.4</v>
      </c>
      <c r="F68" s="48">
        <v>140.30000000000001</v>
      </c>
      <c r="G68" s="48">
        <v>166.7</v>
      </c>
      <c r="H68" s="48">
        <v>4012.5</v>
      </c>
      <c r="I68" s="48">
        <v>1657.4</v>
      </c>
      <c r="J68" s="48">
        <v>5669.9</v>
      </c>
      <c r="K68" s="48">
        <v>90.6</v>
      </c>
      <c r="L68" s="48">
        <v>4.0999999999999996</v>
      </c>
      <c r="M68" s="48">
        <v>4.2</v>
      </c>
      <c r="N68" s="48">
        <v>12.6</v>
      </c>
    </row>
    <row r="69" spans="1:14" ht="10.050000000000001" customHeight="1">
      <c r="A69" s="45" t="s">
        <v>87</v>
      </c>
      <c r="B69" s="46">
        <v>2002</v>
      </c>
      <c r="C69" s="45" t="s">
        <v>110</v>
      </c>
      <c r="D69" s="47">
        <v>2</v>
      </c>
      <c r="E69" s="48">
        <v>62336.800000000003</v>
      </c>
      <c r="F69" s="48">
        <v>6293.9</v>
      </c>
      <c r="G69" s="48">
        <v>68630.7</v>
      </c>
      <c r="H69" s="48">
        <v>292586.5</v>
      </c>
      <c r="I69" s="48">
        <v>27683.1</v>
      </c>
      <c r="J69" s="48">
        <v>320269.59999999998</v>
      </c>
      <c r="K69" s="48">
        <v>68947</v>
      </c>
      <c r="L69" s="48">
        <v>4527.7</v>
      </c>
      <c r="M69" s="48">
        <v>24890.2</v>
      </c>
      <c r="N69" s="48">
        <v>1304.2</v>
      </c>
    </row>
    <row r="70" spans="1:14" ht="10.050000000000001" customHeight="1">
      <c r="A70" s="45" t="s">
        <v>84</v>
      </c>
      <c r="B70" s="46">
        <v>2002</v>
      </c>
      <c r="C70" s="45" t="s">
        <v>110</v>
      </c>
      <c r="D70" s="47">
        <v>3</v>
      </c>
      <c r="E70" s="48">
        <v>6415.8</v>
      </c>
      <c r="F70" s="48">
        <v>611.1</v>
      </c>
      <c r="G70" s="48">
        <v>7026.9</v>
      </c>
      <c r="H70" s="48">
        <v>41033.300000000003</v>
      </c>
      <c r="I70" s="48">
        <v>1588.7</v>
      </c>
      <c r="J70" s="48">
        <v>42622</v>
      </c>
      <c r="K70" s="48">
        <v>1097.4000000000001</v>
      </c>
      <c r="L70" s="48">
        <v>464.9</v>
      </c>
      <c r="M70" s="48">
        <v>2165</v>
      </c>
      <c r="N70" s="48">
        <v>4.5999999999999996</v>
      </c>
    </row>
    <row r="71" spans="1:14" ht="10.050000000000001" customHeight="1">
      <c r="A71" s="45" t="s">
        <v>89</v>
      </c>
      <c r="B71" s="46">
        <v>2002</v>
      </c>
      <c r="C71" s="45" t="s">
        <v>110</v>
      </c>
      <c r="D71" s="47">
        <v>3</v>
      </c>
      <c r="E71" s="48">
        <v>85</v>
      </c>
      <c r="F71" s="48">
        <v>0</v>
      </c>
      <c r="G71" s="48">
        <v>85</v>
      </c>
      <c r="H71" s="48">
        <v>3295.7</v>
      </c>
      <c r="I71" s="48">
        <v>1652</v>
      </c>
      <c r="J71" s="48">
        <v>4947.7</v>
      </c>
      <c r="K71" s="48">
        <v>47.6</v>
      </c>
      <c r="L71" s="48">
        <v>0.8</v>
      </c>
      <c r="M71" s="48">
        <v>19.7</v>
      </c>
      <c r="N71" s="48">
        <v>24.1</v>
      </c>
    </row>
    <row r="72" spans="1:14" ht="10.050000000000001" customHeight="1">
      <c r="A72" s="45" t="s">
        <v>87</v>
      </c>
      <c r="B72" s="46">
        <v>2002</v>
      </c>
      <c r="C72" s="45" t="s">
        <v>110</v>
      </c>
      <c r="D72" s="47">
        <v>3</v>
      </c>
      <c r="E72" s="48">
        <v>57851</v>
      </c>
      <c r="F72" s="48">
        <v>3187.7</v>
      </c>
      <c r="G72" s="48">
        <v>61038.7</v>
      </c>
      <c r="H72" s="48">
        <v>249964.9</v>
      </c>
      <c r="I72" s="48">
        <v>19226.599999999999</v>
      </c>
      <c r="J72" s="48">
        <v>269191.5</v>
      </c>
      <c r="K72" s="48">
        <v>43043.6</v>
      </c>
      <c r="L72" s="48">
        <v>2843.1</v>
      </c>
      <c r="M72" s="48">
        <v>28032.3</v>
      </c>
      <c r="N72" s="48">
        <v>714.2</v>
      </c>
    </row>
    <row r="73" spans="1:14" ht="10.050000000000001" customHeight="1">
      <c r="A73" s="45" t="s">
        <v>84</v>
      </c>
      <c r="B73" s="46">
        <v>2002</v>
      </c>
      <c r="C73" s="45" t="s">
        <v>110</v>
      </c>
      <c r="D73" s="47">
        <v>4</v>
      </c>
      <c r="E73" s="48">
        <v>2758.5</v>
      </c>
      <c r="F73" s="48">
        <v>0</v>
      </c>
      <c r="G73" s="48">
        <v>2758.5</v>
      </c>
      <c r="H73" s="48">
        <v>34005</v>
      </c>
      <c r="I73" s="48">
        <v>1292.2</v>
      </c>
      <c r="J73" s="48">
        <v>35297.199999999997</v>
      </c>
      <c r="K73" s="48">
        <v>889.6</v>
      </c>
      <c r="L73" s="48">
        <v>181.6</v>
      </c>
      <c r="M73" s="48">
        <v>378.8</v>
      </c>
      <c r="N73" s="48">
        <v>10.6</v>
      </c>
    </row>
    <row r="74" spans="1:14" ht="10.050000000000001" customHeight="1">
      <c r="A74" s="45" t="s">
        <v>89</v>
      </c>
      <c r="B74" s="46">
        <v>2002</v>
      </c>
      <c r="C74" s="45" t="s">
        <v>110</v>
      </c>
      <c r="D74" s="47">
        <v>4</v>
      </c>
      <c r="E74" s="48">
        <v>34.700000000000003</v>
      </c>
      <c r="F74" s="48">
        <v>0</v>
      </c>
      <c r="G74" s="48">
        <v>34.700000000000003</v>
      </c>
      <c r="H74" s="48">
        <v>3352.3</v>
      </c>
      <c r="I74" s="48">
        <v>1393.5</v>
      </c>
      <c r="J74" s="48">
        <v>4745.8</v>
      </c>
      <c r="K74" s="48">
        <v>53.1</v>
      </c>
      <c r="L74" s="48">
        <v>16.3</v>
      </c>
      <c r="M74" s="48">
        <v>8.1999999999999993</v>
      </c>
      <c r="N74" s="48">
        <v>2.6</v>
      </c>
    </row>
    <row r="75" spans="1:14" ht="10.050000000000001" customHeight="1">
      <c r="A75" s="45" t="s">
        <v>87</v>
      </c>
      <c r="B75" s="46">
        <v>2002</v>
      </c>
      <c r="C75" s="45" t="s">
        <v>110</v>
      </c>
      <c r="D75" s="47">
        <v>4</v>
      </c>
      <c r="E75" s="48">
        <v>34424.699999999997</v>
      </c>
      <c r="F75" s="48">
        <v>683.7</v>
      </c>
      <c r="G75" s="48">
        <v>35108.400000000001</v>
      </c>
      <c r="H75" s="48">
        <v>199298.9</v>
      </c>
      <c r="I75" s="48">
        <v>13121.3</v>
      </c>
      <c r="J75" s="48">
        <v>212420.2</v>
      </c>
      <c r="K75" s="48">
        <v>28428.9</v>
      </c>
      <c r="L75" s="48">
        <v>1667.9</v>
      </c>
      <c r="M75" s="48">
        <v>15012.7</v>
      </c>
      <c r="N75" s="48">
        <v>1269.9000000000001</v>
      </c>
    </row>
    <row r="76" spans="1:14" ht="10.050000000000001" customHeight="1">
      <c r="A76" s="45" t="s">
        <v>84</v>
      </c>
      <c r="B76" s="46">
        <v>2002</v>
      </c>
      <c r="C76" s="45" t="s">
        <v>110</v>
      </c>
      <c r="D76" s="47">
        <v>5</v>
      </c>
      <c r="E76" s="48">
        <v>2578.4</v>
      </c>
      <c r="F76" s="48">
        <v>0</v>
      </c>
      <c r="G76" s="48">
        <v>2578.4</v>
      </c>
      <c r="H76" s="48">
        <v>25900.7</v>
      </c>
      <c r="I76" s="48">
        <v>1123.9000000000001</v>
      </c>
      <c r="J76" s="48">
        <v>27024.6</v>
      </c>
      <c r="K76" s="48">
        <v>461.1</v>
      </c>
      <c r="L76" s="48">
        <v>141.80000000000001</v>
      </c>
      <c r="M76" s="48">
        <v>565.4</v>
      </c>
      <c r="N76" s="48">
        <v>4.9000000000000004</v>
      </c>
    </row>
    <row r="77" spans="1:14" ht="10.050000000000001" customHeight="1">
      <c r="A77" s="45" t="s">
        <v>89</v>
      </c>
      <c r="B77" s="46">
        <v>2002</v>
      </c>
      <c r="C77" s="45" t="s">
        <v>110</v>
      </c>
      <c r="D77" s="47">
        <v>5</v>
      </c>
      <c r="E77" s="48">
        <v>47.6</v>
      </c>
      <c r="F77" s="48">
        <v>0</v>
      </c>
      <c r="G77" s="48">
        <v>47.6</v>
      </c>
      <c r="H77" s="48">
        <v>2199.3000000000002</v>
      </c>
      <c r="I77" s="48">
        <v>1309.9000000000001</v>
      </c>
      <c r="J77" s="48">
        <v>3509.2</v>
      </c>
      <c r="K77" s="48">
        <v>17.899999999999999</v>
      </c>
      <c r="L77" s="48">
        <v>0</v>
      </c>
      <c r="M77" s="48">
        <v>15.6</v>
      </c>
      <c r="N77" s="48">
        <v>19.600000000000001</v>
      </c>
    </row>
    <row r="78" spans="1:14" ht="10.050000000000001" customHeight="1">
      <c r="A78" s="45" t="s">
        <v>87</v>
      </c>
      <c r="B78" s="46">
        <v>2002</v>
      </c>
      <c r="C78" s="45" t="s">
        <v>110</v>
      </c>
      <c r="D78" s="47">
        <v>5</v>
      </c>
      <c r="E78" s="48">
        <v>33593</v>
      </c>
      <c r="F78" s="48">
        <v>75.599999999999994</v>
      </c>
      <c r="G78" s="48">
        <v>33668.6</v>
      </c>
      <c r="H78" s="48">
        <v>137818.20000000001</v>
      </c>
      <c r="I78" s="48">
        <v>10577.5</v>
      </c>
      <c r="J78" s="48">
        <v>148395.70000000001</v>
      </c>
      <c r="K78" s="48">
        <v>10268.200000000001</v>
      </c>
      <c r="L78" s="48">
        <v>918.3</v>
      </c>
      <c r="M78" s="48">
        <v>17910.8</v>
      </c>
      <c r="N78" s="48">
        <v>1168.2</v>
      </c>
    </row>
    <row r="79" spans="1:14" ht="10.050000000000001" customHeight="1">
      <c r="A79" s="45" t="s">
        <v>84</v>
      </c>
      <c r="B79" s="46">
        <v>2002</v>
      </c>
      <c r="C79" s="45" t="s">
        <v>110</v>
      </c>
      <c r="D79" s="47">
        <v>6</v>
      </c>
      <c r="E79" s="48">
        <v>2800.7</v>
      </c>
      <c r="F79" s="48">
        <v>9.5</v>
      </c>
      <c r="G79" s="48">
        <v>2810.2</v>
      </c>
      <c r="H79" s="48">
        <v>18013.5</v>
      </c>
      <c r="I79" s="48">
        <v>619.9</v>
      </c>
      <c r="J79" s="48">
        <v>18633.400000000001</v>
      </c>
      <c r="K79" s="48">
        <v>12.7</v>
      </c>
      <c r="L79" s="48">
        <v>11.8</v>
      </c>
      <c r="M79" s="48">
        <v>432</v>
      </c>
      <c r="N79" s="48">
        <v>28.2</v>
      </c>
    </row>
    <row r="80" spans="1:14" ht="10.050000000000001" customHeight="1">
      <c r="A80" s="45" t="s">
        <v>89</v>
      </c>
      <c r="B80" s="46">
        <v>2002</v>
      </c>
      <c r="C80" s="45" t="s">
        <v>110</v>
      </c>
      <c r="D80" s="47">
        <v>6</v>
      </c>
      <c r="E80" s="48">
        <v>40.299999999999997</v>
      </c>
      <c r="F80" s="48">
        <v>19.100000000000001</v>
      </c>
      <c r="G80" s="48">
        <v>59.4</v>
      </c>
      <c r="H80" s="48">
        <v>2010.2</v>
      </c>
      <c r="I80" s="48">
        <v>1296.3</v>
      </c>
      <c r="J80" s="48">
        <v>3306.5</v>
      </c>
      <c r="K80" s="48">
        <v>13.5</v>
      </c>
      <c r="L80" s="48">
        <v>0</v>
      </c>
      <c r="M80" s="48">
        <v>0</v>
      </c>
      <c r="N80" s="48">
        <v>4.4000000000000004</v>
      </c>
    </row>
    <row r="81" spans="1:14" ht="10.050000000000001" customHeight="1">
      <c r="A81" s="45" t="s">
        <v>87</v>
      </c>
      <c r="B81" s="46">
        <v>2002</v>
      </c>
      <c r="C81" s="45" t="s">
        <v>110</v>
      </c>
      <c r="D81" s="47">
        <v>6</v>
      </c>
      <c r="E81" s="48">
        <v>20538.599999999999</v>
      </c>
      <c r="F81" s="48">
        <v>403.7</v>
      </c>
      <c r="G81" s="48">
        <v>20942.3</v>
      </c>
      <c r="H81" s="48">
        <v>80639.600000000006</v>
      </c>
      <c r="I81" s="48">
        <v>6106.4</v>
      </c>
      <c r="J81" s="48">
        <v>86746</v>
      </c>
      <c r="K81" s="48">
        <v>1864.8</v>
      </c>
      <c r="L81" s="48">
        <v>641.9</v>
      </c>
      <c r="M81" s="48">
        <v>8335.3000000000102</v>
      </c>
      <c r="N81" s="48">
        <v>690</v>
      </c>
    </row>
    <row r="82" spans="1:14" ht="10.050000000000001" customHeight="1">
      <c r="A82" s="45" t="s">
        <v>84</v>
      </c>
      <c r="B82" s="46">
        <v>2002</v>
      </c>
      <c r="C82" s="45" t="s">
        <v>111</v>
      </c>
      <c r="D82" s="47">
        <v>7</v>
      </c>
      <c r="E82" s="48">
        <v>18710.8</v>
      </c>
      <c r="F82" s="48">
        <v>548</v>
      </c>
      <c r="G82" s="48">
        <v>19258.8</v>
      </c>
      <c r="H82" s="48">
        <v>32036.7</v>
      </c>
      <c r="I82" s="48">
        <v>1022.3</v>
      </c>
      <c r="J82" s="48">
        <v>33059</v>
      </c>
      <c r="K82" s="48">
        <v>1404.7</v>
      </c>
      <c r="L82" s="48">
        <v>1392</v>
      </c>
      <c r="M82" s="48">
        <v>0</v>
      </c>
      <c r="N82" s="48">
        <v>0</v>
      </c>
    </row>
    <row r="83" spans="1:14" ht="10.050000000000001" customHeight="1">
      <c r="A83" s="45" t="s">
        <v>89</v>
      </c>
      <c r="B83" s="46">
        <v>2002</v>
      </c>
      <c r="C83" s="45" t="s">
        <v>111</v>
      </c>
      <c r="D83" s="47">
        <v>7</v>
      </c>
      <c r="E83" s="48">
        <v>78.900000000000006</v>
      </c>
      <c r="F83" s="48">
        <v>0</v>
      </c>
      <c r="G83" s="48">
        <v>78.900000000000006</v>
      </c>
      <c r="H83" s="48">
        <v>1581.4</v>
      </c>
      <c r="I83" s="48">
        <v>1301.4000000000001</v>
      </c>
      <c r="J83" s="48">
        <v>2882.8</v>
      </c>
      <c r="K83" s="48">
        <v>13.5</v>
      </c>
      <c r="L83" s="48">
        <v>0</v>
      </c>
      <c r="M83" s="48">
        <v>0</v>
      </c>
      <c r="N83" s="48">
        <v>0</v>
      </c>
    </row>
    <row r="84" spans="1:14" ht="10.050000000000001" customHeight="1">
      <c r="A84" s="45" t="s">
        <v>87</v>
      </c>
      <c r="B84" s="46">
        <v>2002</v>
      </c>
      <c r="C84" s="45" t="s">
        <v>111</v>
      </c>
      <c r="D84" s="47">
        <v>7</v>
      </c>
      <c r="E84" s="48">
        <v>549355.6</v>
      </c>
      <c r="F84" s="48">
        <v>12531</v>
      </c>
      <c r="G84" s="48">
        <v>561886.6</v>
      </c>
      <c r="H84" s="48">
        <v>526238.69999999995</v>
      </c>
      <c r="I84" s="48">
        <v>17609.3</v>
      </c>
      <c r="J84" s="48">
        <v>543848</v>
      </c>
      <c r="K84" s="48">
        <v>186291.7</v>
      </c>
      <c r="L84" s="48">
        <v>190178.4</v>
      </c>
      <c r="M84" s="48">
        <v>5172.7</v>
      </c>
      <c r="N84" s="48">
        <v>578.79999999999995</v>
      </c>
    </row>
    <row r="85" spans="1:14" ht="10.050000000000001" customHeight="1">
      <c r="A85" s="45" t="s">
        <v>84</v>
      </c>
      <c r="B85" s="46">
        <v>2002</v>
      </c>
      <c r="C85" s="45" t="s">
        <v>111</v>
      </c>
      <c r="D85" s="47">
        <v>8</v>
      </c>
      <c r="E85" s="48">
        <v>127622.5</v>
      </c>
      <c r="F85" s="48">
        <v>1429.1</v>
      </c>
      <c r="G85" s="48">
        <v>129051.6</v>
      </c>
      <c r="H85" s="48">
        <v>140095.29999999999</v>
      </c>
      <c r="I85" s="48">
        <v>1627.1</v>
      </c>
      <c r="J85" s="48">
        <v>141722.4</v>
      </c>
      <c r="K85" s="48">
        <v>15838.4</v>
      </c>
      <c r="L85" s="48">
        <v>15109</v>
      </c>
      <c r="M85" s="48">
        <v>479.5</v>
      </c>
      <c r="N85" s="48">
        <v>42.6</v>
      </c>
    </row>
    <row r="86" spans="1:14" ht="10.050000000000001" customHeight="1">
      <c r="A86" s="45" t="s">
        <v>89</v>
      </c>
      <c r="B86" s="46">
        <v>2002</v>
      </c>
      <c r="C86" s="45" t="s">
        <v>111</v>
      </c>
      <c r="D86" s="47">
        <v>8</v>
      </c>
      <c r="E86" s="48">
        <v>1003.3</v>
      </c>
      <c r="F86" s="48">
        <v>576.20000000000005</v>
      </c>
      <c r="G86" s="48">
        <v>1579.5</v>
      </c>
      <c r="H86" s="48">
        <v>2012.2</v>
      </c>
      <c r="I86" s="48">
        <v>1828.4</v>
      </c>
      <c r="J86" s="48">
        <v>3840.6</v>
      </c>
      <c r="K86" s="48">
        <v>122.2</v>
      </c>
      <c r="L86" s="48">
        <v>110.4</v>
      </c>
      <c r="M86" s="48">
        <v>0</v>
      </c>
      <c r="N86" s="48">
        <v>1.7</v>
      </c>
    </row>
    <row r="87" spans="1:14" ht="10.050000000000001" customHeight="1">
      <c r="A87" s="45" t="s">
        <v>87</v>
      </c>
      <c r="B87" s="46">
        <v>2002</v>
      </c>
      <c r="C87" s="45" t="s">
        <v>111</v>
      </c>
      <c r="D87" s="47">
        <v>8</v>
      </c>
      <c r="E87" s="48">
        <v>292996.09999999998</v>
      </c>
      <c r="F87" s="48">
        <v>7345.4</v>
      </c>
      <c r="G87" s="48">
        <v>300341.5</v>
      </c>
      <c r="H87" s="48">
        <v>577909.6</v>
      </c>
      <c r="I87" s="48">
        <v>23256.400000000001</v>
      </c>
      <c r="J87" s="48">
        <v>601166</v>
      </c>
      <c r="K87" s="48">
        <v>244265.1</v>
      </c>
      <c r="L87" s="48">
        <v>104764.2</v>
      </c>
      <c r="M87" s="48">
        <v>34975.300000000003</v>
      </c>
      <c r="N87" s="48">
        <v>1006.4</v>
      </c>
    </row>
    <row r="88" spans="1:14" ht="10.050000000000001" customHeight="1">
      <c r="A88" s="45" t="s">
        <v>84</v>
      </c>
      <c r="B88" s="46">
        <v>2002</v>
      </c>
      <c r="C88" s="45" t="s">
        <v>111</v>
      </c>
      <c r="D88" s="47">
        <v>9</v>
      </c>
      <c r="E88" s="48">
        <v>42460.6</v>
      </c>
      <c r="F88" s="48">
        <v>835.1</v>
      </c>
      <c r="G88" s="48">
        <v>43295.7</v>
      </c>
      <c r="H88" s="48">
        <v>159255.1</v>
      </c>
      <c r="I88" s="48">
        <v>2186.1999999999998</v>
      </c>
      <c r="J88" s="48">
        <v>161441.29999999999</v>
      </c>
      <c r="K88" s="48">
        <v>17160.8</v>
      </c>
      <c r="L88" s="48">
        <v>5470.5</v>
      </c>
      <c r="M88" s="48">
        <v>4057.2</v>
      </c>
      <c r="N88" s="48">
        <v>90.9</v>
      </c>
    </row>
    <row r="89" spans="1:14" ht="10.050000000000001" customHeight="1">
      <c r="A89" s="45" t="s">
        <v>89</v>
      </c>
      <c r="B89" s="46">
        <v>2002</v>
      </c>
      <c r="C89" s="45" t="s">
        <v>111</v>
      </c>
      <c r="D89" s="47">
        <v>9</v>
      </c>
      <c r="E89" s="48">
        <v>3048.9</v>
      </c>
      <c r="F89" s="48">
        <v>742.8</v>
      </c>
      <c r="G89" s="48">
        <v>3791.7</v>
      </c>
      <c r="H89" s="48">
        <v>4230.1000000000004</v>
      </c>
      <c r="I89" s="48">
        <v>2571.1999999999998</v>
      </c>
      <c r="J89" s="48">
        <v>6801.3</v>
      </c>
      <c r="K89" s="48">
        <v>241.1</v>
      </c>
      <c r="L89" s="48">
        <v>175.8</v>
      </c>
      <c r="M89" s="48">
        <v>6</v>
      </c>
      <c r="N89" s="48">
        <v>50.9</v>
      </c>
    </row>
    <row r="90" spans="1:14" ht="10.050000000000001" customHeight="1">
      <c r="A90" s="45" t="s">
        <v>87</v>
      </c>
      <c r="B90" s="46">
        <v>2002</v>
      </c>
      <c r="C90" s="45" t="s">
        <v>111</v>
      </c>
      <c r="D90" s="47">
        <v>9</v>
      </c>
      <c r="E90" s="48">
        <v>80370.2</v>
      </c>
      <c r="F90" s="48">
        <v>1185.0999999999999</v>
      </c>
      <c r="G90" s="48">
        <v>81555.3</v>
      </c>
      <c r="H90" s="48">
        <v>530019.19999999995</v>
      </c>
      <c r="I90" s="48">
        <v>23276.799999999999</v>
      </c>
      <c r="J90" s="48">
        <v>553296</v>
      </c>
      <c r="K90" s="48">
        <v>210827.5</v>
      </c>
      <c r="L90" s="48">
        <v>10256.4</v>
      </c>
      <c r="M90" s="48">
        <v>42405.8</v>
      </c>
      <c r="N90" s="48">
        <v>1288.2</v>
      </c>
    </row>
    <row r="91" spans="1:14" ht="10.050000000000001" customHeight="1">
      <c r="A91" s="45" t="s">
        <v>84</v>
      </c>
      <c r="B91" s="46">
        <v>2002</v>
      </c>
      <c r="C91" s="45" t="s">
        <v>111</v>
      </c>
      <c r="D91" s="47">
        <v>10</v>
      </c>
      <c r="E91" s="48">
        <v>15612.9</v>
      </c>
      <c r="F91" s="48">
        <v>1059.3</v>
      </c>
      <c r="G91" s="48">
        <v>16672.2</v>
      </c>
      <c r="H91" s="48">
        <v>113989.1</v>
      </c>
      <c r="I91" s="48">
        <v>3037.5</v>
      </c>
      <c r="J91" s="48">
        <v>117026.6</v>
      </c>
      <c r="K91" s="48">
        <v>13102.3</v>
      </c>
      <c r="L91" s="48">
        <v>1006.1</v>
      </c>
      <c r="M91" s="48">
        <v>5043</v>
      </c>
      <c r="N91" s="48">
        <v>21.6</v>
      </c>
    </row>
    <row r="92" spans="1:14" ht="10.050000000000001" customHeight="1">
      <c r="A92" s="45" t="s">
        <v>89</v>
      </c>
      <c r="B92" s="46">
        <v>2002</v>
      </c>
      <c r="C92" s="45" t="s">
        <v>111</v>
      </c>
      <c r="D92" s="47">
        <v>10</v>
      </c>
      <c r="E92" s="48">
        <v>485.8</v>
      </c>
      <c r="F92" s="48">
        <v>150</v>
      </c>
      <c r="G92" s="48">
        <v>635.79999999999995</v>
      </c>
      <c r="H92" s="48">
        <v>3812.6</v>
      </c>
      <c r="I92" s="48">
        <v>2615.4</v>
      </c>
      <c r="J92" s="48">
        <v>6428</v>
      </c>
      <c r="K92" s="48">
        <v>268</v>
      </c>
      <c r="L92" s="48">
        <v>90.7</v>
      </c>
      <c r="M92" s="48">
        <v>19.399999999999999</v>
      </c>
      <c r="N92" s="48">
        <v>44.4</v>
      </c>
    </row>
    <row r="93" spans="1:14" ht="10.050000000000001" customHeight="1">
      <c r="A93" s="45" t="s">
        <v>87</v>
      </c>
      <c r="B93" s="46">
        <v>2002</v>
      </c>
      <c r="C93" s="45" t="s">
        <v>111</v>
      </c>
      <c r="D93" s="47">
        <v>10</v>
      </c>
      <c r="E93" s="48">
        <v>69360.899999999994</v>
      </c>
      <c r="F93" s="48">
        <v>5298.2</v>
      </c>
      <c r="G93" s="48">
        <v>74659.100000000006</v>
      </c>
      <c r="H93" s="48">
        <v>483207.2</v>
      </c>
      <c r="I93" s="48">
        <v>27569</v>
      </c>
      <c r="J93" s="48">
        <v>510776.2</v>
      </c>
      <c r="K93" s="48">
        <v>173561.1</v>
      </c>
      <c r="L93" s="48">
        <v>5511.8</v>
      </c>
      <c r="M93" s="48">
        <v>40342.300000000003</v>
      </c>
      <c r="N93" s="48">
        <v>2318.5</v>
      </c>
    </row>
    <row r="94" spans="1:14" ht="10.050000000000001" customHeight="1">
      <c r="A94" s="45" t="s">
        <v>84</v>
      </c>
      <c r="B94" s="46">
        <v>2002</v>
      </c>
      <c r="C94" s="45" t="s">
        <v>111</v>
      </c>
      <c r="D94" s="47">
        <v>11</v>
      </c>
      <c r="E94" s="48">
        <v>8676.7000000000007</v>
      </c>
      <c r="F94" s="48">
        <v>1601.3</v>
      </c>
      <c r="G94" s="48">
        <v>10278</v>
      </c>
      <c r="H94" s="48">
        <v>98370</v>
      </c>
      <c r="I94" s="48">
        <v>4076.5</v>
      </c>
      <c r="J94" s="48">
        <v>102446.5</v>
      </c>
      <c r="K94" s="48">
        <v>11445.9</v>
      </c>
      <c r="L94" s="48">
        <v>196.8</v>
      </c>
      <c r="M94" s="48">
        <v>1784.4</v>
      </c>
      <c r="N94" s="48">
        <v>68.8</v>
      </c>
    </row>
    <row r="95" spans="1:14" ht="10.050000000000001" customHeight="1">
      <c r="A95" s="45" t="s">
        <v>89</v>
      </c>
      <c r="B95" s="46">
        <v>2002</v>
      </c>
      <c r="C95" s="45" t="s">
        <v>111</v>
      </c>
      <c r="D95" s="47">
        <v>11</v>
      </c>
      <c r="E95" s="48">
        <v>138.5</v>
      </c>
      <c r="F95" s="48">
        <v>52.9</v>
      </c>
      <c r="G95" s="48">
        <v>191.4</v>
      </c>
      <c r="H95" s="48">
        <v>3570.9</v>
      </c>
      <c r="I95" s="48">
        <v>2068.1</v>
      </c>
      <c r="J95" s="48">
        <v>5639</v>
      </c>
      <c r="K95" s="48">
        <v>260.3</v>
      </c>
      <c r="L95" s="48">
        <v>22.2</v>
      </c>
      <c r="M95" s="48">
        <v>0.7</v>
      </c>
      <c r="N95" s="48">
        <v>29.2</v>
      </c>
    </row>
    <row r="96" spans="1:14" ht="10.050000000000001" customHeight="1">
      <c r="A96" s="45" t="s">
        <v>87</v>
      </c>
      <c r="B96" s="46">
        <v>2002</v>
      </c>
      <c r="C96" s="45" t="s">
        <v>111</v>
      </c>
      <c r="D96" s="47">
        <v>11</v>
      </c>
      <c r="E96" s="48">
        <v>60235.199999999997</v>
      </c>
      <c r="F96" s="48">
        <v>10402.200000000001</v>
      </c>
      <c r="G96" s="48">
        <v>70637.399999999994</v>
      </c>
      <c r="H96" s="48">
        <v>419280</v>
      </c>
      <c r="I96" s="48">
        <v>34297.599999999999</v>
      </c>
      <c r="J96" s="48">
        <v>453577.6</v>
      </c>
      <c r="K96" s="48">
        <v>154288</v>
      </c>
      <c r="L96" s="48">
        <v>7483.4</v>
      </c>
      <c r="M96" s="48">
        <v>25638.1</v>
      </c>
      <c r="N96" s="48">
        <v>1206.2</v>
      </c>
    </row>
    <row r="97" spans="1:14" ht="10.050000000000001" customHeight="1">
      <c r="A97" s="45" t="s">
        <v>84</v>
      </c>
      <c r="B97" s="46">
        <v>2002</v>
      </c>
      <c r="C97" s="45" t="s">
        <v>111</v>
      </c>
      <c r="D97" s="47">
        <v>12</v>
      </c>
      <c r="E97" s="48">
        <v>11943.7</v>
      </c>
      <c r="F97" s="48">
        <v>1975.7</v>
      </c>
      <c r="G97" s="48">
        <v>13919.4</v>
      </c>
      <c r="H97" s="48">
        <v>88140.9</v>
      </c>
      <c r="I97" s="48">
        <v>5076.6000000000004</v>
      </c>
      <c r="J97" s="48">
        <v>93217.5</v>
      </c>
      <c r="K97" s="48">
        <v>7886.2</v>
      </c>
      <c r="L97" s="48">
        <v>279.39999999999998</v>
      </c>
      <c r="M97" s="48">
        <v>3728.5</v>
      </c>
      <c r="N97" s="48">
        <v>110.6</v>
      </c>
    </row>
    <row r="98" spans="1:14" ht="10.050000000000001" customHeight="1">
      <c r="A98" s="45" t="s">
        <v>89</v>
      </c>
      <c r="B98" s="46">
        <v>2002</v>
      </c>
      <c r="C98" s="45" t="s">
        <v>111</v>
      </c>
      <c r="D98" s="47">
        <v>12</v>
      </c>
      <c r="E98" s="48">
        <v>220.7</v>
      </c>
      <c r="F98" s="48">
        <v>136.30000000000001</v>
      </c>
      <c r="G98" s="48">
        <v>357</v>
      </c>
      <c r="H98" s="48">
        <v>2961.9</v>
      </c>
      <c r="I98" s="48">
        <v>2003</v>
      </c>
      <c r="J98" s="48">
        <v>4964.8999999999996</v>
      </c>
      <c r="K98" s="48">
        <v>230.4</v>
      </c>
      <c r="L98" s="48">
        <v>13.1</v>
      </c>
      <c r="M98" s="48">
        <v>11.5</v>
      </c>
      <c r="N98" s="48">
        <v>31.5</v>
      </c>
    </row>
    <row r="99" spans="1:14" ht="10.050000000000001" customHeight="1">
      <c r="A99" s="45" t="s">
        <v>87</v>
      </c>
      <c r="B99" s="46">
        <v>2002</v>
      </c>
      <c r="C99" s="45" t="s">
        <v>111</v>
      </c>
      <c r="D99" s="47">
        <v>12</v>
      </c>
      <c r="E99" s="48">
        <v>75674.600000000006</v>
      </c>
      <c r="F99" s="48">
        <v>12381.3</v>
      </c>
      <c r="G99" s="48">
        <v>88055.9</v>
      </c>
      <c r="H99" s="48">
        <v>345610.3</v>
      </c>
      <c r="I99" s="48">
        <v>38665.699999999997</v>
      </c>
      <c r="J99" s="48">
        <v>384276</v>
      </c>
      <c r="K99" s="48">
        <v>115704.9</v>
      </c>
      <c r="L99" s="48">
        <v>8164.5</v>
      </c>
      <c r="M99" s="48">
        <v>45535.8</v>
      </c>
      <c r="N99" s="48">
        <v>1066.2</v>
      </c>
    </row>
    <row r="100" spans="1:14" ht="10.050000000000001" customHeight="1">
      <c r="A100" s="45" t="s">
        <v>87</v>
      </c>
      <c r="B100" s="46">
        <v>2002</v>
      </c>
      <c r="C100" s="45" t="s">
        <v>108</v>
      </c>
      <c r="D100" s="47">
        <v>7</v>
      </c>
      <c r="E100" s="48">
        <v>58.9</v>
      </c>
      <c r="F100" s="48">
        <v>0</v>
      </c>
      <c r="G100" s="48">
        <v>58.9</v>
      </c>
      <c r="H100" s="48">
        <v>31.4</v>
      </c>
      <c r="I100" s="48">
        <v>0</v>
      </c>
      <c r="J100" s="48">
        <v>31.4</v>
      </c>
      <c r="K100" s="48">
        <v>0</v>
      </c>
      <c r="L100" s="48">
        <v>0</v>
      </c>
      <c r="M100" s="48">
        <v>0</v>
      </c>
      <c r="N100" s="48">
        <v>0</v>
      </c>
    </row>
    <row r="101" spans="1:14" ht="10.050000000000001" customHeight="1">
      <c r="A101" s="45" t="s">
        <v>84</v>
      </c>
      <c r="B101" s="46">
        <v>2003</v>
      </c>
      <c r="C101" s="45" t="s">
        <v>111</v>
      </c>
      <c r="D101" s="47">
        <v>1</v>
      </c>
      <c r="E101" s="48">
        <v>9263.2999999999993</v>
      </c>
      <c r="F101" s="48">
        <v>863.3</v>
      </c>
      <c r="G101" s="48">
        <v>10126.6</v>
      </c>
      <c r="H101" s="48">
        <v>73556.2</v>
      </c>
      <c r="I101" s="48">
        <v>4774</v>
      </c>
      <c r="J101" s="48">
        <v>78330.2</v>
      </c>
      <c r="K101" s="48">
        <v>6198</v>
      </c>
      <c r="L101" s="48">
        <v>178.2</v>
      </c>
      <c r="M101" s="48">
        <v>1613.8</v>
      </c>
      <c r="N101" s="48">
        <v>252.6</v>
      </c>
    </row>
    <row r="102" spans="1:14" ht="10.050000000000001" customHeight="1">
      <c r="A102" s="45" t="s">
        <v>89</v>
      </c>
      <c r="B102" s="46">
        <v>2003</v>
      </c>
      <c r="C102" s="45" t="s">
        <v>111</v>
      </c>
      <c r="D102" s="47">
        <v>1</v>
      </c>
      <c r="E102" s="48">
        <v>112.8</v>
      </c>
      <c r="F102" s="48">
        <v>3.4</v>
      </c>
      <c r="G102" s="48">
        <v>116.2</v>
      </c>
      <c r="H102" s="48">
        <v>2534</v>
      </c>
      <c r="I102" s="48">
        <v>1982.9</v>
      </c>
      <c r="J102" s="48">
        <v>4516.8999999999996</v>
      </c>
      <c r="K102" s="48">
        <v>141.30000000000001</v>
      </c>
      <c r="L102" s="48">
        <v>12.6</v>
      </c>
      <c r="M102" s="48">
        <v>63.4</v>
      </c>
      <c r="N102" s="48">
        <v>38.299999999999997</v>
      </c>
    </row>
    <row r="103" spans="1:14" ht="10.050000000000001" customHeight="1">
      <c r="A103" s="45" t="s">
        <v>87</v>
      </c>
      <c r="B103" s="46">
        <v>2003</v>
      </c>
      <c r="C103" s="45" t="s">
        <v>111</v>
      </c>
      <c r="D103" s="47">
        <v>1</v>
      </c>
      <c r="E103" s="48">
        <v>75373.3</v>
      </c>
      <c r="F103" s="48">
        <v>9356.1</v>
      </c>
      <c r="G103" s="48">
        <v>84729.4</v>
      </c>
      <c r="H103" s="48">
        <v>351265.2</v>
      </c>
      <c r="I103" s="48">
        <v>36786</v>
      </c>
      <c r="J103" s="48">
        <v>388051.20000000001</v>
      </c>
      <c r="K103" s="48">
        <v>68244.600000000006</v>
      </c>
      <c r="L103" s="48">
        <v>3426.7</v>
      </c>
      <c r="M103" s="48">
        <v>49764.9</v>
      </c>
      <c r="N103" s="48">
        <v>1111.8</v>
      </c>
    </row>
    <row r="104" spans="1:14" ht="10.050000000000001" customHeight="1">
      <c r="A104" s="45" t="s">
        <v>84</v>
      </c>
      <c r="B104" s="46">
        <v>2003</v>
      </c>
      <c r="C104" s="45" t="s">
        <v>111</v>
      </c>
      <c r="D104" s="47">
        <v>2</v>
      </c>
      <c r="E104" s="48">
        <v>8924.4</v>
      </c>
      <c r="F104" s="48">
        <v>1299.8</v>
      </c>
      <c r="G104" s="48">
        <v>10224.200000000001</v>
      </c>
      <c r="H104" s="48">
        <v>59849.7</v>
      </c>
      <c r="I104" s="48">
        <v>4245.2</v>
      </c>
      <c r="J104" s="48">
        <v>64094.9</v>
      </c>
      <c r="K104" s="48">
        <v>5042</v>
      </c>
      <c r="L104" s="48">
        <v>282.7</v>
      </c>
      <c r="M104" s="48">
        <v>1346</v>
      </c>
      <c r="N104" s="48">
        <v>92.7</v>
      </c>
    </row>
    <row r="105" spans="1:14" ht="10.050000000000001" customHeight="1">
      <c r="A105" s="45" t="s">
        <v>89</v>
      </c>
      <c r="B105" s="46">
        <v>2003</v>
      </c>
      <c r="C105" s="45" t="s">
        <v>111</v>
      </c>
      <c r="D105" s="47">
        <v>2</v>
      </c>
      <c r="E105" s="48">
        <v>68.3</v>
      </c>
      <c r="F105" s="48">
        <v>5.8</v>
      </c>
      <c r="G105" s="48">
        <v>74.099999999999994</v>
      </c>
      <c r="H105" s="48">
        <v>2398</v>
      </c>
      <c r="I105" s="48">
        <v>1864.4</v>
      </c>
      <c r="J105" s="48">
        <v>4262.3999999999996</v>
      </c>
      <c r="K105" s="48">
        <v>104.9</v>
      </c>
      <c r="L105" s="48">
        <v>8.6</v>
      </c>
      <c r="M105" s="48">
        <v>3.5</v>
      </c>
      <c r="N105" s="48">
        <v>41.5</v>
      </c>
    </row>
    <row r="106" spans="1:14" ht="10.050000000000001" customHeight="1">
      <c r="A106" s="45" t="s">
        <v>87</v>
      </c>
      <c r="B106" s="46">
        <v>2003</v>
      </c>
      <c r="C106" s="45" t="s">
        <v>111</v>
      </c>
      <c r="D106" s="47">
        <v>2</v>
      </c>
      <c r="E106" s="48">
        <v>44783.4</v>
      </c>
      <c r="F106" s="48">
        <v>6511.6</v>
      </c>
      <c r="G106" s="48">
        <v>51295</v>
      </c>
      <c r="H106" s="48">
        <v>323670</v>
      </c>
      <c r="I106" s="48">
        <v>26758.3</v>
      </c>
      <c r="J106" s="48">
        <v>350428.3</v>
      </c>
      <c r="K106" s="48">
        <v>49437.1</v>
      </c>
      <c r="L106" s="48">
        <v>2706.4</v>
      </c>
      <c r="M106" s="48">
        <v>20874.7</v>
      </c>
      <c r="N106" s="48">
        <v>639.20000000000005</v>
      </c>
    </row>
    <row r="107" spans="1:14" ht="10.050000000000001" customHeight="1">
      <c r="A107" s="45" t="s">
        <v>84</v>
      </c>
      <c r="B107" s="46">
        <v>2003</v>
      </c>
      <c r="C107" s="45" t="s">
        <v>111</v>
      </c>
      <c r="D107" s="47">
        <v>3</v>
      </c>
      <c r="E107" s="48">
        <v>11906.3</v>
      </c>
      <c r="F107" s="48">
        <v>642.79999999999995</v>
      </c>
      <c r="G107" s="48">
        <v>12549.1</v>
      </c>
      <c r="H107" s="48">
        <v>44063.8</v>
      </c>
      <c r="I107" s="48">
        <v>3089</v>
      </c>
      <c r="J107" s="48">
        <v>47152.800000000003</v>
      </c>
      <c r="K107" s="48">
        <v>1009.2</v>
      </c>
      <c r="L107" s="48">
        <v>94.8</v>
      </c>
      <c r="M107" s="48">
        <v>4080.5</v>
      </c>
      <c r="N107" s="48">
        <v>47.1</v>
      </c>
    </row>
    <row r="108" spans="1:14" ht="10.050000000000001" customHeight="1">
      <c r="A108" s="45" t="s">
        <v>89</v>
      </c>
      <c r="B108" s="46">
        <v>2003</v>
      </c>
      <c r="C108" s="45" t="s">
        <v>111</v>
      </c>
      <c r="D108" s="47">
        <v>3</v>
      </c>
      <c r="E108" s="48">
        <v>27.8</v>
      </c>
      <c r="F108" s="48">
        <v>185.1</v>
      </c>
      <c r="G108" s="48">
        <v>212.9</v>
      </c>
      <c r="H108" s="48">
        <v>2043</v>
      </c>
      <c r="I108" s="48">
        <v>1989</v>
      </c>
      <c r="J108" s="48">
        <v>4032</v>
      </c>
      <c r="K108" s="48">
        <v>88.5</v>
      </c>
      <c r="L108" s="48">
        <v>1.8</v>
      </c>
      <c r="M108" s="48">
        <v>0.8</v>
      </c>
      <c r="N108" s="48">
        <v>17.399999999999999</v>
      </c>
    </row>
    <row r="109" spans="1:14" ht="10.050000000000001" customHeight="1">
      <c r="A109" s="45" t="s">
        <v>87</v>
      </c>
      <c r="B109" s="46">
        <v>2003</v>
      </c>
      <c r="C109" s="45" t="s">
        <v>111</v>
      </c>
      <c r="D109" s="47">
        <v>3</v>
      </c>
      <c r="E109" s="48">
        <v>46605.8</v>
      </c>
      <c r="F109" s="48">
        <v>3720.5</v>
      </c>
      <c r="G109" s="48">
        <v>50326.3</v>
      </c>
      <c r="H109" s="48">
        <v>296052.40000000002</v>
      </c>
      <c r="I109" s="48">
        <v>20858</v>
      </c>
      <c r="J109" s="48">
        <v>316910.40000000002</v>
      </c>
      <c r="K109" s="48">
        <v>26460.400000000001</v>
      </c>
      <c r="L109" s="48">
        <v>1870.9</v>
      </c>
      <c r="M109" s="48">
        <v>24341.200000000001</v>
      </c>
      <c r="N109" s="48">
        <v>506.4</v>
      </c>
    </row>
    <row r="110" spans="1:14" ht="10.050000000000001" customHeight="1">
      <c r="A110" s="45" t="s">
        <v>84</v>
      </c>
      <c r="B110" s="46">
        <v>2003</v>
      </c>
      <c r="C110" s="45" t="s">
        <v>111</v>
      </c>
      <c r="D110" s="47">
        <v>4</v>
      </c>
      <c r="E110" s="48">
        <v>4675.2</v>
      </c>
      <c r="F110" s="48">
        <v>806</v>
      </c>
      <c r="G110" s="48">
        <v>5481.2</v>
      </c>
      <c r="H110" s="48">
        <v>41627.4</v>
      </c>
      <c r="I110" s="48">
        <v>3331.6</v>
      </c>
      <c r="J110" s="48">
        <v>44959</v>
      </c>
      <c r="K110" s="48">
        <v>723.9</v>
      </c>
      <c r="L110" s="48">
        <v>161</v>
      </c>
      <c r="M110" s="48">
        <v>362.7</v>
      </c>
      <c r="N110" s="48">
        <v>85.1</v>
      </c>
    </row>
    <row r="111" spans="1:14" ht="10.050000000000001" customHeight="1">
      <c r="A111" s="45" t="s">
        <v>89</v>
      </c>
      <c r="B111" s="46">
        <v>2003</v>
      </c>
      <c r="C111" s="45" t="s">
        <v>111</v>
      </c>
      <c r="D111" s="47">
        <v>4</v>
      </c>
      <c r="E111" s="48">
        <v>23.3</v>
      </c>
      <c r="F111" s="48">
        <v>0</v>
      </c>
      <c r="G111" s="48">
        <v>23.3</v>
      </c>
      <c r="H111" s="48">
        <v>1729.8</v>
      </c>
      <c r="I111" s="48">
        <v>1786.8</v>
      </c>
      <c r="J111" s="48">
        <v>3516.6</v>
      </c>
      <c r="K111" s="48">
        <v>74.099999999999994</v>
      </c>
      <c r="L111" s="48">
        <v>0</v>
      </c>
      <c r="M111" s="48">
        <v>2.5</v>
      </c>
      <c r="N111" s="48">
        <v>11.9</v>
      </c>
    </row>
    <row r="112" spans="1:14" ht="10.050000000000001" customHeight="1">
      <c r="A112" s="45" t="s">
        <v>87</v>
      </c>
      <c r="B112" s="46">
        <v>2003</v>
      </c>
      <c r="C112" s="45" t="s">
        <v>111</v>
      </c>
      <c r="D112" s="47">
        <v>4</v>
      </c>
      <c r="E112" s="48">
        <v>29176.2</v>
      </c>
      <c r="F112" s="48">
        <v>1107.8</v>
      </c>
      <c r="G112" s="48">
        <v>30284</v>
      </c>
      <c r="H112" s="48">
        <v>241511.1</v>
      </c>
      <c r="I112" s="48">
        <v>13979.5</v>
      </c>
      <c r="J112" s="48">
        <v>255490.6</v>
      </c>
      <c r="K112" s="48">
        <v>18017.3</v>
      </c>
      <c r="L112" s="48">
        <v>1718.3</v>
      </c>
      <c r="M112" s="48">
        <v>9515.7000000000007</v>
      </c>
      <c r="N112" s="48">
        <v>645.70000000000005</v>
      </c>
    </row>
    <row r="113" spans="1:14" ht="10.050000000000001" customHeight="1">
      <c r="A113" s="45" t="s">
        <v>84</v>
      </c>
      <c r="B113" s="46">
        <v>2003</v>
      </c>
      <c r="C113" s="45" t="s">
        <v>111</v>
      </c>
      <c r="D113" s="47">
        <v>5</v>
      </c>
      <c r="E113" s="48">
        <v>3524.9</v>
      </c>
      <c r="F113" s="48">
        <v>124.6</v>
      </c>
      <c r="G113" s="48">
        <v>3649.5</v>
      </c>
      <c r="H113" s="48">
        <v>28570.5</v>
      </c>
      <c r="I113" s="48">
        <v>2318.6</v>
      </c>
      <c r="J113" s="48">
        <v>30889.1</v>
      </c>
      <c r="K113" s="48">
        <v>345.1</v>
      </c>
      <c r="L113" s="48">
        <v>44.8</v>
      </c>
      <c r="M113" s="48">
        <v>402.8</v>
      </c>
      <c r="N113" s="48">
        <v>20.8</v>
      </c>
    </row>
    <row r="114" spans="1:14" ht="10.050000000000001" customHeight="1">
      <c r="A114" s="45" t="s">
        <v>89</v>
      </c>
      <c r="B114" s="46">
        <v>2003</v>
      </c>
      <c r="C114" s="45" t="s">
        <v>111</v>
      </c>
      <c r="D114" s="47">
        <v>5</v>
      </c>
      <c r="E114" s="48">
        <v>39.200000000000003</v>
      </c>
      <c r="F114" s="48">
        <v>0</v>
      </c>
      <c r="G114" s="48">
        <v>39.200000000000003</v>
      </c>
      <c r="H114" s="48">
        <v>1400.7</v>
      </c>
      <c r="I114" s="48">
        <v>1681.6</v>
      </c>
      <c r="J114" s="48">
        <v>3082.3</v>
      </c>
      <c r="K114" s="48">
        <v>60.1</v>
      </c>
      <c r="L114" s="48">
        <v>0</v>
      </c>
      <c r="M114" s="48">
        <v>8.8000000000000007</v>
      </c>
      <c r="N114" s="48">
        <v>5.2</v>
      </c>
    </row>
    <row r="115" spans="1:14" ht="10.050000000000001" customHeight="1">
      <c r="A115" s="45" t="s">
        <v>87</v>
      </c>
      <c r="B115" s="46">
        <v>2003</v>
      </c>
      <c r="C115" s="45" t="s">
        <v>111</v>
      </c>
      <c r="D115" s="47">
        <v>5</v>
      </c>
      <c r="E115" s="48">
        <v>24460.3</v>
      </c>
      <c r="F115" s="48">
        <v>302</v>
      </c>
      <c r="G115" s="48">
        <v>24762.3</v>
      </c>
      <c r="H115" s="48">
        <v>185138.6</v>
      </c>
      <c r="I115" s="48">
        <v>10871.8</v>
      </c>
      <c r="J115" s="48">
        <v>196010.4</v>
      </c>
      <c r="K115" s="48">
        <v>6937.8</v>
      </c>
      <c r="L115" s="48">
        <v>536.6</v>
      </c>
      <c r="M115" s="48">
        <v>11152</v>
      </c>
      <c r="N115" s="48">
        <v>464.1</v>
      </c>
    </row>
    <row r="116" spans="1:14" ht="10.050000000000001" customHeight="1">
      <c r="A116" s="45" t="s">
        <v>84</v>
      </c>
      <c r="B116" s="46">
        <v>2003</v>
      </c>
      <c r="C116" s="45" t="s">
        <v>111</v>
      </c>
      <c r="D116" s="47">
        <v>6</v>
      </c>
      <c r="E116" s="48">
        <v>3082.1</v>
      </c>
      <c r="F116" s="48">
        <v>1.2</v>
      </c>
      <c r="G116" s="48">
        <v>3083.3</v>
      </c>
      <c r="H116" s="48">
        <v>18599.900000000001</v>
      </c>
      <c r="I116" s="48">
        <v>1539.1</v>
      </c>
      <c r="J116" s="48">
        <v>20139</v>
      </c>
      <c r="K116" s="48">
        <v>14</v>
      </c>
      <c r="L116" s="48">
        <v>194.5</v>
      </c>
      <c r="M116" s="48">
        <v>481.4</v>
      </c>
      <c r="N116" s="48">
        <v>42.7</v>
      </c>
    </row>
    <row r="117" spans="1:14" ht="10.050000000000001" customHeight="1">
      <c r="A117" s="45" t="s">
        <v>89</v>
      </c>
      <c r="B117" s="46">
        <v>2003</v>
      </c>
      <c r="C117" s="45" t="s">
        <v>111</v>
      </c>
      <c r="D117" s="47">
        <v>6</v>
      </c>
      <c r="E117" s="48">
        <v>88</v>
      </c>
      <c r="F117" s="48">
        <v>0</v>
      </c>
      <c r="G117" s="48">
        <v>88</v>
      </c>
      <c r="H117" s="48">
        <v>1044.5999999999999</v>
      </c>
      <c r="I117" s="48">
        <v>1579.5</v>
      </c>
      <c r="J117" s="48">
        <v>2624.1</v>
      </c>
      <c r="K117" s="48">
        <v>28.4</v>
      </c>
      <c r="L117" s="48">
        <v>0</v>
      </c>
      <c r="M117" s="48">
        <v>14.9</v>
      </c>
      <c r="N117" s="48">
        <v>16.8</v>
      </c>
    </row>
    <row r="118" spans="1:14" ht="10.050000000000001" customHeight="1">
      <c r="A118" s="45" t="s">
        <v>87</v>
      </c>
      <c r="B118" s="46">
        <v>2003</v>
      </c>
      <c r="C118" s="45" t="s">
        <v>111</v>
      </c>
      <c r="D118" s="47">
        <v>6</v>
      </c>
      <c r="E118" s="48">
        <v>16339.5</v>
      </c>
      <c r="F118" s="48">
        <v>271.39999999999998</v>
      </c>
      <c r="G118" s="48">
        <v>16610.900000000001</v>
      </c>
      <c r="H118" s="48">
        <v>119375.6</v>
      </c>
      <c r="I118" s="48">
        <v>4738</v>
      </c>
      <c r="J118" s="48">
        <v>124113.60000000001</v>
      </c>
      <c r="K118" s="48">
        <v>2266</v>
      </c>
      <c r="L118" s="48">
        <v>1024.5999999999999</v>
      </c>
      <c r="M118" s="48">
        <v>5364.5</v>
      </c>
      <c r="N118" s="48">
        <v>331.9</v>
      </c>
    </row>
    <row r="119" spans="1:14" ht="10.050000000000001" customHeight="1">
      <c r="A119" s="45" t="s">
        <v>84</v>
      </c>
      <c r="B119" s="46">
        <v>2003</v>
      </c>
      <c r="C119" s="45" t="s">
        <v>108</v>
      </c>
      <c r="D119" s="47">
        <v>7</v>
      </c>
      <c r="E119" s="48">
        <v>30643.8</v>
      </c>
      <c r="F119" s="48">
        <v>461.7</v>
      </c>
      <c r="G119" s="48">
        <v>31105.5</v>
      </c>
      <c r="H119" s="48">
        <v>40980.400000000001</v>
      </c>
      <c r="I119" s="48">
        <v>2140.1999999999998</v>
      </c>
      <c r="J119" s="48">
        <v>43120.6</v>
      </c>
      <c r="K119" s="48">
        <v>2985.4</v>
      </c>
      <c r="L119" s="48">
        <v>2978</v>
      </c>
      <c r="M119" s="48">
        <v>6.6</v>
      </c>
      <c r="N119" s="48">
        <v>0</v>
      </c>
    </row>
    <row r="120" spans="1:14" ht="10.050000000000001" customHeight="1">
      <c r="A120" s="45" t="s">
        <v>89</v>
      </c>
      <c r="B120" s="46">
        <v>2003</v>
      </c>
      <c r="C120" s="45" t="s">
        <v>108</v>
      </c>
      <c r="D120" s="47">
        <v>7</v>
      </c>
      <c r="E120" s="48">
        <v>319.5</v>
      </c>
      <c r="F120" s="48">
        <v>182.7</v>
      </c>
      <c r="G120" s="48">
        <v>502.2</v>
      </c>
      <c r="H120" s="48">
        <v>1013.8</v>
      </c>
      <c r="I120" s="48">
        <v>1679.1</v>
      </c>
      <c r="J120" s="48">
        <v>2692.9</v>
      </c>
      <c r="K120" s="48">
        <v>100.1</v>
      </c>
      <c r="L120" s="48">
        <v>87</v>
      </c>
      <c r="M120" s="48">
        <v>0.4</v>
      </c>
      <c r="N120" s="48">
        <v>14.9</v>
      </c>
    </row>
    <row r="121" spans="1:14" ht="10.050000000000001" customHeight="1">
      <c r="A121" s="45" t="s">
        <v>87</v>
      </c>
      <c r="B121" s="46">
        <v>2003</v>
      </c>
      <c r="C121" s="45" t="s">
        <v>108</v>
      </c>
      <c r="D121" s="47">
        <v>7</v>
      </c>
      <c r="E121" s="48">
        <v>647975.80000000005</v>
      </c>
      <c r="F121" s="48">
        <v>13325.2</v>
      </c>
      <c r="G121" s="48">
        <v>661301</v>
      </c>
      <c r="H121" s="48">
        <v>667269</v>
      </c>
      <c r="I121" s="48">
        <v>17046.8</v>
      </c>
      <c r="J121" s="48">
        <v>684315.8</v>
      </c>
      <c r="K121" s="48">
        <v>222943.5</v>
      </c>
      <c r="L121" s="48">
        <v>234036.3</v>
      </c>
      <c r="M121" s="48">
        <v>12239.5</v>
      </c>
      <c r="N121" s="48">
        <v>1119.3</v>
      </c>
    </row>
    <row r="122" spans="1:14" ht="10.050000000000001" customHeight="1">
      <c r="A122" s="45" t="s">
        <v>84</v>
      </c>
      <c r="B122" s="46">
        <v>2003</v>
      </c>
      <c r="C122" s="45" t="s">
        <v>108</v>
      </c>
      <c r="D122" s="47">
        <v>8</v>
      </c>
      <c r="E122" s="48">
        <v>111709.8</v>
      </c>
      <c r="F122" s="48">
        <v>746.1</v>
      </c>
      <c r="G122" s="48">
        <v>112455.9</v>
      </c>
      <c r="H122" s="48">
        <v>84297.2</v>
      </c>
      <c r="I122" s="48">
        <v>2325.4</v>
      </c>
      <c r="J122" s="48">
        <v>86622.6</v>
      </c>
      <c r="K122" s="48">
        <v>8360.9</v>
      </c>
      <c r="L122" s="48">
        <v>8086.1</v>
      </c>
      <c r="M122" s="48">
        <v>2695.5</v>
      </c>
      <c r="N122" s="48">
        <v>15.1</v>
      </c>
    </row>
    <row r="123" spans="1:14" ht="10.050000000000001" customHeight="1">
      <c r="A123" s="45" t="s">
        <v>89</v>
      </c>
      <c r="B123" s="46">
        <v>2003</v>
      </c>
      <c r="C123" s="45" t="s">
        <v>108</v>
      </c>
      <c r="D123" s="47">
        <v>8</v>
      </c>
      <c r="E123" s="48">
        <v>3172.1</v>
      </c>
      <c r="F123" s="48">
        <v>157</v>
      </c>
      <c r="G123" s="48">
        <v>3329.1</v>
      </c>
      <c r="H123" s="48">
        <v>3674.4</v>
      </c>
      <c r="I123" s="48">
        <v>1854.6</v>
      </c>
      <c r="J123" s="48">
        <v>5529</v>
      </c>
      <c r="K123" s="48">
        <v>192.4</v>
      </c>
      <c r="L123" s="48">
        <v>129.9</v>
      </c>
      <c r="M123" s="48">
        <v>0</v>
      </c>
      <c r="N123" s="48">
        <v>37.6</v>
      </c>
    </row>
    <row r="124" spans="1:14" ht="10.050000000000001" customHeight="1">
      <c r="A124" s="45" t="s">
        <v>87</v>
      </c>
      <c r="B124" s="46">
        <v>2003</v>
      </c>
      <c r="C124" s="45" t="s">
        <v>108</v>
      </c>
      <c r="D124" s="47">
        <v>8</v>
      </c>
      <c r="E124" s="48">
        <v>131829.5</v>
      </c>
      <c r="F124" s="48">
        <v>2807.6</v>
      </c>
      <c r="G124" s="48">
        <v>134637.1</v>
      </c>
      <c r="H124" s="48">
        <v>685020.7</v>
      </c>
      <c r="I124" s="48">
        <v>19703.599999999999</v>
      </c>
      <c r="J124" s="48">
        <v>704724.3</v>
      </c>
      <c r="K124" s="48">
        <v>250817.9</v>
      </c>
      <c r="L124" s="48">
        <v>51918.5</v>
      </c>
      <c r="M124" s="48">
        <v>23167.9</v>
      </c>
      <c r="N124" s="48">
        <v>970.7</v>
      </c>
    </row>
    <row r="125" spans="1:14" ht="10.050000000000001" customHeight="1">
      <c r="A125" s="45" t="s">
        <v>84</v>
      </c>
      <c r="B125" s="46">
        <v>2003</v>
      </c>
      <c r="C125" s="45" t="s">
        <v>108</v>
      </c>
      <c r="D125" s="47">
        <v>9</v>
      </c>
      <c r="E125" s="48">
        <v>18911.3</v>
      </c>
      <c r="F125" s="48">
        <v>172.7</v>
      </c>
      <c r="G125" s="48">
        <v>19084</v>
      </c>
      <c r="H125" s="48">
        <v>59268.5</v>
      </c>
      <c r="I125" s="48">
        <v>2455.5</v>
      </c>
      <c r="J125" s="48">
        <v>61724</v>
      </c>
      <c r="K125" s="48">
        <v>4726.8</v>
      </c>
      <c r="L125" s="48">
        <v>508.1</v>
      </c>
      <c r="M125" s="48">
        <v>4003.1</v>
      </c>
      <c r="N125" s="48">
        <v>149.80000000000001</v>
      </c>
    </row>
    <row r="126" spans="1:14" ht="10.050000000000001" customHeight="1">
      <c r="A126" s="45" t="s">
        <v>89</v>
      </c>
      <c r="B126" s="46">
        <v>2003</v>
      </c>
      <c r="C126" s="45" t="s">
        <v>108</v>
      </c>
      <c r="D126" s="47">
        <v>9</v>
      </c>
      <c r="E126" s="48">
        <v>792.1</v>
      </c>
      <c r="F126" s="48">
        <v>12.3</v>
      </c>
      <c r="G126" s="48">
        <v>804.4</v>
      </c>
      <c r="H126" s="48">
        <v>3861.6</v>
      </c>
      <c r="I126" s="48">
        <v>1849.4</v>
      </c>
      <c r="J126" s="48">
        <v>5711</v>
      </c>
      <c r="K126" s="48">
        <v>203.3</v>
      </c>
      <c r="L126" s="48">
        <v>66.5</v>
      </c>
      <c r="M126" s="48">
        <v>16.8</v>
      </c>
      <c r="N126" s="48">
        <v>38.799999999999997</v>
      </c>
    </row>
    <row r="127" spans="1:14" ht="10.050000000000001" customHeight="1">
      <c r="A127" s="45" t="s">
        <v>87</v>
      </c>
      <c r="B127" s="46">
        <v>2003</v>
      </c>
      <c r="C127" s="45" t="s">
        <v>108</v>
      </c>
      <c r="D127" s="47">
        <v>9</v>
      </c>
      <c r="E127" s="48">
        <v>62334.9</v>
      </c>
      <c r="F127" s="48">
        <v>562.20000000000005</v>
      </c>
      <c r="G127" s="48">
        <v>62897.1</v>
      </c>
      <c r="H127" s="48">
        <v>645858.4</v>
      </c>
      <c r="I127" s="48">
        <v>19533.8</v>
      </c>
      <c r="J127" s="48">
        <v>665392.19999999995</v>
      </c>
      <c r="K127" s="48">
        <v>211844.1</v>
      </c>
      <c r="L127" s="48">
        <v>5281.4</v>
      </c>
      <c r="M127" s="48">
        <v>42765.3</v>
      </c>
      <c r="N127" s="48">
        <v>1357.6</v>
      </c>
    </row>
    <row r="128" spans="1:14" ht="10.050000000000001" customHeight="1">
      <c r="A128" s="45" t="s">
        <v>84</v>
      </c>
      <c r="B128" s="46">
        <v>2003</v>
      </c>
      <c r="C128" s="45" t="s">
        <v>108</v>
      </c>
      <c r="D128" s="47">
        <v>10</v>
      </c>
      <c r="E128" s="48">
        <v>6888.3</v>
      </c>
      <c r="F128" s="48">
        <v>967.4</v>
      </c>
      <c r="G128" s="48">
        <v>7855.7</v>
      </c>
      <c r="H128" s="48">
        <v>55439.1</v>
      </c>
      <c r="I128" s="48">
        <v>3388.9</v>
      </c>
      <c r="J128" s="48">
        <v>58828</v>
      </c>
      <c r="K128" s="48">
        <v>4036.8</v>
      </c>
      <c r="L128" s="48">
        <v>962.3</v>
      </c>
      <c r="M128" s="48">
        <v>1603.1</v>
      </c>
      <c r="N128" s="48">
        <v>49.2</v>
      </c>
    </row>
    <row r="129" spans="1:14" ht="10.050000000000001" customHeight="1">
      <c r="A129" s="45" t="s">
        <v>89</v>
      </c>
      <c r="B129" s="46">
        <v>2003</v>
      </c>
      <c r="C129" s="45" t="s">
        <v>108</v>
      </c>
      <c r="D129" s="47">
        <v>10</v>
      </c>
      <c r="E129" s="48">
        <v>107.6</v>
      </c>
      <c r="F129" s="48">
        <v>0.4</v>
      </c>
      <c r="G129" s="48">
        <v>108</v>
      </c>
      <c r="H129" s="48">
        <v>3330.8</v>
      </c>
      <c r="I129" s="48">
        <v>1816.9</v>
      </c>
      <c r="J129" s="48">
        <v>5147.7</v>
      </c>
      <c r="K129" s="48">
        <v>128</v>
      </c>
      <c r="L129" s="48">
        <v>0</v>
      </c>
      <c r="M129" s="48">
        <v>52.9</v>
      </c>
      <c r="N129" s="48">
        <v>22.4</v>
      </c>
    </row>
    <row r="130" spans="1:14" ht="10.050000000000001" customHeight="1">
      <c r="A130" s="45" t="s">
        <v>87</v>
      </c>
      <c r="B130" s="46">
        <v>2003</v>
      </c>
      <c r="C130" s="45" t="s">
        <v>108</v>
      </c>
      <c r="D130" s="47">
        <v>10</v>
      </c>
      <c r="E130" s="48">
        <v>54082.400000000001</v>
      </c>
      <c r="F130" s="48">
        <v>6245.4</v>
      </c>
      <c r="G130" s="48">
        <v>60327.8</v>
      </c>
      <c r="H130" s="48">
        <v>590197.9</v>
      </c>
      <c r="I130" s="48">
        <v>23777</v>
      </c>
      <c r="J130" s="48">
        <v>613974.9</v>
      </c>
      <c r="K130" s="48">
        <v>181346.8</v>
      </c>
      <c r="L130" s="48">
        <v>3720.2</v>
      </c>
      <c r="M130" s="48">
        <v>32155.200000000001</v>
      </c>
      <c r="N130" s="48">
        <v>2062.3000000000002</v>
      </c>
    </row>
    <row r="131" spans="1:14" ht="10.050000000000001" customHeight="1">
      <c r="A131" s="45" t="s">
        <v>84</v>
      </c>
      <c r="B131" s="46">
        <v>2003</v>
      </c>
      <c r="C131" s="45" t="s">
        <v>108</v>
      </c>
      <c r="D131" s="47">
        <v>11</v>
      </c>
      <c r="E131" s="48">
        <v>7667.8</v>
      </c>
      <c r="F131" s="48">
        <v>762.8</v>
      </c>
      <c r="G131" s="48">
        <v>8430.6</v>
      </c>
      <c r="H131" s="48">
        <v>50221</v>
      </c>
      <c r="I131" s="48">
        <v>3859.5</v>
      </c>
      <c r="J131" s="48">
        <v>54080.5</v>
      </c>
      <c r="K131" s="48">
        <v>3647.3</v>
      </c>
      <c r="L131" s="48">
        <v>4949.6000000000004</v>
      </c>
      <c r="M131" s="48">
        <v>5274.8</v>
      </c>
      <c r="N131" s="48">
        <v>64.3</v>
      </c>
    </row>
    <row r="132" spans="1:14" ht="10.050000000000001" customHeight="1">
      <c r="A132" s="45" t="s">
        <v>89</v>
      </c>
      <c r="B132" s="46">
        <v>2003</v>
      </c>
      <c r="C132" s="45" t="s">
        <v>108</v>
      </c>
      <c r="D132" s="47">
        <v>11</v>
      </c>
      <c r="E132" s="48">
        <v>107.1</v>
      </c>
      <c r="F132" s="48">
        <v>0</v>
      </c>
      <c r="G132" s="48">
        <v>107.1</v>
      </c>
      <c r="H132" s="48">
        <v>2694.7</v>
      </c>
      <c r="I132" s="48">
        <v>1806.9</v>
      </c>
      <c r="J132" s="48">
        <v>4501.6000000000004</v>
      </c>
      <c r="K132" s="48">
        <v>88.1</v>
      </c>
      <c r="L132" s="48">
        <v>-26.9</v>
      </c>
      <c r="M132" s="48">
        <v>1.3</v>
      </c>
      <c r="N132" s="48">
        <v>11.7</v>
      </c>
    </row>
    <row r="133" spans="1:14" ht="10.050000000000001" customHeight="1">
      <c r="A133" s="45" t="s">
        <v>87</v>
      </c>
      <c r="B133" s="46">
        <v>2003</v>
      </c>
      <c r="C133" s="45" t="s">
        <v>108</v>
      </c>
      <c r="D133" s="47">
        <v>11</v>
      </c>
      <c r="E133" s="48">
        <v>73691.8</v>
      </c>
      <c r="F133" s="48">
        <v>12815.4</v>
      </c>
      <c r="G133" s="48">
        <v>86507.199999999997</v>
      </c>
      <c r="H133" s="48">
        <v>550991.30000000005</v>
      </c>
      <c r="I133" s="48">
        <v>34124.699999999997</v>
      </c>
      <c r="J133" s="48">
        <v>585116</v>
      </c>
      <c r="K133" s="48">
        <v>148184.70000000001</v>
      </c>
      <c r="L133" s="48">
        <v>13573.8</v>
      </c>
      <c r="M133" s="48">
        <v>45227</v>
      </c>
      <c r="N133" s="48">
        <v>1605.6</v>
      </c>
    </row>
    <row r="134" spans="1:14" ht="10.050000000000001" customHeight="1">
      <c r="A134" s="45" t="s">
        <v>84</v>
      </c>
      <c r="B134" s="46">
        <v>2003</v>
      </c>
      <c r="C134" s="45" t="s">
        <v>108</v>
      </c>
      <c r="D134" s="47">
        <v>12</v>
      </c>
      <c r="E134" s="48">
        <v>4890.6000000000004</v>
      </c>
      <c r="F134" s="48">
        <v>957.5</v>
      </c>
      <c r="G134" s="48">
        <v>5848.1</v>
      </c>
      <c r="H134" s="48">
        <v>40161</v>
      </c>
      <c r="I134" s="48">
        <v>4094</v>
      </c>
      <c r="J134" s="48">
        <v>44255</v>
      </c>
      <c r="K134" s="48">
        <v>3066.2</v>
      </c>
      <c r="L134" s="48">
        <v>742.9</v>
      </c>
      <c r="M134" s="48">
        <v>1270.7</v>
      </c>
      <c r="N134" s="48">
        <v>53.3</v>
      </c>
    </row>
    <row r="135" spans="1:14" ht="10.050000000000001" customHeight="1">
      <c r="A135" s="45" t="s">
        <v>89</v>
      </c>
      <c r="B135" s="46">
        <v>2003</v>
      </c>
      <c r="C135" s="45" t="s">
        <v>108</v>
      </c>
      <c r="D135" s="47">
        <v>12</v>
      </c>
      <c r="E135" s="48">
        <v>21.8</v>
      </c>
      <c r="F135" s="48">
        <v>24.1</v>
      </c>
      <c r="G135" s="48">
        <v>45.9</v>
      </c>
      <c r="H135" s="48">
        <v>2365.6999999999998</v>
      </c>
      <c r="I135" s="48">
        <v>1141.7</v>
      </c>
      <c r="J135" s="48">
        <v>3507.4</v>
      </c>
      <c r="K135" s="48">
        <v>71.7</v>
      </c>
      <c r="L135" s="48">
        <v>5.3</v>
      </c>
      <c r="M135" s="48">
        <v>3</v>
      </c>
      <c r="N135" s="48">
        <v>18.7</v>
      </c>
    </row>
    <row r="136" spans="1:14" ht="10.050000000000001" customHeight="1">
      <c r="A136" s="45" t="s">
        <v>87</v>
      </c>
      <c r="B136" s="46">
        <v>2003</v>
      </c>
      <c r="C136" s="45" t="s">
        <v>108</v>
      </c>
      <c r="D136" s="47">
        <v>12</v>
      </c>
      <c r="E136" s="48">
        <v>80220.5</v>
      </c>
      <c r="F136" s="48">
        <v>10132.700000000001</v>
      </c>
      <c r="G136" s="48">
        <v>90353.2</v>
      </c>
      <c r="H136" s="48">
        <v>516761.1</v>
      </c>
      <c r="I136" s="48">
        <v>39368.9</v>
      </c>
      <c r="J136" s="48">
        <v>556130</v>
      </c>
      <c r="K136" s="48">
        <v>113462.3</v>
      </c>
      <c r="L136" s="48">
        <v>14027.6</v>
      </c>
      <c r="M136" s="48">
        <v>47343</v>
      </c>
      <c r="N136" s="48">
        <v>1407</v>
      </c>
    </row>
    <row r="137" spans="1:14" ht="10.050000000000001" customHeight="1">
      <c r="A137" s="45" t="s">
        <v>84</v>
      </c>
      <c r="B137" s="46">
        <v>2004</v>
      </c>
      <c r="C137" s="45" t="s">
        <v>108</v>
      </c>
      <c r="D137" s="47">
        <v>1</v>
      </c>
      <c r="E137" s="48">
        <v>4701.3999999999996</v>
      </c>
      <c r="F137" s="48">
        <v>1336.4</v>
      </c>
      <c r="G137" s="48">
        <v>6037.8</v>
      </c>
      <c r="H137" s="48">
        <v>37647.699999999997</v>
      </c>
      <c r="I137" s="48">
        <v>3341.5</v>
      </c>
      <c r="J137" s="48">
        <v>40989.199999999997</v>
      </c>
      <c r="K137" s="48">
        <v>1674.8</v>
      </c>
      <c r="L137" s="48">
        <v>145.5</v>
      </c>
      <c r="M137" s="48">
        <v>1478.7</v>
      </c>
      <c r="N137" s="48">
        <v>58.2</v>
      </c>
    </row>
    <row r="138" spans="1:14" ht="10.050000000000001" customHeight="1">
      <c r="A138" s="45" t="s">
        <v>89</v>
      </c>
      <c r="B138" s="46">
        <v>2004</v>
      </c>
      <c r="C138" s="45" t="s">
        <v>108</v>
      </c>
      <c r="D138" s="47">
        <v>1</v>
      </c>
      <c r="E138" s="48">
        <v>16.899999999999999</v>
      </c>
      <c r="F138" s="48">
        <v>17.3</v>
      </c>
      <c r="G138" s="48">
        <v>34.200000000000003</v>
      </c>
      <c r="H138" s="48">
        <v>661.8</v>
      </c>
      <c r="I138" s="48">
        <v>945.5</v>
      </c>
      <c r="J138" s="48">
        <v>1607.3</v>
      </c>
      <c r="K138" s="48">
        <v>45.9</v>
      </c>
      <c r="L138" s="48">
        <v>0</v>
      </c>
      <c r="M138" s="48">
        <v>1.8</v>
      </c>
      <c r="N138" s="48">
        <v>24</v>
      </c>
    </row>
    <row r="139" spans="1:14" ht="10.050000000000001" customHeight="1">
      <c r="A139" s="45" t="s">
        <v>87</v>
      </c>
      <c r="B139" s="46">
        <v>2004</v>
      </c>
      <c r="C139" s="45" t="s">
        <v>108</v>
      </c>
      <c r="D139" s="47">
        <v>1</v>
      </c>
      <c r="E139" s="48">
        <v>73356.399999999994</v>
      </c>
      <c r="F139" s="48">
        <v>8799.9</v>
      </c>
      <c r="G139" s="48">
        <v>82156.3</v>
      </c>
      <c r="H139" s="48">
        <v>484287.4</v>
      </c>
      <c r="I139" s="48">
        <v>35524.800000000003</v>
      </c>
      <c r="J139" s="48">
        <v>519812.2</v>
      </c>
      <c r="K139" s="48">
        <v>85129.9</v>
      </c>
      <c r="L139" s="48">
        <v>8771.8000000000102</v>
      </c>
      <c r="M139" s="48">
        <v>35087.699999999997</v>
      </c>
      <c r="N139" s="48">
        <v>2014.3</v>
      </c>
    </row>
    <row r="140" spans="1:14" ht="10.050000000000001" customHeight="1">
      <c r="A140" s="45" t="s">
        <v>84</v>
      </c>
      <c r="B140" s="46">
        <v>2004</v>
      </c>
      <c r="C140" s="45" t="s">
        <v>108</v>
      </c>
      <c r="D140" s="47">
        <v>2</v>
      </c>
      <c r="E140" s="48">
        <v>4173.5</v>
      </c>
      <c r="F140" s="48">
        <v>497.7</v>
      </c>
      <c r="G140" s="48">
        <v>4671.2</v>
      </c>
      <c r="H140" s="48">
        <v>32027.5</v>
      </c>
      <c r="I140" s="48">
        <v>2238.1999999999998</v>
      </c>
      <c r="J140" s="48">
        <v>34265.699999999997</v>
      </c>
      <c r="K140" s="48">
        <v>1202.7</v>
      </c>
      <c r="L140" s="48">
        <v>103.1</v>
      </c>
      <c r="M140" s="48">
        <v>508</v>
      </c>
      <c r="N140" s="48">
        <v>67.2</v>
      </c>
    </row>
    <row r="141" spans="1:14" ht="10.050000000000001" customHeight="1">
      <c r="A141" s="45" t="s">
        <v>89</v>
      </c>
      <c r="B141" s="46">
        <v>2004</v>
      </c>
      <c r="C141" s="45" t="s">
        <v>108</v>
      </c>
      <c r="D141" s="47">
        <v>2</v>
      </c>
      <c r="E141" s="48">
        <v>55.1</v>
      </c>
      <c r="F141" s="48">
        <v>72.900000000000006</v>
      </c>
      <c r="G141" s="48">
        <v>128</v>
      </c>
      <c r="H141" s="48">
        <v>535.9</v>
      </c>
      <c r="I141" s="48">
        <v>908.2</v>
      </c>
      <c r="J141" s="48">
        <v>1444.1</v>
      </c>
      <c r="K141" s="48">
        <v>43.7</v>
      </c>
      <c r="L141" s="48">
        <v>5.3</v>
      </c>
      <c r="M141" s="48">
        <v>1.8</v>
      </c>
      <c r="N141" s="48">
        <v>5.7</v>
      </c>
    </row>
    <row r="142" spans="1:14" ht="10.050000000000001" customHeight="1">
      <c r="A142" s="45" t="s">
        <v>87</v>
      </c>
      <c r="B142" s="46">
        <v>2004</v>
      </c>
      <c r="C142" s="45" t="s">
        <v>108</v>
      </c>
      <c r="D142" s="47">
        <v>2</v>
      </c>
      <c r="E142" s="48">
        <v>64783.6</v>
      </c>
      <c r="F142" s="48">
        <v>3482.6</v>
      </c>
      <c r="G142" s="48">
        <v>68266.2</v>
      </c>
      <c r="H142" s="48">
        <v>449934.7</v>
      </c>
      <c r="I142" s="48">
        <v>26754.7</v>
      </c>
      <c r="J142" s="48">
        <v>476689.4</v>
      </c>
      <c r="K142" s="48">
        <v>69513.600000000006</v>
      </c>
      <c r="L142" s="48">
        <v>9139.7999999999993</v>
      </c>
      <c r="M142" s="48">
        <v>24079</v>
      </c>
      <c r="N142" s="48">
        <v>677.1</v>
      </c>
    </row>
    <row r="143" spans="1:14" ht="10.050000000000001" customHeight="1">
      <c r="A143" s="45" t="s">
        <v>84</v>
      </c>
      <c r="B143" s="46">
        <v>2004</v>
      </c>
      <c r="C143" s="45" t="s">
        <v>108</v>
      </c>
      <c r="D143" s="47">
        <v>3</v>
      </c>
      <c r="E143" s="48">
        <v>4078.9</v>
      </c>
      <c r="F143" s="48">
        <v>0</v>
      </c>
      <c r="G143" s="48">
        <v>4078.9</v>
      </c>
      <c r="H143" s="48">
        <v>24130.3</v>
      </c>
      <c r="I143" s="48">
        <v>1824.1</v>
      </c>
      <c r="J143" s="48">
        <v>25954.400000000001</v>
      </c>
      <c r="K143" s="48">
        <v>501.8</v>
      </c>
      <c r="L143" s="48">
        <v>34.4</v>
      </c>
      <c r="M143" s="48">
        <v>726.6</v>
      </c>
      <c r="N143" s="48">
        <v>18.5</v>
      </c>
    </row>
    <row r="144" spans="1:14" ht="10.050000000000001" customHeight="1">
      <c r="A144" s="45" t="s">
        <v>89</v>
      </c>
      <c r="B144" s="46">
        <v>2004</v>
      </c>
      <c r="C144" s="45" t="s">
        <v>108</v>
      </c>
      <c r="D144" s="47">
        <v>3</v>
      </c>
      <c r="E144" s="48">
        <v>25.5</v>
      </c>
      <c r="F144" s="48">
        <v>0</v>
      </c>
      <c r="G144" s="48">
        <v>25.5</v>
      </c>
      <c r="H144" s="48">
        <v>464.1</v>
      </c>
      <c r="I144" s="48">
        <v>830.5</v>
      </c>
      <c r="J144" s="48">
        <v>1294.5999999999999</v>
      </c>
      <c r="K144" s="48">
        <v>46</v>
      </c>
      <c r="L144" s="48">
        <v>2.2000000000000002</v>
      </c>
      <c r="M144" s="48">
        <v>-2.2000000000000002</v>
      </c>
      <c r="N144" s="48">
        <v>2.1</v>
      </c>
    </row>
    <row r="145" spans="1:14" ht="10.050000000000001" customHeight="1">
      <c r="A145" s="45" t="s">
        <v>87</v>
      </c>
      <c r="B145" s="46">
        <v>2004</v>
      </c>
      <c r="C145" s="45" t="s">
        <v>108</v>
      </c>
      <c r="D145" s="47">
        <v>3</v>
      </c>
      <c r="E145" s="48">
        <v>84484.7</v>
      </c>
      <c r="F145" s="48">
        <v>788.1</v>
      </c>
      <c r="G145" s="48">
        <v>85272.8</v>
      </c>
      <c r="H145" s="48">
        <v>399942.6</v>
      </c>
      <c r="I145" s="48">
        <v>20710.3</v>
      </c>
      <c r="J145" s="48">
        <v>420652.9</v>
      </c>
      <c r="K145" s="48">
        <v>32940.300000000003</v>
      </c>
      <c r="L145" s="48">
        <v>6128.9</v>
      </c>
      <c r="M145" s="48">
        <v>42199.8</v>
      </c>
      <c r="N145" s="48">
        <v>551.20000000000005</v>
      </c>
    </row>
    <row r="146" spans="1:14" ht="10.050000000000001" customHeight="1">
      <c r="A146" s="45" t="s">
        <v>84</v>
      </c>
      <c r="B146" s="46">
        <v>2004</v>
      </c>
      <c r="C146" s="45" t="s">
        <v>108</v>
      </c>
      <c r="D146" s="47">
        <v>4</v>
      </c>
      <c r="E146" s="48">
        <v>2016.5</v>
      </c>
      <c r="F146" s="48">
        <v>0</v>
      </c>
      <c r="G146" s="48">
        <v>2016.5</v>
      </c>
      <c r="H146" s="48">
        <v>19543.8</v>
      </c>
      <c r="I146" s="48">
        <v>1671.4</v>
      </c>
      <c r="J146" s="48">
        <v>21215.200000000001</v>
      </c>
      <c r="K146" s="48">
        <v>342.2</v>
      </c>
      <c r="L146" s="48">
        <v>10</v>
      </c>
      <c r="M146" s="48">
        <v>150.80000000000001</v>
      </c>
      <c r="N146" s="48">
        <v>18.8</v>
      </c>
    </row>
    <row r="147" spans="1:14" ht="10.050000000000001" customHeight="1">
      <c r="A147" s="45" t="s">
        <v>89</v>
      </c>
      <c r="B147" s="46">
        <v>2004</v>
      </c>
      <c r="C147" s="45" t="s">
        <v>108</v>
      </c>
      <c r="D147" s="47">
        <v>4</v>
      </c>
      <c r="E147" s="48">
        <v>12.2</v>
      </c>
      <c r="F147" s="48">
        <v>0</v>
      </c>
      <c r="G147" s="48">
        <v>12.2</v>
      </c>
      <c r="H147" s="48">
        <v>449.2</v>
      </c>
      <c r="I147" s="48">
        <v>816.4</v>
      </c>
      <c r="J147" s="48">
        <v>1265.5999999999999</v>
      </c>
      <c r="K147" s="48">
        <v>40.9</v>
      </c>
      <c r="L147" s="48">
        <v>0.1</v>
      </c>
      <c r="M147" s="48">
        <v>2.6</v>
      </c>
      <c r="N147" s="48">
        <v>2.6</v>
      </c>
    </row>
    <row r="148" spans="1:14" ht="10.050000000000001" customHeight="1">
      <c r="A148" s="45" t="s">
        <v>87</v>
      </c>
      <c r="B148" s="46">
        <v>2004</v>
      </c>
      <c r="C148" s="45" t="s">
        <v>108</v>
      </c>
      <c r="D148" s="47">
        <v>4</v>
      </c>
      <c r="E148" s="48">
        <v>48149.1</v>
      </c>
      <c r="F148" s="48">
        <v>437.5</v>
      </c>
      <c r="G148" s="48">
        <v>48586.6</v>
      </c>
      <c r="H148" s="48">
        <v>318602.90000000002</v>
      </c>
      <c r="I148" s="48">
        <v>13396.6</v>
      </c>
      <c r="J148" s="48">
        <v>331999.5</v>
      </c>
      <c r="K148" s="48">
        <v>16835.099999999999</v>
      </c>
      <c r="L148" s="48">
        <v>4341.7</v>
      </c>
      <c r="M148" s="48">
        <v>19443.3</v>
      </c>
      <c r="N148" s="48">
        <v>740.4</v>
      </c>
    </row>
    <row r="149" spans="1:14" ht="10.050000000000001" customHeight="1">
      <c r="A149" s="45" t="s">
        <v>84</v>
      </c>
      <c r="B149" s="46">
        <v>2004</v>
      </c>
      <c r="C149" s="45" t="s">
        <v>108</v>
      </c>
      <c r="D149" s="47">
        <v>5</v>
      </c>
      <c r="E149" s="48">
        <v>1160.9000000000001</v>
      </c>
      <c r="F149" s="48">
        <v>74.900000000000006</v>
      </c>
      <c r="G149" s="48">
        <v>1235.8</v>
      </c>
      <c r="H149" s="48">
        <v>13571.7</v>
      </c>
      <c r="I149" s="48">
        <v>1430.7</v>
      </c>
      <c r="J149" s="48">
        <v>15002.4</v>
      </c>
      <c r="K149" s="48">
        <v>192.7</v>
      </c>
      <c r="L149" s="48">
        <v>5.5</v>
      </c>
      <c r="M149" s="48">
        <v>139.9</v>
      </c>
      <c r="N149" s="48">
        <v>38.200000000000003</v>
      </c>
    </row>
    <row r="150" spans="1:14" ht="10.050000000000001" customHeight="1">
      <c r="A150" s="45" t="s">
        <v>89</v>
      </c>
      <c r="B150" s="46">
        <v>2004</v>
      </c>
      <c r="C150" s="45" t="s">
        <v>108</v>
      </c>
      <c r="D150" s="47">
        <v>5</v>
      </c>
      <c r="E150" s="48">
        <v>34.1</v>
      </c>
      <c r="F150" s="48">
        <v>44.6</v>
      </c>
      <c r="G150" s="48">
        <v>78.7</v>
      </c>
      <c r="H150" s="48">
        <v>402.8</v>
      </c>
      <c r="I150" s="48">
        <v>313</v>
      </c>
      <c r="J150" s="48">
        <v>715.8</v>
      </c>
      <c r="K150" s="48">
        <v>30.1</v>
      </c>
      <c r="L150" s="48">
        <v>26.3</v>
      </c>
      <c r="M150" s="48">
        <v>28.2</v>
      </c>
      <c r="N150" s="48">
        <v>8.9</v>
      </c>
    </row>
    <row r="151" spans="1:14" ht="10.050000000000001" customHeight="1">
      <c r="A151" s="45" t="s">
        <v>87</v>
      </c>
      <c r="B151" s="46">
        <v>2004</v>
      </c>
      <c r="C151" s="45" t="s">
        <v>108</v>
      </c>
      <c r="D151" s="47">
        <v>5</v>
      </c>
      <c r="E151" s="48">
        <v>33322.199999999997</v>
      </c>
      <c r="F151" s="48">
        <v>764.7</v>
      </c>
      <c r="G151" s="48">
        <v>34086.9</v>
      </c>
      <c r="H151" s="48">
        <v>213340.4</v>
      </c>
      <c r="I151" s="48">
        <v>9639.7999999999993</v>
      </c>
      <c r="J151" s="48">
        <v>222980.2</v>
      </c>
      <c r="K151" s="48">
        <v>7000.4</v>
      </c>
      <c r="L151" s="48">
        <v>2580.6999999999998</v>
      </c>
      <c r="M151" s="48">
        <v>11828.2</v>
      </c>
      <c r="N151" s="48">
        <v>594.4</v>
      </c>
    </row>
    <row r="152" spans="1:14" ht="10.050000000000001" customHeight="1">
      <c r="A152" s="45" t="s">
        <v>84</v>
      </c>
      <c r="B152" s="46">
        <v>2004</v>
      </c>
      <c r="C152" s="45" t="s">
        <v>108</v>
      </c>
      <c r="D152" s="47">
        <v>6</v>
      </c>
      <c r="E152" s="48">
        <v>373.8</v>
      </c>
      <c r="F152" s="48">
        <v>6.3</v>
      </c>
      <c r="G152" s="48">
        <v>380.1</v>
      </c>
      <c r="H152" s="48">
        <v>8741.2999999999993</v>
      </c>
      <c r="I152" s="48">
        <v>548.6</v>
      </c>
      <c r="J152" s="48">
        <v>9289.9</v>
      </c>
      <c r="K152" s="48">
        <v>16.7</v>
      </c>
      <c r="L152" s="48">
        <v>74.2</v>
      </c>
      <c r="M152" s="48">
        <v>188.3</v>
      </c>
      <c r="N152" s="48">
        <v>61.9</v>
      </c>
    </row>
    <row r="153" spans="1:14" ht="10.050000000000001" customHeight="1">
      <c r="A153" s="45" t="s">
        <v>89</v>
      </c>
      <c r="B153" s="46">
        <v>2004</v>
      </c>
      <c r="C153" s="45" t="s">
        <v>108</v>
      </c>
      <c r="D153" s="47">
        <v>6</v>
      </c>
      <c r="E153" s="48">
        <v>53.4</v>
      </c>
      <c r="F153" s="48">
        <v>0</v>
      </c>
      <c r="G153" s="48">
        <v>53.4</v>
      </c>
      <c r="H153" s="48">
        <v>253.6</v>
      </c>
      <c r="I153" s="48">
        <v>279.89999999999998</v>
      </c>
      <c r="J153" s="48">
        <v>533.5</v>
      </c>
      <c r="K153" s="48">
        <v>15.5</v>
      </c>
      <c r="L153" s="48">
        <v>0</v>
      </c>
      <c r="M153" s="48">
        <v>3.6</v>
      </c>
      <c r="N153" s="48">
        <v>11</v>
      </c>
    </row>
    <row r="154" spans="1:14" ht="10.050000000000001" customHeight="1">
      <c r="A154" s="45" t="s">
        <v>87</v>
      </c>
      <c r="B154" s="46">
        <v>2004</v>
      </c>
      <c r="C154" s="45" t="s">
        <v>108</v>
      </c>
      <c r="D154" s="47">
        <v>6</v>
      </c>
      <c r="E154" s="48">
        <v>23738.5</v>
      </c>
      <c r="F154" s="48">
        <v>386.1</v>
      </c>
      <c r="G154" s="48">
        <v>24124.6</v>
      </c>
      <c r="H154" s="48">
        <v>77465.399999999994</v>
      </c>
      <c r="I154" s="48">
        <v>4257.1000000000004</v>
      </c>
      <c r="J154" s="48">
        <v>81722.5</v>
      </c>
      <c r="K154" s="48">
        <v>1476.2</v>
      </c>
      <c r="L154" s="48">
        <v>1074.5</v>
      </c>
      <c r="M154" s="48">
        <v>5674.9</v>
      </c>
      <c r="N154" s="48">
        <v>923.7</v>
      </c>
    </row>
    <row r="155" spans="1:14" ht="10.050000000000001" customHeight="1">
      <c r="A155" s="45" t="s">
        <v>84</v>
      </c>
      <c r="B155" s="46">
        <v>2004</v>
      </c>
      <c r="C155" s="45" t="s">
        <v>112</v>
      </c>
      <c r="D155" s="47">
        <v>2</v>
      </c>
      <c r="E155" s="48">
        <v>10.9</v>
      </c>
      <c r="F155" s="48">
        <v>0</v>
      </c>
      <c r="G155" s="48">
        <v>10.9</v>
      </c>
      <c r="H155" s="48">
        <v>0</v>
      </c>
      <c r="I155" s="48">
        <v>0</v>
      </c>
      <c r="J155" s="48">
        <v>0</v>
      </c>
      <c r="K155" s="48">
        <v>0</v>
      </c>
      <c r="L155" s="48">
        <v>0</v>
      </c>
      <c r="M155" s="48">
        <v>0</v>
      </c>
      <c r="N155" s="48">
        <v>0</v>
      </c>
    </row>
    <row r="156" spans="1:14" ht="10.050000000000001" customHeight="1">
      <c r="A156" s="45" t="s">
        <v>84</v>
      </c>
      <c r="B156" s="46">
        <v>2004</v>
      </c>
      <c r="C156" s="45" t="s">
        <v>112</v>
      </c>
      <c r="D156" s="47">
        <v>7</v>
      </c>
      <c r="E156" s="48">
        <v>9704.1</v>
      </c>
      <c r="F156" s="48">
        <v>57.3</v>
      </c>
      <c r="G156" s="48">
        <v>9761.4</v>
      </c>
      <c r="H156" s="48">
        <v>13966.7</v>
      </c>
      <c r="I156" s="48">
        <v>455.1</v>
      </c>
      <c r="J156" s="48">
        <v>14421.8</v>
      </c>
      <c r="K156" s="48">
        <v>1127.5</v>
      </c>
      <c r="L156" s="48">
        <v>1116</v>
      </c>
      <c r="M156" s="48">
        <v>0</v>
      </c>
      <c r="N156" s="48">
        <v>5.2</v>
      </c>
    </row>
    <row r="157" spans="1:14" ht="10.050000000000001" customHeight="1">
      <c r="A157" s="45" t="s">
        <v>89</v>
      </c>
      <c r="B157" s="46">
        <v>2004</v>
      </c>
      <c r="C157" s="45" t="s">
        <v>112</v>
      </c>
      <c r="D157" s="47">
        <v>7</v>
      </c>
      <c r="E157" s="48">
        <v>48.7</v>
      </c>
      <c r="F157" s="48">
        <v>0</v>
      </c>
      <c r="G157" s="48">
        <v>48.7</v>
      </c>
      <c r="H157" s="48">
        <v>246.9</v>
      </c>
      <c r="I157" s="48">
        <v>284.60000000000002</v>
      </c>
      <c r="J157" s="48">
        <v>531.5</v>
      </c>
      <c r="K157" s="48">
        <v>10.199999999999999</v>
      </c>
      <c r="L157" s="48">
        <v>3.8</v>
      </c>
      <c r="M157" s="48">
        <v>0</v>
      </c>
      <c r="N157" s="48">
        <v>9.1</v>
      </c>
    </row>
    <row r="158" spans="1:14" ht="10.050000000000001" customHeight="1">
      <c r="A158" s="45" t="s">
        <v>87</v>
      </c>
      <c r="B158" s="46">
        <v>2004</v>
      </c>
      <c r="C158" s="45" t="s">
        <v>112</v>
      </c>
      <c r="D158" s="47">
        <v>7</v>
      </c>
      <c r="E158" s="48">
        <v>558265.1</v>
      </c>
      <c r="F158" s="48">
        <v>11710.7</v>
      </c>
      <c r="G158" s="48">
        <v>569975.80000000005</v>
      </c>
      <c r="H158" s="48">
        <v>518503.8</v>
      </c>
      <c r="I158" s="48">
        <v>14903.5</v>
      </c>
      <c r="J158" s="48">
        <v>533407.30000000005</v>
      </c>
      <c r="K158" s="48">
        <v>220487.8</v>
      </c>
      <c r="L158" s="48">
        <v>224443</v>
      </c>
      <c r="M158" s="48">
        <v>4812.2</v>
      </c>
      <c r="N158" s="48">
        <v>619.20000000000005</v>
      </c>
    </row>
    <row r="159" spans="1:14" ht="10.050000000000001" customHeight="1">
      <c r="A159" s="45" t="s">
        <v>84</v>
      </c>
      <c r="B159" s="46">
        <v>2004</v>
      </c>
      <c r="C159" s="45" t="s">
        <v>112</v>
      </c>
      <c r="D159" s="47">
        <v>8</v>
      </c>
      <c r="E159" s="48">
        <v>111419.9</v>
      </c>
      <c r="F159" s="48">
        <v>1055.5999999999999</v>
      </c>
      <c r="G159" s="48">
        <v>112475.5</v>
      </c>
      <c r="H159" s="48">
        <v>91430.3</v>
      </c>
      <c r="I159" s="48">
        <v>1229.4000000000001</v>
      </c>
      <c r="J159" s="48">
        <v>92659.7</v>
      </c>
      <c r="K159" s="48">
        <v>6450.9</v>
      </c>
      <c r="L159" s="48">
        <v>6304</v>
      </c>
      <c r="M159" s="48">
        <v>947.7</v>
      </c>
      <c r="N159" s="48">
        <v>32.9</v>
      </c>
    </row>
    <row r="160" spans="1:14" ht="10.050000000000001" customHeight="1">
      <c r="A160" s="45" t="s">
        <v>89</v>
      </c>
      <c r="B160" s="46">
        <v>2004</v>
      </c>
      <c r="C160" s="45" t="s">
        <v>112</v>
      </c>
      <c r="D160" s="47">
        <v>8</v>
      </c>
      <c r="E160" s="48">
        <v>986.8</v>
      </c>
      <c r="F160" s="48">
        <v>156</v>
      </c>
      <c r="G160" s="48">
        <v>1142.8</v>
      </c>
      <c r="H160" s="48">
        <v>1166.7</v>
      </c>
      <c r="I160" s="48">
        <v>436.7</v>
      </c>
      <c r="J160" s="48">
        <v>1603.4</v>
      </c>
      <c r="K160" s="48">
        <v>145</v>
      </c>
      <c r="L160" s="48">
        <v>146.30000000000001</v>
      </c>
      <c r="M160" s="48">
        <v>10.1</v>
      </c>
      <c r="N160" s="48">
        <v>1.4</v>
      </c>
    </row>
    <row r="161" spans="1:14" ht="10.050000000000001" customHeight="1">
      <c r="A161" s="45" t="s">
        <v>87</v>
      </c>
      <c r="B161" s="46">
        <v>2004</v>
      </c>
      <c r="C161" s="45" t="s">
        <v>112</v>
      </c>
      <c r="D161" s="47">
        <v>8</v>
      </c>
      <c r="E161" s="48">
        <v>207394.1</v>
      </c>
      <c r="F161" s="48">
        <v>7254.6</v>
      </c>
      <c r="G161" s="48">
        <v>214648.7</v>
      </c>
      <c r="H161" s="48">
        <v>569405.9</v>
      </c>
      <c r="I161" s="48">
        <v>21331.3</v>
      </c>
      <c r="J161" s="48">
        <v>590737.19999999995</v>
      </c>
      <c r="K161" s="48">
        <v>267783.3</v>
      </c>
      <c r="L161" s="48">
        <v>74198.899999999994</v>
      </c>
      <c r="M161" s="48">
        <v>26036</v>
      </c>
      <c r="N161" s="48">
        <v>867.4</v>
      </c>
    </row>
    <row r="162" spans="1:14" ht="10.050000000000001" customHeight="1">
      <c r="A162" s="45" t="s">
        <v>84</v>
      </c>
      <c r="B162" s="46">
        <v>2004</v>
      </c>
      <c r="C162" s="45" t="s">
        <v>112</v>
      </c>
      <c r="D162" s="47">
        <v>9</v>
      </c>
      <c r="E162" s="48">
        <v>118651</v>
      </c>
      <c r="F162" s="48">
        <v>454.1</v>
      </c>
      <c r="G162" s="48">
        <v>119105.1</v>
      </c>
      <c r="H162" s="48">
        <v>114238.1</v>
      </c>
      <c r="I162" s="48">
        <v>1500.7</v>
      </c>
      <c r="J162" s="48">
        <v>115738.8</v>
      </c>
      <c r="K162" s="48">
        <v>6216.3</v>
      </c>
      <c r="L162" s="48">
        <v>4898.1000000000004</v>
      </c>
      <c r="M162" s="48">
        <v>5054.6000000000004</v>
      </c>
      <c r="N162" s="48">
        <v>78.099999999999994</v>
      </c>
    </row>
    <row r="163" spans="1:14" ht="10.050000000000001" customHeight="1">
      <c r="A163" s="45" t="s">
        <v>89</v>
      </c>
      <c r="B163" s="46">
        <v>2004</v>
      </c>
      <c r="C163" s="45" t="s">
        <v>112</v>
      </c>
      <c r="D163" s="47">
        <v>9</v>
      </c>
      <c r="E163" s="48">
        <v>1688.6</v>
      </c>
      <c r="F163" s="48">
        <v>0</v>
      </c>
      <c r="G163" s="48">
        <v>1688.6</v>
      </c>
      <c r="H163" s="48">
        <v>2487.4</v>
      </c>
      <c r="I163" s="48">
        <v>386.9</v>
      </c>
      <c r="J163" s="48">
        <v>2874.3</v>
      </c>
      <c r="K163" s="48">
        <v>76.8</v>
      </c>
      <c r="L163" s="48">
        <v>56.6</v>
      </c>
      <c r="M163" s="48">
        <v>96.3</v>
      </c>
      <c r="N163" s="48">
        <v>28.5</v>
      </c>
    </row>
    <row r="164" spans="1:14" ht="10.050000000000001" customHeight="1">
      <c r="A164" s="45" t="s">
        <v>87</v>
      </c>
      <c r="B164" s="46">
        <v>2004</v>
      </c>
      <c r="C164" s="45" t="s">
        <v>112</v>
      </c>
      <c r="D164" s="47">
        <v>9</v>
      </c>
      <c r="E164" s="48">
        <v>55794.6</v>
      </c>
      <c r="F164" s="48">
        <v>1201.5999999999999</v>
      </c>
      <c r="G164" s="48">
        <v>56996.2</v>
      </c>
      <c r="H164" s="48">
        <v>492366.6</v>
      </c>
      <c r="I164" s="48">
        <v>21821.7</v>
      </c>
      <c r="J164" s="48">
        <v>514188.3</v>
      </c>
      <c r="K164" s="48">
        <v>260128.4</v>
      </c>
      <c r="L164" s="48">
        <v>25677.1</v>
      </c>
      <c r="M164" s="48">
        <v>32679.200000000001</v>
      </c>
      <c r="N164" s="48">
        <v>652.79999999999995</v>
      </c>
    </row>
    <row r="165" spans="1:14" ht="10.050000000000001" customHeight="1">
      <c r="A165" s="45" t="s">
        <v>84</v>
      </c>
      <c r="B165" s="46">
        <v>2004</v>
      </c>
      <c r="C165" s="45" t="s">
        <v>112</v>
      </c>
      <c r="D165" s="47">
        <v>10</v>
      </c>
      <c r="E165" s="48">
        <v>7546.7</v>
      </c>
      <c r="F165" s="48">
        <v>760.3</v>
      </c>
      <c r="G165" s="48">
        <v>8307</v>
      </c>
      <c r="H165" s="48">
        <v>86753.3</v>
      </c>
      <c r="I165" s="48">
        <v>2166.3000000000002</v>
      </c>
      <c r="J165" s="48">
        <v>88919.6</v>
      </c>
      <c r="K165" s="48">
        <v>4923.1000000000004</v>
      </c>
      <c r="L165" s="48">
        <v>343.2</v>
      </c>
      <c r="M165" s="48">
        <v>1588.4</v>
      </c>
      <c r="N165" s="48">
        <v>21</v>
      </c>
    </row>
    <row r="166" spans="1:14" ht="10.050000000000001" customHeight="1">
      <c r="A166" s="45" t="s">
        <v>89</v>
      </c>
      <c r="B166" s="46">
        <v>2004</v>
      </c>
      <c r="C166" s="45" t="s">
        <v>112</v>
      </c>
      <c r="D166" s="47">
        <v>10</v>
      </c>
      <c r="E166" s="48">
        <v>179.6</v>
      </c>
      <c r="F166" s="48">
        <v>379.4</v>
      </c>
      <c r="G166" s="48">
        <v>559</v>
      </c>
      <c r="H166" s="48">
        <v>2355.5</v>
      </c>
      <c r="I166" s="48">
        <v>761</v>
      </c>
      <c r="J166" s="48">
        <v>3116.5</v>
      </c>
      <c r="K166" s="48">
        <v>98.9</v>
      </c>
      <c r="L166" s="48">
        <v>31.3</v>
      </c>
      <c r="M166" s="48">
        <v>1.3</v>
      </c>
      <c r="N166" s="48">
        <v>7.9</v>
      </c>
    </row>
    <row r="167" spans="1:14" ht="10.050000000000001" customHeight="1">
      <c r="A167" s="45" t="s">
        <v>87</v>
      </c>
      <c r="B167" s="46">
        <v>2004</v>
      </c>
      <c r="C167" s="45" t="s">
        <v>112</v>
      </c>
      <c r="D167" s="47">
        <v>10</v>
      </c>
      <c r="E167" s="48">
        <v>30596.9</v>
      </c>
      <c r="F167" s="48">
        <v>2330.9</v>
      </c>
      <c r="G167" s="48">
        <v>32927.800000000003</v>
      </c>
      <c r="H167" s="48">
        <v>436723.9</v>
      </c>
      <c r="I167" s="48">
        <v>23450.2</v>
      </c>
      <c r="J167" s="48">
        <v>460174.1</v>
      </c>
      <c r="K167" s="48">
        <v>245914</v>
      </c>
      <c r="L167" s="48">
        <v>7834.4</v>
      </c>
      <c r="M167" s="48">
        <v>20702.5</v>
      </c>
      <c r="N167" s="48">
        <v>1346.3</v>
      </c>
    </row>
    <row r="168" spans="1:14" ht="10.050000000000001" customHeight="1">
      <c r="A168" s="45" t="s">
        <v>84</v>
      </c>
      <c r="B168" s="46">
        <v>2004</v>
      </c>
      <c r="C168" s="45" t="s">
        <v>112</v>
      </c>
      <c r="D168" s="47">
        <v>11</v>
      </c>
      <c r="E168" s="48">
        <v>4576.7</v>
      </c>
      <c r="F168" s="48">
        <v>1780.4</v>
      </c>
      <c r="G168" s="48">
        <v>6357.1</v>
      </c>
      <c r="H168" s="48">
        <v>79742.399999999994</v>
      </c>
      <c r="I168" s="48">
        <v>3113.2</v>
      </c>
      <c r="J168" s="48">
        <v>82855.600000000006</v>
      </c>
      <c r="K168" s="48">
        <v>5385</v>
      </c>
      <c r="L168" s="48">
        <v>1563.6</v>
      </c>
      <c r="M168" s="48">
        <v>954.7</v>
      </c>
      <c r="N168" s="48">
        <v>147</v>
      </c>
    </row>
    <row r="169" spans="1:14" ht="10.050000000000001" customHeight="1">
      <c r="A169" s="45" t="s">
        <v>89</v>
      </c>
      <c r="B169" s="46">
        <v>2004</v>
      </c>
      <c r="C169" s="45" t="s">
        <v>112</v>
      </c>
      <c r="D169" s="47">
        <v>11</v>
      </c>
      <c r="E169" s="48">
        <v>52</v>
      </c>
      <c r="F169" s="48">
        <v>31.3</v>
      </c>
      <c r="G169" s="48">
        <v>83.3</v>
      </c>
      <c r="H169" s="48">
        <v>2275.5</v>
      </c>
      <c r="I169" s="48">
        <v>792.3</v>
      </c>
      <c r="J169" s="48">
        <v>3067.8</v>
      </c>
      <c r="K169" s="48">
        <v>91.4</v>
      </c>
      <c r="L169" s="48">
        <v>0.2</v>
      </c>
      <c r="M169" s="48">
        <v>0</v>
      </c>
      <c r="N169" s="48">
        <v>7.7</v>
      </c>
    </row>
    <row r="170" spans="1:14" ht="10.050000000000001" customHeight="1">
      <c r="A170" s="45" t="s">
        <v>87</v>
      </c>
      <c r="B170" s="46">
        <v>2004</v>
      </c>
      <c r="C170" s="45" t="s">
        <v>112</v>
      </c>
      <c r="D170" s="47">
        <v>11</v>
      </c>
      <c r="E170" s="48">
        <v>33244.800000000003</v>
      </c>
      <c r="F170" s="48">
        <v>9016</v>
      </c>
      <c r="G170" s="48">
        <v>42260.800000000003</v>
      </c>
      <c r="H170" s="48">
        <v>372475.8</v>
      </c>
      <c r="I170" s="48">
        <v>29410.1</v>
      </c>
      <c r="J170" s="48">
        <v>401885.9</v>
      </c>
      <c r="K170" s="48">
        <v>231322.6</v>
      </c>
      <c r="L170" s="48">
        <v>733.1</v>
      </c>
      <c r="M170" s="48">
        <v>14453.8</v>
      </c>
      <c r="N170" s="48">
        <v>926.6</v>
      </c>
    </row>
    <row r="171" spans="1:14" ht="10.050000000000001" customHeight="1">
      <c r="A171" s="45" t="s">
        <v>84</v>
      </c>
      <c r="B171" s="46">
        <v>2004</v>
      </c>
      <c r="C171" s="45" t="s">
        <v>112</v>
      </c>
      <c r="D171" s="47">
        <v>12</v>
      </c>
      <c r="E171" s="48">
        <v>4501.1000000000004</v>
      </c>
      <c r="F171" s="48">
        <v>1669</v>
      </c>
      <c r="G171" s="48">
        <v>6170.1</v>
      </c>
      <c r="H171" s="48">
        <v>86916</v>
      </c>
      <c r="I171" s="48">
        <v>3412.3</v>
      </c>
      <c r="J171" s="48">
        <v>90328.3</v>
      </c>
      <c r="K171" s="48">
        <v>4160.3999999999996</v>
      </c>
      <c r="L171" s="48">
        <v>238</v>
      </c>
      <c r="M171" s="48">
        <v>1350.1</v>
      </c>
      <c r="N171" s="48">
        <v>112.5</v>
      </c>
    </row>
    <row r="172" spans="1:14" ht="10.050000000000001" customHeight="1">
      <c r="A172" s="45" t="s">
        <v>89</v>
      </c>
      <c r="B172" s="46">
        <v>2004</v>
      </c>
      <c r="C172" s="45" t="s">
        <v>112</v>
      </c>
      <c r="D172" s="47">
        <v>12</v>
      </c>
      <c r="E172" s="48">
        <v>70.2</v>
      </c>
      <c r="F172" s="48">
        <v>95.7</v>
      </c>
      <c r="G172" s="48">
        <v>165.9</v>
      </c>
      <c r="H172" s="48">
        <v>2197.3000000000002</v>
      </c>
      <c r="I172" s="48">
        <v>880.1</v>
      </c>
      <c r="J172" s="48">
        <v>3077.4</v>
      </c>
      <c r="K172" s="48">
        <v>82.4</v>
      </c>
      <c r="L172" s="48">
        <v>0</v>
      </c>
      <c r="M172" s="48">
        <v>1.8</v>
      </c>
      <c r="N172" s="48">
        <v>7.2</v>
      </c>
    </row>
    <row r="173" spans="1:14" ht="10.050000000000001" customHeight="1">
      <c r="A173" s="45" t="s">
        <v>87</v>
      </c>
      <c r="B173" s="46">
        <v>2004</v>
      </c>
      <c r="C173" s="45" t="s">
        <v>112</v>
      </c>
      <c r="D173" s="47">
        <v>12</v>
      </c>
      <c r="E173" s="48">
        <v>51979.5</v>
      </c>
      <c r="F173" s="48">
        <v>11028.3</v>
      </c>
      <c r="G173" s="48">
        <v>63007.8</v>
      </c>
      <c r="H173" s="48">
        <v>321382</v>
      </c>
      <c r="I173" s="48">
        <v>35125.300000000003</v>
      </c>
      <c r="J173" s="48">
        <v>356507.3</v>
      </c>
      <c r="K173" s="48">
        <v>202983.1</v>
      </c>
      <c r="L173" s="48">
        <v>5047.8999999999996</v>
      </c>
      <c r="M173" s="48">
        <v>32594.2</v>
      </c>
      <c r="N173" s="48">
        <v>793.2</v>
      </c>
    </row>
    <row r="174" spans="1:14" ht="10.050000000000001" customHeight="1">
      <c r="A174" s="45" t="s">
        <v>84</v>
      </c>
      <c r="B174" s="46">
        <v>2005</v>
      </c>
      <c r="C174" s="45" t="s">
        <v>112</v>
      </c>
      <c r="D174" s="47">
        <v>1</v>
      </c>
      <c r="E174" s="48">
        <v>5425.9</v>
      </c>
      <c r="F174" s="48">
        <v>1153.4000000000001</v>
      </c>
      <c r="G174" s="48">
        <v>6579.3</v>
      </c>
      <c r="H174" s="48">
        <v>69839.899999999994</v>
      </c>
      <c r="I174" s="48">
        <v>2713.5</v>
      </c>
      <c r="J174" s="48">
        <v>72553.399999999994</v>
      </c>
      <c r="K174" s="48">
        <v>3253.4</v>
      </c>
      <c r="L174" s="48">
        <v>203.7</v>
      </c>
      <c r="M174" s="48">
        <v>1047.3</v>
      </c>
      <c r="N174" s="48">
        <v>63.4</v>
      </c>
    </row>
    <row r="175" spans="1:14" ht="10.050000000000001" customHeight="1">
      <c r="A175" s="45" t="s">
        <v>89</v>
      </c>
      <c r="B175" s="46">
        <v>2005</v>
      </c>
      <c r="C175" s="45" t="s">
        <v>112</v>
      </c>
      <c r="D175" s="47">
        <v>1</v>
      </c>
      <c r="E175" s="48">
        <v>73.5</v>
      </c>
      <c r="F175" s="48">
        <v>56.9</v>
      </c>
      <c r="G175" s="48">
        <v>130.4</v>
      </c>
      <c r="H175" s="48">
        <v>1975</v>
      </c>
      <c r="I175" s="48">
        <v>752.2</v>
      </c>
      <c r="J175" s="48">
        <v>2727.2</v>
      </c>
      <c r="K175" s="48">
        <v>70.400000000000006</v>
      </c>
      <c r="L175" s="48">
        <v>0</v>
      </c>
      <c r="M175" s="48">
        <v>0</v>
      </c>
      <c r="N175" s="48">
        <v>12</v>
      </c>
    </row>
    <row r="176" spans="1:14" ht="10.050000000000001" customHeight="1">
      <c r="A176" s="45" t="s">
        <v>87</v>
      </c>
      <c r="B176" s="46">
        <v>2005</v>
      </c>
      <c r="C176" s="45" t="s">
        <v>112</v>
      </c>
      <c r="D176" s="47">
        <v>1</v>
      </c>
      <c r="E176" s="48">
        <v>68974.3</v>
      </c>
      <c r="F176" s="48">
        <v>9824.4</v>
      </c>
      <c r="G176" s="48">
        <v>78798.7</v>
      </c>
      <c r="H176" s="48">
        <v>283612.2</v>
      </c>
      <c r="I176" s="48">
        <v>33942.300000000003</v>
      </c>
      <c r="J176" s="48">
        <v>317554.5</v>
      </c>
      <c r="K176" s="48">
        <v>170429.3</v>
      </c>
      <c r="L176" s="48">
        <v>6194.1</v>
      </c>
      <c r="M176" s="48">
        <v>37573.1</v>
      </c>
      <c r="N176" s="48">
        <v>1226</v>
      </c>
    </row>
    <row r="177" spans="1:14" ht="10.050000000000001" customHeight="1">
      <c r="A177" s="45" t="s">
        <v>84</v>
      </c>
      <c r="B177" s="46">
        <v>2005</v>
      </c>
      <c r="C177" s="45" t="s">
        <v>112</v>
      </c>
      <c r="D177" s="47">
        <v>2</v>
      </c>
      <c r="E177" s="48">
        <v>4794.8999999999996</v>
      </c>
      <c r="F177" s="48">
        <v>104.8</v>
      </c>
      <c r="G177" s="48">
        <v>4899.7</v>
      </c>
      <c r="H177" s="48">
        <v>68080.7</v>
      </c>
      <c r="I177" s="48">
        <v>1837.5</v>
      </c>
      <c r="J177" s="48">
        <v>69918.2</v>
      </c>
      <c r="K177" s="48">
        <v>1785.7</v>
      </c>
      <c r="L177" s="48">
        <v>53.5</v>
      </c>
      <c r="M177" s="48">
        <v>1428.1</v>
      </c>
      <c r="N177" s="48">
        <v>93.1</v>
      </c>
    </row>
    <row r="178" spans="1:14" ht="10.050000000000001" customHeight="1">
      <c r="A178" s="45" t="s">
        <v>89</v>
      </c>
      <c r="B178" s="46">
        <v>2005</v>
      </c>
      <c r="C178" s="45" t="s">
        <v>112</v>
      </c>
      <c r="D178" s="47">
        <v>2</v>
      </c>
      <c r="E178" s="48">
        <v>17.2</v>
      </c>
      <c r="F178" s="48">
        <v>0</v>
      </c>
      <c r="G178" s="48">
        <v>17.2</v>
      </c>
      <c r="H178" s="48">
        <v>1825.2</v>
      </c>
      <c r="I178" s="48">
        <v>265</v>
      </c>
      <c r="J178" s="48">
        <v>2090.1999999999998</v>
      </c>
      <c r="K178" s="48">
        <v>73.099999999999994</v>
      </c>
      <c r="L178" s="48">
        <v>11.9</v>
      </c>
      <c r="M178" s="48">
        <v>0</v>
      </c>
      <c r="N178" s="48">
        <v>9.1999999999999993</v>
      </c>
    </row>
    <row r="179" spans="1:14" ht="10.050000000000001" customHeight="1">
      <c r="A179" s="45" t="s">
        <v>87</v>
      </c>
      <c r="B179" s="46">
        <v>2005</v>
      </c>
      <c r="C179" s="45" t="s">
        <v>112</v>
      </c>
      <c r="D179" s="47">
        <v>2</v>
      </c>
      <c r="E179" s="48">
        <v>74212.5</v>
      </c>
      <c r="F179" s="48">
        <v>3651.7</v>
      </c>
      <c r="G179" s="48">
        <v>77864.2</v>
      </c>
      <c r="H179" s="48">
        <v>250301.5</v>
      </c>
      <c r="I179" s="48">
        <v>29924.1</v>
      </c>
      <c r="J179" s="48">
        <v>280225.59999999998</v>
      </c>
      <c r="K179" s="48">
        <v>137293.70000000001</v>
      </c>
      <c r="L179" s="48">
        <v>6921</v>
      </c>
      <c r="M179" s="48">
        <v>38582.6</v>
      </c>
      <c r="N179" s="48">
        <v>1579.7</v>
      </c>
    </row>
    <row r="180" spans="1:14" ht="10.050000000000001" customHeight="1">
      <c r="A180" s="45" t="s">
        <v>84</v>
      </c>
      <c r="B180" s="46">
        <v>2005</v>
      </c>
      <c r="C180" s="45" t="s">
        <v>112</v>
      </c>
      <c r="D180" s="47">
        <v>3</v>
      </c>
      <c r="E180" s="48">
        <v>3327.8</v>
      </c>
      <c r="F180" s="48">
        <v>0</v>
      </c>
      <c r="G180" s="48">
        <v>3327.8</v>
      </c>
      <c r="H180" s="48">
        <v>64261.3</v>
      </c>
      <c r="I180" s="48">
        <v>1456</v>
      </c>
      <c r="J180" s="48">
        <v>65717.3</v>
      </c>
      <c r="K180" s="48">
        <v>507.8</v>
      </c>
      <c r="L180" s="48">
        <v>57.3</v>
      </c>
      <c r="M180" s="48">
        <v>1293.7</v>
      </c>
      <c r="N180" s="48">
        <v>41.5</v>
      </c>
    </row>
    <row r="181" spans="1:14" ht="10.050000000000001" customHeight="1">
      <c r="A181" s="45" t="s">
        <v>89</v>
      </c>
      <c r="B181" s="46">
        <v>2005</v>
      </c>
      <c r="C181" s="45" t="s">
        <v>112</v>
      </c>
      <c r="D181" s="47">
        <v>3</v>
      </c>
      <c r="E181" s="48">
        <v>23.6</v>
      </c>
      <c r="F181" s="48">
        <v>0</v>
      </c>
      <c r="G181" s="48">
        <v>23.6</v>
      </c>
      <c r="H181" s="48">
        <v>1562.7</v>
      </c>
      <c r="I181" s="48">
        <v>222.8</v>
      </c>
      <c r="J181" s="48">
        <v>1785.5</v>
      </c>
      <c r="K181" s="48">
        <v>54.2</v>
      </c>
      <c r="L181" s="48">
        <v>3.2</v>
      </c>
      <c r="M181" s="48">
        <v>0</v>
      </c>
      <c r="N181" s="48">
        <v>22.1</v>
      </c>
    </row>
    <row r="182" spans="1:14" ht="10.050000000000001" customHeight="1">
      <c r="A182" s="45" t="s">
        <v>87</v>
      </c>
      <c r="B182" s="46">
        <v>2005</v>
      </c>
      <c r="C182" s="45" t="s">
        <v>112</v>
      </c>
      <c r="D182" s="47">
        <v>3</v>
      </c>
      <c r="E182" s="48">
        <v>104558.9</v>
      </c>
      <c r="F182" s="48">
        <v>3089.4</v>
      </c>
      <c r="G182" s="48">
        <v>107648.3</v>
      </c>
      <c r="H182" s="48">
        <v>233926.9</v>
      </c>
      <c r="I182" s="48">
        <v>24580.6</v>
      </c>
      <c r="J182" s="48">
        <v>258507.5</v>
      </c>
      <c r="K182" s="48">
        <v>83352.7</v>
      </c>
      <c r="L182" s="48">
        <v>4583.3999999999996</v>
      </c>
      <c r="M182" s="48">
        <v>57699.4</v>
      </c>
      <c r="N182" s="48">
        <v>950.1</v>
      </c>
    </row>
    <row r="183" spans="1:14" ht="10.050000000000001" customHeight="1">
      <c r="A183" s="45" t="s">
        <v>84</v>
      </c>
      <c r="B183" s="46">
        <v>2005</v>
      </c>
      <c r="C183" s="45" t="s">
        <v>112</v>
      </c>
      <c r="D183" s="47">
        <v>4</v>
      </c>
      <c r="E183" s="48">
        <v>2570.6999999999998</v>
      </c>
      <c r="F183" s="48">
        <v>2.4</v>
      </c>
      <c r="G183" s="48">
        <v>2573.1</v>
      </c>
      <c r="H183" s="48">
        <v>59334.6</v>
      </c>
      <c r="I183" s="48">
        <v>1261.4000000000001</v>
      </c>
      <c r="J183" s="48">
        <v>60596</v>
      </c>
      <c r="K183" s="48">
        <v>235.9</v>
      </c>
      <c r="L183" s="48">
        <v>11.4</v>
      </c>
      <c r="M183" s="48">
        <v>274.7</v>
      </c>
      <c r="N183" s="48">
        <v>8.6</v>
      </c>
    </row>
    <row r="184" spans="1:14" ht="10.050000000000001" customHeight="1">
      <c r="A184" s="45" t="s">
        <v>89</v>
      </c>
      <c r="B184" s="46">
        <v>2005</v>
      </c>
      <c r="C184" s="45" t="s">
        <v>112</v>
      </c>
      <c r="D184" s="47">
        <v>4</v>
      </c>
      <c r="E184" s="48">
        <v>23.6</v>
      </c>
      <c r="F184" s="48">
        <v>0</v>
      </c>
      <c r="G184" s="48">
        <v>23.6</v>
      </c>
      <c r="H184" s="48">
        <v>1340.1</v>
      </c>
      <c r="I184" s="48">
        <v>221.7</v>
      </c>
      <c r="J184" s="48">
        <v>1561.8</v>
      </c>
      <c r="K184" s="48">
        <v>50.7</v>
      </c>
      <c r="L184" s="48">
        <v>0</v>
      </c>
      <c r="M184" s="48">
        <v>0</v>
      </c>
      <c r="N184" s="48">
        <v>3.5</v>
      </c>
    </row>
    <row r="185" spans="1:14" ht="10.050000000000001" customHeight="1">
      <c r="A185" s="45" t="s">
        <v>87</v>
      </c>
      <c r="B185" s="46">
        <v>2005</v>
      </c>
      <c r="C185" s="45" t="s">
        <v>112</v>
      </c>
      <c r="D185" s="47">
        <v>4</v>
      </c>
      <c r="E185" s="48">
        <v>82997</v>
      </c>
      <c r="F185" s="48">
        <v>2295.1999999999998</v>
      </c>
      <c r="G185" s="48">
        <v>85292.2</v>
      </c>
      <c r="H185" s="48">
        <v>201460.1</v>
      </c>
      <c r="I185" s="48">
        <v>21642.3</v>
      </c>
      <c r="J185" s="48">
        <v>223102.4</v>
      </c>
      <c r="K185" s="48">
        <v>54472.5</v>
      </c>
      <c r="L185" s="48">
        <v>7172.2</v>
      </c>
      <c r="M185" s="48">
        <v>35553.4</v>
      </c>
      <c r="N185" s="48">
        <v>483.6</v>
      </c>
    </row>
    <row r="186" spans="1:14" ht="10.050000000000001" customHeight="1">
      <c r="A186" s="45" t="s">
        <v>84</v>
      </c>
      <c r="B186" s="46">
        <v>2005</v>
      </c>
      <c r="C186" s="45" t="s">
        <v>112</v>
      </c>
      <c r="D186" s="47">
        <v>5</v>
      </c>
      <c r="E186" s="48">
        <v>1454.9</v>
      </c>
      <c r="F186" s="48">
        <v>0</v>
      </c>
      <c r="G186" s="48">
        <v>1454.9</v>
      </c>
      <c r="H186" s="48">
        <v>56807.4</v>
      </c>
      <c r="I186" s="48">
        <v>1157.0999999999999</v>
      </c>
      <c r="J186" s="48">
        <v>57964.5</v>
      </c>
      <c r="K186" s="48">
        <v>138.5</v>
      </c>
      <c r="L186" s="48">
        <v>105.7</v>
      </c>
      <c r="M186" s="48">
        <v>199.4</v>
      </c>
      <c r="N186" s="48">
        <v>3.7</v>
      </c>
    </row>
    <row r="187" spans="1:14" ht="10.050000000000001" customHeight="1">
      <c r="A187" s="45" t="s">
        <v>89</v>
      </c>
      <c r="B187" s="46">
        <v>2005</v>
      </c>
      <c r="C187" s="45" t="s">
        <v>112</v>
      </c>
      <c r="D187" s="47">
        <v>5</v>
      </c>
      <c r="E187" s="48">
        <v>17.8</v>
      </c>
      <c r="F187" s="48">
        <v>0</v>
      </c>
      <c r="G187" s="48">
        <v>17.8</v>
      </c>
      <c r="H187" s="48">
        <v>1170.9000000000001</v>
      </c>
      <c r="I187" s="48">
        <v>219.2</v>
      </c>
      <c r="J187" s="48">
        <v>1390.1</v>
      </c>
      <c r="K187" s="48">
        <v>44.3</v>
      </c>
      <c r="L187" s="48">
        <v>0</v>
      </c>
      <c r="M187" s="48">
        <v>1.9</v>
      </c>
      <c r="N187" s="48">
        <v>4.5</v>
      </c>
    </row>
    <row r="188" spans="1:14" ht="10.050000000000001" customHeight="1">
      <c r="A188" s="45" t="s">
        <v>87</v>
      </c>
      <c r="B188" s="46">
        <v>2005</v>
      </c>
      <c r="C188" s="45" t="s">
        <v>112</v>
      </c>
      <c r="D188" s="47">
        <v>5</v>
      </c>
      <c r="E188" s="48">
        <v>71750.100000000006</v>
      </c>
      <c r="F188" s="48">
        <v>361.9</v>
      </c>
      <c r="G188" s="48">
        <v>72112</v>
      </c>
      <c r="H188" s="48">
        <v>151161.70000000001</v>
      </c>
      <c r="I188" s="48">
        <v>16344.2</v>
      </c>
      <c r="J188" s="48">
        <v>167505.9</v>
      </c>
      <c r="K188" s="48">
        <v>19492.599999999999</v>
      </c>
      <c r="L188" s="48">
        <v>5032.6000000000004</v>
      </c>
      <c r="M188" s="48">
        <v>38973.4</v>
      </c>
      <c r="N188" s="48">
        <v>1039.3</v>
      </c>
    </row>
    <row r="189" spans="1:14" ht="10.050000000000001" customHeight="1">
      <c r="A189" s="45" t="s">
        <v>84</v>
      </c>
      <c r="B189" s="46">
        <v>2005</v>
      </c>
      <c r="C189" s="45" t="s">
        <v>112</v>
      </c>
      <c r="D189" s="47">
        <v>6</v>
      </c>
      <c r="E189" s="48">
        <v>2073.1999999999998</v>
      </c>
      <c r="F189" s="48">
        <v>15.9</v>
      </c>
      <c r="G189" s="48">
        <v>2089.1</v>
      </c>
      <c r="H189" s="48">
        <v>47811.9</v>
      </c>
      <c r="I189" s="48">
        <v>583.79999999999995</v>
      </c>
      <c r="J189" s="48">
        <v>48395.7</v>
      </c>
      <c r="K189" s="48">
        <v>26.3</v>
      </c>
      <c r="L189" s="48">
        <v>10.5</v>
      </c>
      <c r="M189" s="48">
        <v>111.2</v>
      </c>
      <c r="N189" s="48">
        <v>11.5</v>
      </c>
    </row>
    <row r="190" spans="1:14" ht="10.050000000000001" customHeight="1">
      <c r="A190" s="45" t="s">
        <v>89</v>
      </c>
      <c r="B190" s="46">
        <v>2005</v>
      </c>
      <c r="C190" s="45" t="s">
        <v>112</v>
      </c>
      <c r="D190" s="47">
        <v>6</v>
      </c>
      <c r="E190" s="48">
        <v>61.4</v>
      </c>
      <c r="F190" s="48">
        <v>9.1</v>
      </c>
      <c r="G190" s="48">
        <v>70.5</v>
      </c>
      <c r="H190" s="48">
        <v>935.1</v>
      </c>
      <c r="I190" s="48">
        <v>477.3</v>
      </c>
      <c r="J190" s="48">
        <v>1412.4</v>
      </c>
      <c r="K190" s="48">
        <v>23.3</v>
      </c>
      <c r="L190" s="48">
        <v>0</v>
      </c>
      <c r="M190" s="48">
        <v>10.199999999999999</v>
      </c>
      <c r="N190" s="48">
        <v>10.8</v>
      </c>
    </row>
    <row r="191" spans="1:14" ht="10.050000000000001" customHeight="1">
      <c r="A191" s="45" t="s">
        <v>87</v>
      </c>
      <c r="B191" s="46">
        <v>2005</v>
      </c>
      <c r="C191" s="45" t="s">
        <v>112</v>
      </c>
      <c r="D191" s="47">
        <v>6</v>
      </c>
      <c r="E191" s="48">
        <v>52410.3</v>
      </c>
      <c r="F191" s="48">
        <v>517</v>
      </c>
      <c r="G191" s="48">
        <v>52927.3</v>
      </c>
      <c r="H191" s="48">
        <v>74085.7</v>
      </c>
      <c r="I191" s="48">
        <v>7912.3</v>
      </c>
      <c r="J191" s="48">
        <v>81998</v>
      </c>
      <c r="K191" s="48">
        <v>4101.7</v>
      </c>
      <c r="L191" s="48">
        <v>2793.3</v>
      </c>
      <c r="M191" s="48">
        <v>17242.599999999999</v>
      </c>
      <c r="N191" s="48">
        <v>941.4</v>
      </c>
    </row>
    <row r="192" spans="1:14" ht="10.050000000000001" customHeight="1">
      <c r="A192" s="45" t="s">
        <v>84</v>
      </c>
      <c r="B192" s="46">
        <v>2005</v>
      </c>
      <c r="C192" s="45" t="s">
        <v>113</v>
      </c>
      <c r="D192" s="47">
        <v>7</v>
      </c>
      <c r="E192" s="48">
        <v>12859.6</v>
      </c>
      <c r="F192" s="48">
        <v>206.8</v>
      </c>
      <c r="G192" s="48">
        <v>13066.4</v>
      </c>
      <c r="H192" s="48">
        <v>49994</v>
      </c>
      <c r="I192" s="48">
        <v>698.3</v>
      </c>
      <c r="J192" s="48">
        <v>50692.3</v>
      </c>
      <c r="K192" s="48">
        <v>1654.8</v>
      </c>
      <c r="L192" s="48">
        <v>1666</v>
      </c>
      <c r="M192" s="48">
        <v>33</v>
      </c>
      <c r="N192" s="48">
        <v>4.5</v>
      </c>
    </row>
    <row r="193" spans="1:14" ht="10.050000000000001" customHeight="1">
      <c r="A193" s="45" t="s">
        <v>89</v>
      </c>
      <c r="B193" s="46">
        <v>2005</v>
      </c>
      <c r="C193" s="45" t="s">
        <v>113</v>
      </c>
      <c r="D193" s="47">
        <v>7</v>
      </c>
      <c r="E193" s="48">
        <v>98</v>
      </c>
      <c r="F193" s="48">
        <v>185.5</v>
      </c>
      <c r="G193" s="48">
        <v>283.5</v>
      </c>
      <c r="H193" s="48">
        <v>786.3</v>
      </c>
      <c r="I193" s="48">
        <v>577.79999999999995</v>
      </c>
      <c r="J193" s="48">
        <v>1364.1</v>
      </c>
      <c r="K193" s="48">
        <v>23.8</v>
      </c>
      <c r="L193" s="48">
        <v>2.2000000000000002</v>
      </c>
      <c r="M193" s="48">
        <v>0</v>
      </c>
      <c r="N193" s="48">
        <v>1.7</v>
      </c>
    </row>
    <row r="194" spans="1:14" ht="10.050000000000001" customHeight="1">
      <c r="A194" s="45" t="s">
        <v>87</v>
      </c>
      <c r="B194" s="46">
        <v>2005</v>
      </c>
      <c r="C194" s="45" t="s">
        <v>113</v>
      </c>
      <c r="D194" s="47">
        <v>7</v>
      </c>
      <c r="E194" s="48">
        <v>472812.4</v>
      </c>
      <c r="F194" s="48">
        <v>11401.2</v>
      </c>
      <c r="G194" s="48">
        <v>484213.6</v>
      </c>
      <c r="H194" s="48">
        <v>443437.4</v>
      </c>
      <c r="I194" s="48">
        <v>17429.7</v>
      </c>
      <c r="J194" s="48">
        <v>460867.1</v>
      </c>
      <c r="K194" s="48">
        <v>151490.4</v>
      </c>
      <c r="L194" s="48">
        <v>154430.39999999999</v>
      </c>
      <c r="M194" s="48">
        <v>6166.1</v>
      </c>
      <c r="N194" s="48">
        <v>819</v>
      </c>
    </row>
    <row r="195" spans="1:14" ht="10.050000000000001" customHeight="1">
      <c r="A195" s="45" t="s">
        <v>84</v>
      </c>
      <c r="B195" s="46">
        <v>2005</v>
      </c>
      <c r="C195" s="45" t="s">
        <v>113</v>
      </c>
      <c r="D195" s="47">
        <v>8</v>
      </c>
      <c r="E195" s="48">
        <v>152798.9</v>
      </c>
      <c r="F195" s="48">
        <v>618.9</v>
      </c>
      <c r="G195" s="48">
        <v>153417.79999999999</v>
      </c>
      <c r="H195" s="48">
        <v>159877</v>
      </c>
      <c r="I195" s="48">
        <v>1260.5</v>
      </c>
      <c r="J195" s="48">
        <v>161137.5</v>
      </c>
      <c r="K195" s="48">
        <v>24086</v>
      </c>
      <c r="L195" s="48">
        <v>24100</v>
      </c>
      <c r="M195" s="48">
        <v>1529</v>
      </c>
      <c r="N195" s="48">
        <v>126.8</v>
      </c>
    </row>
    <row r="196" spans="1:14" ht="10.050000000000001" customHeight="1">
      <c r="A196" s="45" t="s">
        <v>89</v>
      </c>
      <c r="B196" s="46">
        <v>2005</v>
      </c>
      <c r="C196" s="45" t="s">
        <v>113</v>
      </c>
      <c r="D196" s="47">
        <v>8</v>
      </c>
      <c r="E196" s="48">
        <v>2072.4</v>
      </c>
      <c r="F196" s="48">
        <v>139.69999999999999</v>
      </c>
      <c r="G196" s="48">
        <v>2212.1</v>
      </c>
      <c r="H196" s="48">
        <v>2704.9</v>
      </c>
      <c r="I196" s="48">
        <v>678.1</v>
      </c>
      <c r="J196" s="48">
        <v>3383</v>
      </c>
      <c r="K196" s="48">
        <v>81.400000000000006</v>
      </c>
      <c r="L196" s="48">
        <v>59.9</v>
      </c>
      <c r="M196" s="48">
        <v>0</v>
      </c>
      <c r="N196" s="48">
        <v>2.2999999999999998</v>
      </c>
    </row>
    <row r="197" spans="1:14" ht="10.050000000000001" customHeight="1">
      <c r="A197" s="45" t="s">
        <v>87</v>
      </c>
      <c r="B197" s="46">
        <v>2005</v>
      </c>
      <c r="C197" s="45" t="s">
        <v>113</v>
      </c>
      <c r="D197" s="47">
        <v>8</v>
      </c>
      <c r="E197" s="48">
        <v>173740.7</v>
      </c>
      <c r="F197" s="48">
        <v>2882.8</v>
      </c>
      <c r="G197" s="48">
        <v>176623.5</v>
      </c>
      <c r="H197" s="48">
        <v>502790.1</v>
      </c>
      <c r="I197" s="48">
        <v>19690.400000000001</v>
      </c>
      <c r="J197" s="48">
        <v>522480.5</v>
      </c>
      <c r="K197" s="48">
        <v>227160.2</v>
      </c>
      <c r="L197" s="48">
        <v>108990.39999999999</v>
      </c>
      <c r="M197" s="48">
        <v>30214</v>
      </c>
      <c r="N197" s="48">
        <v>1133.7</v>
      </c>
    </row>
    <row r="198" spans="1:14" ht="10.050000000000001" customHeight="1">
      <c r="A198" s="45" t="s">
        <v>84</v>
      </c>
      <c r="B198" s="46">
        <v>2005</v>
      </c>
      <c r="C198" s="45" t="s">
        <v>113</v>
      </c>
      <c r="D198" s="47">
        <v>9</v>
      </c>
      <c r="E198" s="48">
        <v>57046.5</v>
      </c>
      <c r="F198" s="48">
        <v>219.9</v>
      </c>
      <c r="G198" s="48">
        <v>57266.400000000001</v>
      </c>
      <c r="H198" s="48">
        <v>165922.70000000001</v>
      </c>
      <c r="I198" s="48">
        <v>1570.7</v>
      </c>
      <c r="J198" s="48">
        <v>167493.4</v>
      </c>
      <c r="K198" s="48">
        <v>15574.1</v>
      </c>
      <c r="L198" s="48">
        <v>9431.6</v>
      </c>
      <c r="M198" s="48">
        <v>17249.3</v>
      </c>
      <c r="N198" s="48">
        <v>694.2</v>
      </c>
    </row>
    <row r="199" spans="1:14" ht="10.050000000000001" customHeight="1">
      <c r="A199" s="45" t="s">
        <v>89</v>
      </c>
      <c r="B199" s="46">
        <v>2005</v>
      </c>
      <c r="C199" s="45" t="s">
        <v>113</v>
      </c>
      <c r="D199" s="47">
        <v>9</v>
      </c>
      <c r="E199" s="48">
        <v>432.5</v>
      </c>
      <c r="F199" s="48">
        <v>46.1</v>
      </c>
      <c r="G199" s="48">
        <v>478.6</v>
      </c>
      <c r="H199" s="48">
        <v>2549.4</v>
      </c>
      <c r="I199" s="48">
        <v>681.3</v>
      </c>
      <c r="J199" s="48">
        <v>3230.7</v>
      </c>
      <c r="K199" s="48">
        <v>84.1</v>
      </c>
      <c r="L199" s="48">
        <v>12.8</v>
      </c>
      <c r="M199" s="48">
        <v>0</v>
      </c>
      <c r="N199" s="48">
        <v>10.1</v>
      </c>
    </row>
    <row r="200" spans="1:14" ht="10.050000000000001" customHeight="1">
      <c r="A200" s="45" t="s">
        <v>87</v>
      </c>
      <c r="B200" s="46">
        <v>2005</v>
      </c>
      <c r="C200" s="45" t="s">
        <v>113</v>
      </c>
      <c r="D200" s="47">
        <v>9</v>
      </c>
      <c r="E200" s="48">
        <v>81460.100000000006</v>
      </c>
      <c r="F200" s="48">
        <v>616.20000000000005</v>
      </c>
      <c r="G200" s="48">
        <v>82076.3</v>
      </c>
      <c r="H200" s="48">
        <v>481543.3</v>
      </c>
      <c r="I200" s="48">
        <v>19826.400000000001</v>
      </c>
      <c r="J200" s="48">
        <v>501369.7</v>
      </c>
      <c r="K200" s="48">
        <v>170553.4</v>
      </c>
      <c r="L200" s="48">
        <v>5961.3</v>
      </c>
      <c r="M200" s="48">
        <v>61043.3</v>
      </c>
      <c r="N200" s="48">
        <v>1355.8</v>
      </c>
    </row>
    <row r="201" spans="1:14" ht="10.050000000000001" customHeight="1">
      <c r="A201" s="45" t="s">
        <v>84</v>
      </c>
      <c r="B201" s="46">
        <v>2005</v>
      </c>
      <c r="C201" s="45" t="s">
        <v>113</v>
      </c>
      <c r="D201" s="47">
        <v>10</v>
      </c>
      <c r="E201" s="48">
        <v>31741.4</v>
      </c>
      <c r="F201" s="48">
        <v>1384</v>
      </c>
      <c r="G201" s="48">
        <v>33125.4</v>
      </c>
      <c r="H201" s="48">
        <v>181577</v>
      </c>
      <c r="I201" s="48">
        <v>2878.7</v>
      </c>
      <c r="J201" s="48">
        <v>184455.7</v>
      </c>
      <c r="K201" s="48">
        <v>8154.3</v>
      </c>
      <c r="L201" s="48">
        <v>598.5</v>
      </c>
      <c r="M201" s="48">
        <v>7813</v>
      </c>
      <c r="N201" s="48">
        <v>205.3</v>
      </c>
    </row>
    <row r="202" spans="1:14" ht="10.050000000000001" customHeight="1">
      <c r="A202" s="45" t="s">
        <v>89</v>
      </c>
      <c r="B202" s="46">
        <v>2005</v>
      </c>
      <c r="C202" s="45" t="s">
        <v>113</v>
      </c>
      <c r="D202" s="47">
        <v>10</v>
      </c>
      <c r="E202" s="48">
        <v>97.9</v>
      </c>
      <c r="F202" s="48">
        <v>31.3</v>
      </c>
      <c r="G202" s="48">
        <v>129.19999999999999</v>
      </c>
      <c r="H202" s="48">
        <v>2363.8000000000002</v>
      </c>
      <c r="I202" s="48">
        <v>712.6</v>
      </c>
      <c r="J202" s="48">
        <v>3076.4</v>
      </c>
      <c r="K202" s="48">
        <v>82.6</v>
      </c>
      <c r="L202" s="48">
        <v>2.7</v>
      </c>
      <c r="M202" s="48">
        <v>0</v>
      </c>
      <c r="N202" s="48">
        <v>4.2</v>
      </c>
    </row>
    <row r="203" spans="1:14" ht="10.050000000000001" customHeight="1">
      <c r="A203" s="45" t="s">
        <v>87</v>
      </c>
      <c r="B203" s="46">
        <v>2005</v>
      </c>
      <c r="C203" s="45" t="s">
        <v>113</v>
      </c>
      <c r="D203" s="47">
        <v>10</v>
      </c>
      <c r="E203" s="48">
        <v>39067</v>
      </c>
      <c r="F203" s="48">
        <v>2183</v>
      </c>
      <c r="G203" s="48">
        <v>41250</v>
      </c>
      <c r="H203" s="48">
        <v>423795.7</v>
      </c>
      <c r="I203" s="48">
        <v>20997.7</v>
      </c>
      <c r="J203" s="48">
        <v>444793.4</v>
      </c>
      <c r="K203" s="48">
        <v>148352.79999999999</v>
      </c>
      <c r="L203" s="48">
        <v>1716.1</v>
      </c>
      <c r="M203" s="48">
        <v>23122.7</v>
      </c>
      <c r="N203" s="48">
        <v>794</v>
      </c>
    </row>
    <row r="204" spans="1:14" ht="10.050000000000001" customHeight="1">
      <c r="A204" s="45" t="s">
        <v>84</v>
      </c>
      <c r="B204" s="46">
        <v>2005</v>
      </c>
      <c r="C204" s="45" t="s">
        <v>113</v>
      </c>
      <c r="D204" s="47">
        <v>11</v>
      </c>
      <c r="E204" s="48">
        <v>7623</v>
      </c>
      <c r="F204" s="48">
        <v>2115.1999999999998</v>
      </c>
      <c r="G204" s="48">
        <v>9738.2000000000007</v>
      </c>
      <c r="H204" s="48">
        <v>175283.6</v>
      </c>
      <c r="I204" s="48">
        <v>4184.3</v>
      </c>
      <c r="J204" s="48">
        <v>179467.9</v>
      </c>
      <c r="K204" s="48">
        <v>7188</v>
      </c>
      <c r="L204" s="48">
        <v>644.6</v>
      </c>
      <c r="M204" s="48">
        <v>1555.2</v>
      </c>
      <c r="N204" s="48">
        <v>104</v>
      </c>
    </row>
    <row r="205" spans="1:14" ht="10.050000000000001" customHeight="1">
      <c r="A205" s="45" t="s">
        <v>89</v>
      </c>
      <c r="B205" s="46">
        <v>2005</v>
      </c>
      <c r="C205" s="45" t="s">
        <v>113</v>
      </c>
      <c r="D205" s="47">
        <v>11</v>
      </c>
      <c r="E205" s="48">
        <v>82.2</v>
      </c>
      <c r="F205" s="48">
        <v>218.4</v>
      </c>
      <c r="G205" s="48">
        <v>300.60000000000002</v>
      </c>
      <c r="H205" s="48">
        <v>2182.1999999999998</v>
      </c>
      <c r="I205" s="48">
        <v>873.9</v>
      </c>
      <c r="J205" s="48">
        <v>3056.1</v>
      </c>
      <c r="K205" s="48">
        <v>59.8</v>
      </c>
      <c r="L205" s="48">
        <v>0</v>
      </c>
      <c r="M205" s="48">
        <v>10.5</v>
      </c>
      <c r="N205" s="48">
        <v>12.3</v>
      </c>
    </row>
    <row r="206" spans="1:14" ht="10.050000000000001" customHeight="1">
      <c r="A206" s="45" t="s">
        <v>87</v>
      </c>
      <c r="B206" s="46">
        <v>2005</v>
      </c>
      <c r="C206" s="45" t="s">
        <v>113</v>
      </c>
      <c r="D206" s="47">
        <v>11</v>
      </c>
      <c r="E206" s="48">
        <v>44121.7</v>
      </c>
      <c r="F206" s="48">
        <v>7581.5</v>
      </c>
      <c r="G206" s="48">
        <v>51703.199999999997</v>
      </c>
      <c r="H206" s="48">
        <v>387095</v>
      </c>
      <c r="I206" s="48">
        <v>25860.7</v>
      </c>
      <c r="J206" s="48">
        <v>412955.7</v>
      </c>
      <c r="K206" s="48">
        <v>130287.4</v>
      </c>
      <c r="L206" s="48">
        <v>5245.9</v>
      </c>
      <c r="M206" s="48">
        <v>22627.7</v>
      </c>
      <c r="N206" s="48">
        <v>683.6</v>
      </c>
    </row>
    <row r="207" spans="1:14" ht="10.050000000000001" customHeight="1">
      <c r="A207" s="45" t="s">
        <v>84</v>
      </c>
      <c r="B207" s="46">
        <v>2005</v>
      </c>
      <c r="C207" s="45" t="s">
        <v>113</v>
      </c>
      <c r="D207" s="47">
        <v>12</v>
      </c>
      <c r="E207" s="48">
        <v>9067.2999999999993</v>
      </c>
      <c r="F207" s="48">
        <v>1394.5</v>
      </c>
      <c r="G207" s="48">
        <v>10461.799999999999</v>
      </c>
      <c r="H207" s="48">
        <v>168913.6</v>
      </c>
      <c r="I207" s="48">
        <v>4512.2</v>
      </c>
      <c r="J207" s="48">
        <v>173425.8</v>
      </c>
      <c r="K207" s="48">
        <v>5996.9</v>
      </c>
      <c r="L207" s="48">
        <v>687.1</v>
      </c>
      <c r="M207" s="48">
        <v>1660.4</v>
      </c>
      <c r="N207" s="48">
        <v>217.8</v>
      </c>
    </row>
    <row r="208" spans="1:14" ht="10.050000000000001" customHeight="1">
      <c r="A208" s="45" t="s">
        <v>89</v>
      </c>
      <c r="B208" s="46">
        <v>2005</v>
      </c>
      <c r="C208" s="45" t="s">
        <v>113</v>
      </c>
      <c r="D208" s="47">
        <v>12</v>
      </c>
      <c r="E208" s="48">
        <v>52.7</v>
      </c>
      <c r="F208" s="48">
        <v>22</v>
      </c>
      <c r="G208" s="48">
        <v>74.7</v>
      </c>
      <c r="H208" s="48">
        <v>2024.1</v>
      </c>
      <c r="I208" s="48">
        <v>881.6</v>
      </c>
      <c r="J208" s="48">
        <v>2905.7</v>
      </c>
      <c r="K208" s="48">
        <v>52.1</v>
      </c>
      <c r="L208" s="48">
        <v>0</v>
      </c>
      <c r="M208" s="48">
        <v>0</v>
      </c>
      <c r="N208" s="48">
        <v>7.7</v>
      </c>
    </row>
    <row r="209" spans="1:14" ht="10.050000000000001" customHeight="1">
      <c r="A209" s="45" t="s">
        <v>87</v>
      </c>
      <c r="B209" s="46">
        <v>2005</v>
      </c>
      <c r="C209" s="45" t="s">
        <v>113</v>
      </c>
      <c r="D209" s="47">
        <v>12</v>
      </c>
      <c r="E209" s="48">
        <v>45222.9</v>
      </c>
      <c r="F209" s="48">
        <v>6893.7</v>
      </c>
      <c r="G209" s="48">
        <v>52116.6</v>
      </c>
      <c r="H209" s="48">
        <v>349189.5</v>
      </c>
      <c r="I209" s="48">
        <v>28316.799999999999</v>
      </c>
      <c r="J209" s="48">
        <v>377506.3</v>
      </c>
      <c r="K209" s="48">
        <v>109487.7</v>
      </c>
      <c r="L209" s="48">
        <v>6416</v>
      </c>
      <c r="M209" s="48">
        <v>25407.4</v>
      </c>
      <c r="N209" s="48">
        <v>1808.3</v>
      </c>
    </row>
    <row r="210" spans="1:14" ht="10.050000000000001" customHeight="1">
      <c r="A210" s="45" t="s">
        <v>87</v>
      </c>
      <c r="B210" s="46">
        <v>2005</v>
      </c>
      <c r="C210" s="45" t="s">
        <v>114</v>
      </c>
      <c r="D210" s="47">
        <v>9</v>
      </c>
      <c r="E210" s="48">
        <v>0</v>
      </c>
      <c r="F210" s="48">
        <v>0</v>
      </c>
      <c r="G210" s="48">
        <v>0</v>
      </c>
      <c r="H210" s="48">
        <v>3.4</v>
      </c>
      <c r="I210" s="48">
        <v>0</v>
      </c>
      <c r="J210" s="48">
        <v>3.4</v>
      </c>
      <c r="K210" s="48">
        <v>1076.7</v>
      </c>
      <c r="L210" s="48">
        <v>0</v>
      </c>
      <c r="M210" s="48">
        <v>0</v>
      </c>
      <c r="N210" s="48">
        <v>0</v>
      </c>
    </row>
    <row r="211" spans="1:14" ht="10.050000000000001" customHeight="1">
      <c r="A211" s="45" t="s">
        <v>84</v>
      </c>
      <c r="B211" s="46">
        <v>2006</v>
      </c>
      <c r="C211" s="45" t="s">
        <v>113</v>
      </c>
      <c r="D211" s="47">
        <v>1</v>
      </c>
      <c r="E211" s="48">
        <v>8043.7</v>
      </c>
      <c r="F211" s="48">
        <v>864.2</v>
      </c>
      <c r="G211" s="48">
        <v>8907.9</v>
      </c>
      <c r="H211" s="48">
        <v>152813.9</v>
      </c>
      <c r="I211" s="48">
        <v>3861.2</v>
      </c>
      <c r="J211" s="48">
        <v>156675.1</v>
      </c>
      <c r="K211" s="48">
        <v>4476.5</v>
      </c>
      <c r="L211" s="48">
        <v>281.60000000000002</v>
      </c>
      <c r="M211" s="48">
        <v>1539.3</v>
      </c>
      <c r="N211" s="48">
        <v>39.299999999999997</v>
      </c>
    </row>
    <row r="212" spans="1:14" ht="10.050000000000001" customHeight="1">
      <c r="A212" s="45" t="s">
        <v>89</v>
      </c>
      <c r="B212" s="46">
        <v>2006</v>
      </c>
      <c r="C212" s="45" t="s">
        <v>113</v>
      </c>
      <c r="D212" s="47">
        <v>1</v>
      </c>
      <c r="E212" s="48">
        <v>62.2</v>
      </c>
      <c r="F212" s="48">
        <v>61.7</v>
      </c>
      <c r="G212" s="48">
        <v>123.9</v>
      </c>
      <c r="H212" s="48">
        <v>1780.4</v>
      </c>
      <c r="I212" s="48">
        <v>640.79999999999995</v>
      </c>
      <c r="J212" s="48">
        <v>2421.1999999999998</v>
      </c>
      <c r="K212" s="48">
        <v>42.8</v>
      </c>
      <c r="L212" s="48">
        <v>0</v>
      </c>
      <c r="M212" s="48">
        <v>2.2000000000000002</v>
      </c>
      <c r="N212" s="48">
        <v>7.1</v>
      </c>
    </row>
    <row r="213" spans="1:14" ht="10.050000000000001" customHeight="1">
      <c r="A213" s="45" t="s">
        <v>87</v>
      </c>
      <c r="B213" s="46">
        <v>2006</v>
      </c>
      <c r="C213" s="45" t="s">
        <v>113</v>
      </c>
      <c r="D213" s="47">
        <v>1</v>
      </c>
      <c r="E213" s="48">
        <v>56940.5</v>
      </c>
      <c r="F213" s="48">
        <v>6149.6</v>
      </c>
      <c r="G213" s="48">
        <v>63090.1</v>
      </c>
      <c r="H213" s="48">
        <v>311227.5</v>
      </c>
      <c r="I213" s="48">
        <v>25620.5</v>
      </c>
      <c r="J213" s="48">
        <v>336848</v>
      </c>
      <c r="K213" s="48">
        <v>86527.5</v>
      </c>
      <c r="L213" s="48">
        <v>5928.7</v>
      </c>
      <c r="M213" s="48">
        <v>25409.200000000001</v>
      </c>
      <c r="N213" s="48">
        <v>630.9</v>
      </c>
    </row>
    <row r="214" spans="1:14" ht="10.050000000000001" customHeight="1">
      <c r="A214" s="45" t="s">
        <v>84</v>
      </c>
      <c r="B214" s="46">
        <v>2006</v>
      </c>
      <c r="C214" s="45" t="s">
        <v>113</v>
      </c>
      <c r="D214" s="47">
        <v>2</v>
      </c>
      <c r="E214" s="48">
        <v>7482.5</v>
      </c>
      <c r="F214" s="48">
        <v>311.10000000000002</v>
      </c>
      <c r="G214" s="48">
        <v>7793.6</v>
      </c>
      <c r="H214" s="48">
        <v>136524.20000000001</v>
      </c>
      <c r="I214" s="48">
        <v>3057.1</v>
      </c>
      <c r="J214" s="48">
        <v>139581.29999999999</v>
      </c>
      <c r="K214" s="48">
        <v>3271.5</v>
      </c>
      <c r="L214" s="48">
        <v>547</v>
      </c>
      <c r="M214" s="48">
        <v>1567.6</v>
      </c>
      <c r="N214" s="48">
        <v>184.4</v>
      </c>
    </row>
    <row r="215" spans="1:14" ht="10.050000000000001" customHeight="1">
      <c r="A215" s="45" t="s">
        <v>89</v>
      </c>
      <c r="B215" s="46">
        <v>2006</v>
      </c>
      <c r="C215" s="45" t="s">
        <v>113</v>
      </c>
      <c r="D215" s="47">
        <v>2</v>
      </c>
      <c r="E215" s="48">
        <v>165.3</v>
      </c>
      <c r="F215" s="48">
        <v>4.5999999999999996</v>
      </c>
      <c r="G215" s="48">
        <v>169.9</v>
      </c>
      <c r="H215" s="48">
        <v>1697.1</v>
      </c>
      <c r="I215" s="48">
        <v>499.6</v>
      </c>
      <c r="J215" s="48">
        <v>2196.6999999999998</v>
      </c>
      <c r="K215" s="48">
        <v>24.5</v>
      </c>
      <c r="L215" s="48">
        <v>0</v>
      </c>
      <c r="M215" s="48">
        <v>11.9</v>
      </c>
      <c r="N215" s="48">
        <v>6.4</v>
      </c>
    </row>
    <row r="216" spans="1:14" ht="10.050000000000001" customHeight="1">
      <c r="A216" s="45" t="s">
        <v>87</v>
      </c>
      <c r="B216" s="46">
        <v>2006</v>
      </c>
      <c r="C216" s="45" t="s">
        <v>113</v>
      </c>
      <c r="D216" s="47">
        <v>2</v>
      </c>
      <c r="E216" s="48">
        <v>60380.1</v>
      </c>
      <c r="F216" s="48">
        <v>3368.7</v>
      </c>
      <c r="G216" s="48">
        <v>63748.800000000003</v>
      </c>
      <c r="H216" s="48">
        <v>280528.2</v>
      </c>
      <c r="I216" s="48">
        <v>20443.3</v>
      </c>
      <c r="J216" s="48">
        <v>300971.5</v>
      </c>
      <c r="K216" s="48">
        <v>67346.899999999994</v>
      </c>
      <c r="L216" s="48">
        <v>8265.1</v>
      </c>
      <c r="M216" s="48">
        <v>26832.3</v>
      </c>
      <c r="N216" s="48">
        <v>725.3</v>
      </c>
    </row>
    <row r="217" spans="1:14" ht="10.050000000000001" customHeight="1">
      <c r="A217" s="45" t="s">
        <v>84</v>
      </c>
      <c r="B217" s="46">
        <v>2006</v>
      </c>
      <c r="C217" s="45" t="s">
        <v>113</v>
      </c>
      <c r="D217" s="47">
        <v>3</v>
      </c>
      <c r="E217" s="48">
        <v>5847</v>
      </c>
      <c r="F217" s="48">
        <v>223.8</v>
      </c>
      <c r="G217" s="48">
        <v>6070.8</v>
      </c>
      <c r="H217" s="48">
        <v>128142</v>
      </c>
      <c r="I217" s="48">
        <v>2466.9</v>
      </c>
      <c r="J217" s="48">
        <v>130608.9</v>
      </c>
      <c r="K217" s="48">
        <v>1804.1</v>
      </c>
      <c r="L217" s="48">
        <v>188.7</v>
      </c>
      <c r="M217" s="48">
        <v>1623.9</v>
      </c>
      <c r="N217" s="48">
        <v>58.7</v>
      </c>
    </row>
    <row r="218" spans="1:14" ht="10.050000000000001" customHeight="1">
      <c r="A218" s="45" t="s">
        <v>89</v>
      </c>
      <c r="B218" s="46">
        <v>2006</v>
      </c>
      <c r="C218" s="45" t="s">
        <v>113</v>
      </c>
      <c r="D218" s="47">
        <v>3</v>
      </c>
      <c r="E218" s="48">
        <v>28.8</v>
      </c>
      <c r="F218" s="48">
        <v>0</v>
      </c>
      <c r="G218" s="48">
        <v>28.8</v>
      </c>
      <c r="H218" s="48">
        <v>1401.6</v>
      </c>
      <c r="I218" s="48">
        <v>462.3</v>
      </c>
      <c r="J218" s="48">
        <v>1863.9</v>
      </c>
      <c r="K218" s="48">
        <v>19</v>
      </c>
      <c r="L218" s="48">
        <v>0</v>
      </c>
      <c r="M218" s="48">
        <v>0</v>
      </c>
      <c r="N218" s="48">
        <v>5.5</v>
      </c>
    </row>
    <row r="219" spans="1:14" ht="10.050000000000001" customHeight="1">
      <c r="A219" s="45" t="s">
        <v>87</v>
      </c>
      <c r="B219" s="46">
        <v>2006</v>
      </c>
      <c r="C219" s="45" t="s">
        <v>113</v>
      </c>
      <c r="D219" s="47">
        <v>3</v>
      </c>
      <c r="E219" s="48">
        <v>74471.7</v>
      </c>
      <c r="F219" s="48">
        <v>2507.1</v>
      </c>
      <c r="G219" s="48">
        <v>76978.8</v>
      </c>
      <c r="H219" s="48">
        <v>226086.3</v>
      </c>
      <c r="I219" s="48">
        <v>16729</v>
      </c>
      <c r="J219" s="48">
        <v>242815.3</v>
      </c>
      <c r="K219" s="48">
        <v>35658.199999999997</v>
      </c>
      <c r="L219" s="48">
        <v>7592.8</v>
      </c>
      <c r="M219" s="48">
        <v>38952.1</v>
      </c>
      <c r="N219" s="48">
        <v>329.4</v>
      </c>
    </row>
    <row r="220" spans="1:14" ht="10.050000000000001" customHeight="1">
      <c r="A220" s="45" t="s">
        <v>84</v>
      </c>
      <c r="B220" s="46">
        <v>2006</v>
      </c>
      <c r="C220" s="45" t="s">
        <v>113</v>
      </c>
      <c r="D220" s="47">
        <v>4</v>
      </c>
      <c r="E220" s="48">
        <v>4586.3999999999996</v>
      </c>
      <c r="F220" s="48">
        <v>208.1</v>
      </c>
      <c r="G220" s="48">
        <v>4794.5</v>
      </c>
      <c r="H220" s="48">
        <v>118299.6</v>
      </c>
      <c r="I220" s="48">
        <v>2096.4</v>
      </c>
      <c r="J220" s="48">
        <v>120396</v>
      </c>
      <c r="K220" s="48">
        <v>964.1</v>
      </c>
      <c r="L220" s="48">
        <v>139.1</v>
      </c>
      <c r="M220" s="48">
        <v>922.4</v>
      </c>
      <c r="N220" s="48">
        <v>30.2</v>
      </c>
    </row>
    <row r="221" spans="1:14" ht="10.050000000000001" customHeight="1">
      <c r="A221" s="45" t="s">
        <v>89</v>
      </c>
      <c r="B221" s="46">
        <v>2006</v>
      </c>
      <c r="C221" s="45" t="s">
        <v>113</v>
      </c>
      <c r="D221" s="47">
        <v>4</v>
      </c>
      <c r="E221" s="48">
        <v>51.2</v>
      </c>
      <c r="F221" s="48">
        <v>0.7</v>
      </c>
      <c r="G221" s="48">
        <v>51.9</v>
      </c>
      <c r="H221" s="48">
        <v>1312.9</v>
      </c>
      <c r="I221" s="48">
        <v>463.8</v>
      </c>
      <c r="J221" s="48">
        <v>1776.7</v>
      </c>
      <c r="K221" s="48">
        <v>17.8</v>
      </c>
      <c r="L221" s="48">
        <v>0</v>
      </c>
      <c r="M221" s="48">
        <v>0</v>
      </c>
      <c r="N221" s="48">
        <v>1.2</v>
      </c>
    </row>
    <row r="222" spans="1:14" ht="10.050000000000001" customHeight="1">
      <c r="A222" s="45" t="s">
        <v>87</v>
      </c>
      <c r="B222" s="46">
        <v>2006</v>
      </c>
      <c r="C222" s="45" t="s">
        <v>113</v>
      </c>
      <c r="D222" s="47">
        <v>4</v>
      </c>
      <c r="E222" s="48">
        <v>41179.4</v>
      </c>
      <c r="F222" s="48">
        <v>1333.1</v>
      </c>
      <c r="G222" s="48">
        <v>42512.5</v>
      </c>
      <c r="H222" s="48">
        <v>164681.20000000001</v>
      </c>
      <c r="I222" s="48">
        <v>10879</v>
      </c>
      <c r="J222" s="48">
        <v>175560.2</v>
      </c>
      <c r="K222" s="48">
        <v>20219.8</v>
      </c>
      <c r="L222" s="48">
        <v>4647.2</v>
      </c>
      <c r="M222" s="48">
        <v>19736.2</v>
      </c>
      <c r="N222" s="48">
        <v>349.4</v>
      </c>
    </row>
    <row r="223" spans="1:14" ht="10.050000000000001" customHeight="1">
      <c r="A223" s="45" t="s">
        <v>84</v>
      </c>
      <c r="B223" s="46">
        <v>2006</v>
      </c>
      <c r="C223" s="45" t="s">
        <v>113</v>
      </c>
      <c r="D223" s="47">
        <v>5</v>
      </c>
      <c r="E223" s="48">
        <v>5250.7</v>
      </c>
      <c r="F223" s="48">
        <v>12</v>
      </c>
      <c r="G223" s="48">
        <v>5262.7</v>
      </c>
      <c r="H223" s="48">
        <v>85870.3</v>
      </c>
      <c r="I223" s="48">
        <v>1672.6</v>
      </c>
      <c r="J223" s="48">
        <v>87542.9</v>
      </c>
      <c r="K223" s="48">
        <v>470.7</v>
      </c>
      <c r="L223" s="48">
        <v>258.3</v>
      </c>
      <c r="M223" s="48">
        <v>724.5</v>
      </c>
      <c r="N223" s="48">
        <v>59.3</v>
      </c>
    </row>
    <row r="224" spans="1:14" ht="10.050000000000001" customHeight="1">
      <c r="A224" s="45" t="s">
        <v>89</v>
      </c>
      <c r="B224" s="46">
        <v>2006</v>
      </c>
      <c r="C224" s="45" t="s">
        <v>113</v>
      </c>
      <c r="D224" s="47">
        <v>5</v>
      </c>
      <c r="E224" s="48">
        <v>3</v>
      </c>
      <c r="F224" s="48">
        <v>0</v>
      </c>
      <c r="G224" s="48">
        <v>3</v>
      </c>
      <c r="H224" s="48">
        <v>1118.5999999999999</v>
      </c>
      <c r="I224" s="48">
        <v>448.7</v>
      </c>
      <c r="J224" s="48">
        <v>1567.3</v>
      </c>
      <c r="K224" s="48">
        <v>16.2</v>
      </c>
      <c r="L224" s="48">
        <v>0</v>
      </c>
      <c r="M224" s="48">
        <v>0</v>
      </c>
      <c r="N224" s="48">
        <v>1.6</v>
      </c>
    </row>
    <row r="225" spans="1:14" ht="10.050000000000001" customHeight="1">
      <c r="A225" s="45" t="s">
        <v>87</v>
      </c>
      <c r="B225" s="46">
        <v>2006</v>
      </c>
      <c r="C225" s="45" t="s">
        <v>113</v>
      </c>
      <c r="D225" s="47">
        <v>5</v>
      </c>
      <c r="E225" s="48">
        <v>40213.199999999997</v>
      </c>
      <c r="F225" s="48">
        <v>292</v>
      </c>
      <c r="G225" s="48">
        <v>40505.199999999997</v>
      </c>
      <c r="H225" s="48">
        <v>123444.9</v>
      </c>
      <c r="I225" s="48">
        <v>7780.1</v>
      </c>
      <c r="J225" s="48">
        <v>131225</v>
      </c>
      <c r="K225" s="48">
        <v>6582.9</v>
      </c>
      <c r="L225" s="48">
        <v>2323.8000000000002</v>
      </c>
      <c r="M225" s="48">
        <v>14427.7</v>
      </c>
      <c r="N225" s="48">
        <v>1621.3</v>
      </c>
    </row>
    <row r="226" spans="1:14" ht="10.050000000000001" customHeight="1">
      <c r="A226" s="45" t="s">
        <v>84</v>
      </c>
      <c r="B226" s="46">
        <v>2006</v>
      </c>
      <c r="C226" s="45" t="s">
        <v>113</v>
      </c>
      <c r="D226" s="47">
        <v>6</v>
      </c>
      <c r="E226" s="48">
        <v>2723.5</v>
      </c>
      <c r="F226" s="48">
        <v>-0.2</v>
      </c>
      <c r="G226" s="48">
        <v>2723.3</v>
      </c>
      <c r="H226" s="48">
        <v>46133.599999999999</v>
      </c>
      <c r="I226" s="48">
        <v>1488.9</v>
      </c>
      <c r="J226" s="48">
        <v>47622.5</v>
      </c>
      <c r="K226" s="48">
        <v>110.9</v>
      </c>
      <c r="L226" s="48">
        <v>55.5</v>
      </c>
      <c r="M226" s="48">
        <v>367.9</v>
      </c>
      <c r="N226" s="48">
        <v>20.9</v>
      </c>
    </row>
    <row r="227" spans="1:14" ht="10.050000000000001" customHeight="1">
      <c r="A227" s="45" t="s">
        <v>89</v>
      </c>
      <c r="B227" s="46">
        <v>2006</v>
      </c>
      <c r="C227" s="45" t="s">
        <v>113</v>
      </c>
      <c r="D227" s="47">
        <v>6</v>
      </c>
      <c r="E227" s="48">
        <v>68.400000000000006</v>
      </c>
      <c r="F227" s="48">
        <v>0</v>
      </c>
      <c r="G227" s="48">
        <v>68.400000000000006</v>
      </c>
      <c r="H227" s="48">
        <v>899.8</v>
      </c>
      <c r="I227" s="48">
        <v>448.2</v>
      </c>
      <c r="J227" s="48">
        <v>1348</v>
      </c>
      <c r="K227" s="48">
        <v>6.5</v>
      </c>
      <c r="L227" s="48">
        <v>0</v>
      </c>
      <c r="M227" s="48">
        <v>5.9</v>
      </c>
      <c r="N227" s="48">
        <v>3.8</v>
      </c>
    </row>
    <row r="228" spans="1:14" ht="10.050000000000001" customHeight="1">
      <c r="A228" s="45" t="s">
        <v>87</v>
      </c>
      <c r="B228" s="46">
        <v>2006</v>
      </c>
      <c r="C228" s="45" t="s">
        <v>113</v>
      </c>
      <c r="D228" s="47">
        <v>6</v>
      </c>
      <c r="E228" s="48">
        <v>24804.9</v>
      </c>
      <c r="F228" s="48">
        <v>251.1</v>
      </c>
      <c r="G228" s="48">
        <v>25056</v>
      </c>
      <c r="H228" s="48">
        <v>76662.600000000006</v>
      </c>
      <c r="I228" s="48">
        <v>4700.6000000000004</v>
      </c>
      <c r="J228" s="48">
        <v>81363.199999999997</v>
      </c>
      <c r="K228" s="48">
        <v>1870.5</v>
      </c>
      <c r="L228" s="48">
        <v>1159</v>
      </c>
      <c r="M228" s="48">
        <v>5590.5</v>
      </c>
      <c r="N228" s="48">
        <v>271</v>
      </c>
    </row>
    <row r="229" spans="1:14" ht="10.050000000000001" customHeight="1">
      <c r="A229" s="45" t="s">
        <v>84</v>
      </c>
      <c r="B229" s="46">
        <v>2006</v>
      </c>
      <c r="C229" s="45" t="s">
        <v>114</v>
      </c>
      <c r="D229" s="47">
        <v>7</v>
      </c>
      <c r="E229" s="48">
        <v>32939.9</v>
      </c>
      <c r="F229" s="48">
        <v>35.9</v>
      </c>
      <c r="G229" s="48">
        <v>32975.800000000003</v>
      </c>
      <c r="H229" s="48">
        <v>60752</v>
      </c>
      <c r="I229" s="48">
        <v>1548.6</v>
      </c>
      <c r="J229" s="48">
        <v>62300.6</v>
      </c>
      <c r="K229" s="48">
        <v>2200.5</v>
      </c>
      <c r="L229" s="48">
        <v>2223.3000000000002</v>
      </c>
      <c r="M229" s="48">
        <v>131</v>
      </c>
      <c r="N229" s="48">
        <v>2.7</v>
      </c>
    </row>
    <row r="230" spans="1:14" ht="10.050000000000001" customHeight="1">
      <c r="A230" s="45" t="s">
        <v>89</v>
      </c>
      <c r="B230" s="46">
        <v>2006</v>
      </c>
      <c r="C230" s="45" t="s">
        <v>114</v>
      </c>
      <c r="D230" s="47">
        <v>7</v>
      </c>
      <c r="E230" s="48">
        <v>246.3</v>
      </c>
      <c r="F230" s="48">
        <v>40.4</v>
      </c>
      <c r="G230" s="48">
        <v>286.7</v>
      </c>
      <c r="H230" s="48">
        <v>919</v>
      </c>
      <c r="I230" s="48">
        <v>458.7</v>
      </c>
      <c r="J230" s="48">
        <v>1377.7</v>
      </c>
      <c r="K230" s="48">
        <v>0</v>
      </c>
      <c r="L230" s="48">
        <v>0</v>
      </c>
      <c r="M230" s="48">
        <v>6.5</v>
      </c>
      <c r="N230" s="48">
        <v>0</v>
      </c>
    </row>
    <row r="231" spans="1:14" ht="10.050000000000001" customHeight="1">
      <c r="A231" s="45" t="s">
        <v>87</v>
      </c>
      <c r="B231" s="46">
        <v>2006</v>
      </c>
      <c r="C231" s="45" t="s">
        <v>114</v>
      </c>
      <c r="D231" s="47">
        <v>7</v>
      </c>
      <c r="E231" s="48">
        <v>419389.7</v>
      </c>
      <c r="F231" s="48">
        <v>7679.1</v>
      </c>
      <c r="G231" s="48">
        <v>427068.8</v>
      </c>
      <c r="H231" s="48">
        <v>425409.1</v>
      </c>
      <c r="I231" s="48">
        <v>10739.3</v>
      </c>
      <c r="J231" s="48">
        <v>436148.4</v>
      </c>
      <c r="K231" s="48">
        <v>132922.4</v>
      </c>
      <c r="L231" s="48">
        <v>137608.20000000001</v>
      </c>
      <c r="M231" s="48">
        <v>6187.7</v>
      </c>
      <c r="N231" s="48">
        <v>336.8</v>
      </c>
    </row>
    <row r="232" spans="1:14" ht="10.050000000000001" customHeight="1">
      <c r="A232" s="45" t="s">
        <v>84</v>
      </c>
      <c r="B232" s="46">
        <v>2006</v>
      </c>
      <c r="C232" s="45" t="s">
        <v>114</v>
      </c>
      <c r="D232" s="47">
        <v>8</v>
      </c>
      <c r="E232" s="48">
        <v>76043.100000000006</v>
      </c>
      <c r="F232" s="48">
        <v>898.9</v>
      </c>
      <c r="G232" s="48">
        <v>76942</v>
      </c>
      <c r="H232" s="48">
        <v>109437.2</v>
      </c>
      <c r="I232" s="48">
        <v>1957.4</v>
      </c>
      <c r="J232" s="48">
        <v>111394.6</v>
      </c>
      <c r="K232" s="48">
        <v>8324.1</v>
      </c>
      <c r="L232" s="48">
        <v>7366.3</v>
      </c>
      <c r="M232" s="48">
        <v>1171.0999999999999</v>
      </c>
      <c r="N232" s="48">
        <v>71.599999999999994</v>
      </c>
    </row>
    <row r="233" spans="1:14" ht="10.050000000000001" customHeight="1">
      <c r="A233" s="45" t="s">
        <v>89</v>
      </c>
      <c r="B233" s="46">
        <v>2006</v>
      </c>
      <c r="C233" s="45" t="s">
        <v>114</v>
      </c>
      <c r="D233" s="47">
        <v>8</v>
      </c>
      <c r="E233" s="48">
        <v>1447.3</v>
      </c>
      <c r="F233" s="48">
        <v>15.2</v>
      </c>
      <c r="G233" s="48">
        <v>1462.5</v>
      </c>
      <c r="H233" s="48">
        <v>2039.7</v>
      </c>
      <c r="I233" s="48">
        <v>480.9</v>
      </c>
      <c r="J233" s="48">
        <v>2520.6</v>
      </c>
      <c r="K233" s="48">
        <v>41.9</v>
      </c>
      <c r="L233" s="48">
        <v>41.9</v>
      </c>
      <c r="M233" s="48">
        <v>0</v>
      </c>
      <c r="N233" s="48">
        <v>0</v>
      </c>
    </row>
    <row r="234" spans="1:14" ht="10.050000000000001" customHeight="1">
      <c r="A234" s="45" t="s">
        <v>87</v>
      </c>
      <c r="B234" s="46">
        <v>2006</v>
      </c>
      <c r="C234" s="45" t="s">
        <v>114</v>
      </c>
      <c r="D234" s="47">
        <v>8</v>
      </c>
      <c r="E234" s="48">
        <v>83597.5</v>
      </c>
      <c r="F234" s="48">
        <v>2254.6999999999998</v>
      </c>
      <c r="G234" s="48">
        <v>85852.2</v>
      </c>
      <c r="H234" s="48">
        <v>417930.6</v>
      </c>
      <c r="I234" s="48">
        <v>12532.4</v>
      </c>
      <c r="J234" s="48">
        <v>430463</v>
      </c>
      <c r="K234" s="48">
        <v>138945.60000000001</v>
      </c>
      <c r="L234" s="48">
        <v>35558.5</v>
      </c>
      <c r="M234" s="48">
        <v>28577.7</v>
      </c>
      <c r="N234" s="48">
        <v>957.6</v>
      </c>
    </row>
    <row r="235" spans="1:14" ht="10.050000000000001" customHeight="1">
      <c r="A235" s="45" t="s">
        <v>84</v>
      </c>
      <c r="B235" s="46">
        <v>2006</v>
      </c>
      <c r="C235" s="45" t="s">
        <v>114</v>
      </c>
      <c r="D235" s="47">
        <v>9</v>
      </c>
      <c r="E235" s="48">
        <v>65705.600000000006</v>
      </c>
      <c r="F235" s="48">
        <v>453.9</v>
      </c>
      <c r="G235" s="48">
        <v>66159.5</v>
      </c>
      <c r="H235" s="48">
        <v>137672.9</v>
      </c>
      <c r="I235" s="48">
        <v>2286</v>
      </c>
      <c r="J235" s="48">
        <v>139958.9</v>
      </c>
      <c r="K235" s="48">
        <v>10625.6</v>
      </c>
      <c r="L235" s="48">
        <v>7677</v>
      </c>
      <c r="M235" s="48">
        <v>5279.2</v>
      </c>
      <c r="N235" s="48">
        <v>96.3</v>
      </c>
    </row>
    <row r="236" spans="1:14" ht="10.050000000000001" customHeight="1">
      <c r="A236" s="45" t="s">
        <v>89</v>
      </c>
      <c r="B236" s="46">
        <v>2006</v>
      </c>
      <c r="C236" s="45" t="s">
        <v>114</v>
      </c>
      <c r="D236" s="47">
        <v>9</v>
      </c>
      <c r="E236" s="48">
        <v>1593.9</v>
      </c>
      <c r="F236" s="48">
        <v>21.8</v>
      </c>
      <c r="G236" s="48">
        <v>1615.7</v>
      </c>
      <c r="H236" s="48">
        <v>3052.5</v>
      </c>
      <c r="I236" s="48">
        <v>460.6</v>
      </c>
      <c r="J236" s="48">
        <v>3513.1</v>
      </c>
      <c r="K236" s="48">
        <v>51.4</v>
      </c>
      <c r="L236" s="48">
        <v>41.1</v>
      </c>
      <c r="M236" s="48">
        <v>28.7</v>
      </c>
      <c r="N236" s="48">
        <v>2.9</v>
      </c>
    </row>
    <row r="237" spans="1:14" ht="10.050000000000001" customHeight="1">
      <c r="A237" s="45" t="s">
        <v>87</v>
      </c>
      <c r="B237" s="46">
        <v>2006</v>
      </c>
      <c r="C237" s="45" t="s">
        <v>114</v>
      </c>
      <c r="D237" s="47">
        <v>9</v>
      </c>
      <c r="E237" s="48">
        <v>72343.8</v>
      </c>
      <c r="F237" s="48">
        <v>1763.5</v>
      </c>
      <c r="G237" s="48">
        <v>74107.3</v>
      </c>
      <c r="H237" s="48">
        <v>406716.8</v>
      </c>
      <c r="I237" s="48">
        <v>13606.2</v>
      </c>
      <c r="J237" s="48">
        <v>420323</v>
      </c>
      <c r="K237" s="48">
        <v>108634.2</v>
      </c>
      <c r="L237" s="48">
        <v>4217.6000000000004</v>
      </c>
      <c r="M237" s="48">
        <v>33499.9</v>
      </c>
      <c r="N237" s="48">
        <v>1029.0999999999999</v>
      </c>
    </row>
    <row r="238" spans="1:14" ht="10.050000000000001" customHeight="1">
      <c r="A238" s="45" t="s">
        <v>84</v>
      </c>
      <c r="B238" s="46">
        <v>2006</v>
      </c>
      <c r="C238" s="45" t="s">
        <v>114</v>
      </c>
      <c r="D238" s="47">
        <v>10</v>
      </c>
      <c r="E238" s="48">
        <v>11391.6</v>
      </c>
      <c r="F238" s="48">
        <v>327.60000000000002</v>
      </c>
      <c r="G238" s="48">
        <v>11719.2</v>
      </c>
      <c r="H238" s="48">
        <v>130967.2</v>
      </c>
      <c r="I238" s="48">
        <v>2557.1</v>
      </c>
      <c r="J238" s="48">
        <v>133524.29999999999</v>
      </c>
      <c r="K238" s="48">
        <v>8097.6</v>
      </c>
      <c r="L238" s="48">
        <v>1358.2</v>
      </c>
      <c r="M238" s="48">
        <v>3857.1</v>
      </c>
      <c r="N238" s="48">
        <v>73.5</v>
      </c>
    </row>
    <row r="239" spans="1:14" ht="10.050000000000001" customHeight="1">
      <c r="A239" s="45" t="s">
        <v>89</v>
      </c>
      <c r="B239" s="46">
        <v>2006</v>
      </c>
      <c r="C239" s="45" t="s">
        <v>114</v>
      </c>
      <c r="D239" s="47">
        <v>10</v>
      </c>
      <c r="E239" s="48">
        <v>99.4</v>
      </c>
      <c r="F239" s="48">
        <v>316.39999999999998</v>
      </c>
      <c r="G239" s="48">
        <v>415.8</v>
      </c>
      <c r="H239" s="48">
        <v>2697.2</v>
      </c>
      <c r="I239" s="48">
        <v>742.1</v>
      </c>
      <c r="J239" s="48">
        <v>3439.3</v>
      </c>
      <c r="K239" s="48">
        <v>44.6</v>
      </c>
      <c r="L239" s="48">
        <v>0</v>
      </c>
      <c r="M239" s="48">
        <v>0</v>
      </c>
      <c r="N239" s="48">
        <v>6.8</v>
      </c>
    </row>
    <row r="240" spans="1:14" ht="10.050000000000001" customHeight="1">
      <c r="A240" s="45" t="s">
        <v>87</v>
      </c>
      <c r="B240" s="46">
        <v>2006</v>
      </c>
      <c r="C240" s="45" t="s">
        <v>114</v>
      </c>
      <c r="D240" s="47">
        <v>10</v>
      </c>
      <c r="E240" s="48">
        <v>37915.300000000003</v>
      </c>
      <c r="F240" s="48">
        <v>3686.6</v>
      </c>
      <c r="G240" s="48">
        <v>41601.9</v>
      </c>
      <c r="H240" s="48">
        <v>354441.5</v>
      </c>
      <c r="I240" s="48">
        <v>15509.2</v>
      </c>
      <c r="J240" s="48">
        <v>369950.7</v>
      </c>
      <c r="K240" s="48">
        <v>90138.6</v>
      </c>
      <c r="L240" s="48">
        <v>4711.7</v>
      </c>
      <c r="M240" s="48">
        <v>22347.1</v>
      </c>
      <c r="N240" s="48">
        <v>945.1</v>
      </c>
    </row>
    <row r="241" spans="1:14" ht="10.050000000000001" customHeight="1">
      <c r="A241" s="45" t="s">
        <v>84</v>
      </c>
      <c r="B241" s="46">
        <v>2006</v>
      </c>
      <c r="C241" s="45" t="s">
        <v>114</v>
      </c>
      <c r="D241" s="47">
        <v>11</v>
      </c>
      <c r="E241" s="48">
        <v>9305.7000000000007</v>
      </c>
      <c r="F241" s="48">
        <v>2255.1</v>
      </c>
      <c r="G241" s="48">
        <v>11560.8</v>
      </c>
      <c r="H241" s="48">
        <v>113170.1</v>
      </c>
      <c r="I241" s="48">
        <v>4286.8999999999996</v>
      </c>
      <c r="J241" s="48">
        <v>117457</v>
      </c>
      <c r="K241" s="48">
        <v>6752.7</v>
      </c>
      <c r="L241" s="48">
        <v>1296.9000000000001</v>
      </c>
      <c r="M241" s="48">
        <v>2449.6</v>
      </c>
      <c r="N241" s="48">
        <v>192.2</v>
      </c>
    </row>
    <row r="242" spans="1:14" ht="10.050000000000001" customHeight="1">
      <c r="A242" s="45" t="s">
        <v>89</v>
      </c>
      <c r="B242" s="46">
        <v>2006</v>
      </c>
      <c r="C242" s="45" t="s">
        <v>114</v>
      </c>
      <c r="D242" s="47">
        <v>11</v>
      </c>
      <c r="E242" s="48">
        <v>46.3</v>
      </c>
      <c r="F242" s="48">
        <v>30.7</v>
      </c>
      <c r="G242" s="48">
        <v>77</v>
      </c>
      <c r="H242" s="48">
        <v>2537.1</v>
      </c>
      <c r="I242" s="48">
        <v>762.2</v>
      </c>
      <c r="J242" s="48">
        <v>3299.3</v>
      </c>
      <c r="K242" s="48">
        <v>24.4</v>
      </c>
      <c r="L242" s="48">
        <v>0</v>
      </c>
      <c r="M242" s="48">
        <v>15.7</v>
      </c>
      <c r="N242" s="48">
        <v>4.5</v>
      </c>
    </row>
    <row r="243" spans="1:14" ht="10.050000000000001" customHeight="1">
      <c r="A243" s="45" t="s">
        <v>87</v>
      </c>
      <c r="B243" s="46">
        <v>2006</v>
      </c>
      <c r="C243" s="45" t="s">
        <v>114</v>
      </c>
      <c r="D243" s="47">
        <v>11</v>
      </c>
      <c r="E243" s="48">
        <v>35963.800000000003</v>
      </c>
      <c r="F243" s="48">
        <v>6615</v>
      </c>
      <c r="G243" s="48">
        <v>42578.8</v>
      </c>
      <c r="H243" s="48">
        <v>319493.09999999998</v>
      </c>
      <c r="I243" s="48">
        <v>20472.900000000001</v>
      </c>
      <c r="J243" s="48">
        <v>339966</v>
      </c>
      <c r="K243" s="48">
        <v>75034.899999999994</v>
      </c>
      <c r="L243" s="48">
        <v>5877.7</v>
      </c>
      <c r="M243" s="48">
        <v>20121</v>
      </c>
      <c r="N243" s="48">
        <v>860.4</v>
      </c>
    </row>
    <row r="244" spans="1:14" ht="10.050000000000001" customHeight="1">
      <c r="A244" s="45" t="s">
        <v>84</v>
      </c>
      <c r="B244" s="46">
        <v>2006</v>
      </c>
      <c r="C244" s="45" t="s">
        <v>114</v>
      </c>
      <c r="D244" s="47">
        <v>12</v>
      </c>
      <c r="E244" s="48">
        <v>6836.2</v>
      </c>
      <c r="F244" s="48">
        <v>1038</v>
      </c>
      <c r="G244" s="48">
        <v>7874.2</v>
      </c>
      <c r="H244" s="48">
        <v>95783.8</v>
      </c>
      <c r="I244" s="48">
        <v>5072.5</v>
      </c>
      <c r="J244" s="48">
        <v>100856.3</v>
      </c>
      <c r="K244" s="48">
        <v>5425.7</v>
      </c>
      <c r="L244" s="48">
        <v>203.2</v>
      </c>
      <c r="M244" s="48">
        <v>1512.3</v>
      </c>
      <c r="N244" s="48">
        <v>30.8</v>
      </c>
    </row>
    <row r="245" spans="1:14" ht="10.050000000000001" customHeight="1">
      <c r="A245" s="45" t="s">
        <v>89</v>
      </c>
      <c r="B245" s="46">
        <v>2006</v>
      </c>
      <c r="C245" s="45" t="s">
        <v>114</v>
      </c>
      <c r="D245" s="47">
        <v>12</v>
      </c>
      <c r="E245" s="48">
        <v>53.5</v>
      </c>
      <c r="F245" s="48">
        <v>83.3</v>
      </c>
      <c r="G245" s="48">
        <v>136.80000000000001</v>
      </c>
      <c r="H245" s="48">
        <v>2468.4</v>
      </c>
      <c r="I245" s="48">
        <v>1060.7</v>
      </c>
      <c r="J245" s="48">
        <v>3529.1</v>
      </c>
      <c r="K245" s="48">
        <v>19.399999999999999</v>
      </c>
      <c r="L245" s="48">
        <v>0</v>
      </c>
      <c r="M245" s="48">
        <v>0</v>
      </c>
      <c r="N245" s="48">
        <v>5</v>
      </c>
    </row>
    <row r="246" spans="1:14" ht="10.050000000000001" customHeight="1">
      <c r="A246" s="45" t="s">
        <v>87</v>
      </c>
      <c r="B246" s="46">
        <v>2006</v>
      </c>
      <c r="C246" s="45" t="s">
        <v>114</v>
      </c>
      <c r="D246" s="47">
        <v>12</v>
      </c>
      <c r="E246" s="48">
        <v>32406.5</v>
      </c>
      <c r="F246" s="48">
        <v>4422.2</v>
      </c>
      <c r="G246" s="48">
        <v>36828.699999999997</v>
      </c>
      <c r="H246" s="48">
        <v>294163.3</v>
      </c>
      <c r="I246" s="48">
        <v>21987.5</v>
      </c>
      <c r="J246" s="48">
        <v>316150.8</v>
      </c>
      <c r="K246" s="48">
        <v>60071.8</v>
      </c>
      <c r="L246" s="48">
        <v>3406.5</v>
      </c>
      <c r="M246" s="48">
        <v>17652.900000000001</v>
      </c>
      <c r="N246" s="48">
        <v>716.7</v>
      </c>
    </row>
    <row r="247" spans="1:14" ht="10.050000000000001" customHeight="1">
      <c r="A247" s="45" t="s">
        <v>84</v>
      </c>
      <c r="B247" s="46">
        <v>2007</v>
      </c>
      <c r="C247" s="45" t="s">
        <v>114</v>
      </c>
      <c r="D247" s="47">
        <v>1</v>
      </c>
      <c r="E247" s="48">
        <v>6581.8</v>
      </c>
      <c r="F247" s="48">
        <v>827.3</v>
      </c>
      <c r="G247" s="48">
        <v>7409.1</v>
      </c>
      <c r="H247" s="48">
        <v>79585.7</v>
      </c>
      <c r="I247" s="48">
        <v>5023.1000000000004</v>
      </c>
      <c r="J247" s="48">
        <v>84608.8</v>
      </c>
      <c r="K247" s="48">
        <v>4610.8</v>
      </c>
      <c r="L247" s="48">
        <v>458.5</v>
      </c>
      <c r="M247" s="48">
        <v>1198.7</v>
      </c>
      <c r="N247" s="48">
        <v>74.7</v>
      </c>
    </row>
    <row r="248" spans="1:14" ht="10.050000000000001" customHeight="1">
      <c r="A248" s="45" t="s">
        <v>89</v>
      </c>
      <c r="B248" s="46">
        <v>2007</v>
      </c>
      <c r="C248" s="45" t="s">
        <v>114</v>
      </c>
      <c r="D248" s="47">
        <v>1</v>
      </c>
      <c r="E248" s="48">
        <v>74.2</v>
      </c>
      <c r="F248" s="48">
        <v>0</v>
      </c>
      <c r="G248" s="48">
        <v>74.2</v>
      </c>
      <c r="H248" s="48">
        <v>2251.1999999999998</v>
      </c>
      <c r="I248" s="48">
        <v>703</v>
      </c>
      <c r="J248" s="48">
        <v>2954.2</v>
      </c>
      <c r="K248" s="48">
        <v>11.6</v>
      </c>
      <c r="L248" s="48">
        <v>0</v>
      </c>
      <c r="M248" s="48">
        <v>0</v>
      </c>
      <c r="N248" s="48">
        <v>7.8</v>
      </c>
    </row>
    <row r="249" spans="1:14" ht="10.050000000000001" customHeight="1">
      <c r="A249" s="45" t="s">
        <v>87</v>
      </c>
      <c r="B249" s="46">
        <v>2007</v>
      </c>
      <c r="C249" s="45" t="s">
        <v>114</v>
      </c>
      <c r="D249" s="47">
        <v>1</v>
      </c>
      <c r="E249" s="48">
        <v>34621</v>
      </c>
      <c r="F249" s="48">
        <v>3826.7</v>
      </c>
      <c r="G249" s="48">
        <v>38447.699999999997</v>
      </c>
      <c r="H249" s="48">
        <v>261550.7</v>
      </c>
      <c r="I249" s="48">
        <v>21056.5</v>
      </c>
      <c r="J249" s="48">
        <v>282607.2</v>
      </c>
      <c r="K249" s="48">
        <v>48510.1</v>
      </c>
      <c r="L249" s="48">
        <v>4157.3999999999996</v>
      </c>
      <c r="M249" s="48">
        <v>15364.9</v>
      </c>
      <c r="N249" s="48">
        <v>354.2</v>
      </c>
    </row>
    <row r="250" spans="1:14" ht="10.050000000000001" customHeight="1">
      <c r="A250" s="45" t="s">
        <v>84</v>
      </c>
      <c r="B250" s="46">
        <v>2007</v>
      </c>
      <c r="C250" s="45" t="s">
        <v>114</v>
      </c>
      <c r="D250" s="47">
        <v>2</v>
      </c>
      <c r="E250" s="48">
        <v>7783.7</v>
      </c>
      <c r="F250" s="48">
        <v>904.3</v>
      </c>
      <c r="G250" s="48">
        <v>8688</v>
      </c>
      <c r="H250" s="48">
        <v>69899</v>
      </c>
      <c r="I250" s="48">
        <v>3969.3</v>
      </c>
      <c r="J250" s="48">
        <v>73868.3</v>
      </c>
      <c r="K250" s="48">
        <v>3273</v>
      </c>
      <c r="L250" s="48">
        <v>488.3</v>
      </c>
      <c r="M250" s="48">
        <v>1743.1</v>
      </c>
      <c r="N250" s="48">
        <v>83</v>
      </c>
    </row>
    <row r="251" spans="1:14" ht="10.050000000000001" customHeight="1">
      <c r="A251" s="45" t="s">
        <v>89</v>
      </c>
      <c r="B251" s="46">
        <v>2007</v>
      </c>
      <c r="C251" s="45" t="s">
        <v>114</v>
      </c>
      <c r="D251" s="47">
        <v>2</v>
      </c>
      <c r="E251" s="48">
        <v>80.400000000000006</v>
      </c>
      <c r="F251" s="48">
        <v>0</v>
      </c>
      <c r="G251" s="48">
        <v>80.400000000000006</v>
      </c>
      <c r="H251" s="48">
        <v>1972.8</v>
      </c>
      <c r="I251" s="48">
        <v>590.9</v>
      </c>
      <c r="J251" s="48">
        <v>2563.6999999999998</v>
      </c>
      <c r="K251" s="48">
        <v>10.199999999999999</v>
      </c>
      <c r="L251" s="48">
        <v>0</v>
      </c>
      <c r="M251" s="48">
        <v>0</v>
      </c>
      <c r="N251" s="48">
        <v>1.4</v>
      </c>
    </row>
    <row r="252" spans="1:14" ht="10.050000000000001" customHeight="1">
      <c r="A252" s="45" t="s">
        <v>87</v>
      </c>
      <c r="B252" s="46">
        <v>2007</v>
      </c>
      <c r="C252" s="45" t="s">
        <v>114</v>
      </c>
      <c r="D252" s="47">
        <v>2</v>
      </c>
      <c r="E252" s="48">
        <v>35450.699999999997</v>
      </c>
      <c r="F252" s="48">
        <v>3628.6</v>
      </c>
      <c r="G252" s="48">
        <v>39079.300000000003</v>
      </c>
      <c r="H252" s="48">
        <v>211438.8</v>
      </c>
      <c r="I252" s="48">
        <v>17277.2</v>
      </c>
      <c r="J252" s="48">
        <v>228716</v>
      </c>
      <c r="K252" s="48">
        <v>40326.300000000003</v>
      </c>
      <c r="L252" s="48">
        <v>6072.2</v>
      </c>
      <c r="M252" s="48">
        <v>13815</v>
      </c>
      <c r="N252" s="48">
        <v>441</v>
      </c>
    </row>
    <row r="253" spans="1:14" ht="10.050000000000001" customHeight="1">
      <c r="A253" s="45" t="s">
        <v>84</v>
      </c>
      <c r="B253" s="46">
        <v>2007</v>
      </c>
      <c r="C253" s="45" t="s">
        <v>114</v>
      </c>
      <c r="D253" s="47">
        <v>3</v>
      </c>
      <c r="E253" s="48">
        <v>7345.3</v>
      </c>
      <c r="F253" s="48">
        <v>883.3</v>
      </c>
      <c r="G253" s="48">
        <v>8228.6</v>
      </c>
      <c r="H253" s="48">
        <v>55281.2</v>
      </c>
      <c r="I253" s="48">
        <v>3304.6</v>
      </c>
      <c r="J253" s="48">
        <v>58585.8</v>
      </c>
      <c r="K253" s="48">
        <v>1341.3</v>
      </c>
      <c r="L253" s="48">
        <v>270.10000000000002</v>
      </c>
      <c r="M253" s="48">
        <v>2237.6999999999998</v>
      </c>
      <c r="N253" s="48">
        <v>28.4</v>
      </c>
    </row>
    <row r="254" spans="1:14" ht="10.050000000000001" customHeight="1">
      <c r="A254" s="45" t="s">
        <v>89</v>
      </c>
      <c r="B254" s="46">
        <v>2007</v>
      </c>
      <c r="C254" s="45" t="s">
        <v>114</v>
      </c>
      <c r="D254" s="47">
        <v>3</v>
      </c>
      <c r="E254" s="48">
        <v>63</v>
      </c>
      <c r="F254" s="48">
        <v>5.7</v>
      </c>
      <c r="G254" s="48">
        <v>68.7</v>
      </c>
      <c r="H254" s="48">
        <v>1593.5</v>
      </c>
      <c r="I254" s="48">
        <v>587.70000000000005</v>
      </c>
      <c r="J254" s="48">
        <v>2181.1999999999998</v>
      </c>
      <c r="K254" s="48">
        <v>4.5</v>
      </c>
      <c r="L254" s="48">
        <v>0.2</v>
      </c>
      <c r="M254" s="48">
        <v>0.2</v>
      </c>
      <c r="N254" s="48">
        <v>5.7</v>
      </c>
    </row>
    <row r="255" spans="1:14" ht="10.050000000000001" customHeight="1">
      <c r="A255" s="45" t="s">
        <v>87</v>
      </c>
      <c r="B255" s="46">
        <v>2007</v>
      </c>
      <c r="C255" s="45" t="s">
        <v>114</v>
      </c>
      <c r="D255" s="47">
        <v>3</v>
      </c>
      <c r="E255" s="48">
        <v>46403.199999999997</v>
      </c>
      <c r="F255" s="48">
        <v>2837.7</v>
      </c>
      <c r="G255" s="48">
        <v>49240.9</v>
      </c>
      <c r="H255" s="48">
        <v>181141.7</v>
      </c>
      <c r="I255" s="48">
        <v>13096</v>
      </c>
      <c r="J255" s="48">
        <v>194237.7</v>
      </c>
      <c r="K255" s="48">
        <v>19245</v>
      </c>
      <c r="L255" s="48">
        <v>2463.8000000000002</v>
      </c>
      <c r="M255" s="48">
        <v>23286</v>
      </c>
      <c r="N255" s="48">
        <v>305.39999999999998</v>
      </c>
    </row>
    <row r="256" spans="1:14" ht="10.050000000000001" customHeight="1">
      <c r="A256" s="45" t="s">
        <v>84</v>
      </c>
      <c r="B256" s="46">
        <v>2007</v>
      </c>
      <c r="C256" s="45" t="s">
        <v>114</v>
      </c>
      <c r="D256" s="47">
        <v>4</v>
      </c>
      <c r="E256" s="48">
        <v>2698.6</v>
      </c>
      <c r="F256" s="48">
        <v>122.3</v>
      </c>
      <c r="G256" s="48">
        <v>2820.9</v>
      </c>
      <c r="H256" s="48">
        <v>46549.4</v>
      </c>
      <c r="I256" s="48">
        <v>2616.3000000000002</v>
      </c>
      <c r="J256" s="48">
        <v>49165.7</v>
      </c>
      <c r="K256" s="48">
        <v>823.9</v>
      </c>
      <c r="L256" s="48">
        <v>91.3</v>
      </c>
      <c r="M256" s="48">
        <v>586.29999999999995</v>
      </c>
      <c r="N256" s="48">
        <v>8.6</v>
      </c>
    </row>
    <row r="257" spans="1:14" ht="10.050000000000001" customHeight="1">
      <c r="A257" s="45" t="s">
        <v>89</v>
      </c>
      <c r="B257" s="46">
        <v>2007</v>
      </c>
      <c r="C257" s="45" t="s">
        <v>114</v>
      </c>
      <c r="D257" s="47">
        <v>4</v>
      </c>
      <c r="E257" s="48">
        <v>8.9</v>
      </c>
      <c r="F257" s="48">
        <v>0</v>
      </c>
      <c r="G257" s="48">
        <v>8.9</v>
      </c>
      <c r="H257" s="48">
        <v>1294.3</v>
      </c>
      <c r="I257" s="48">
        <v>550.4</v>
      </c>
      <c r="J257" s="48">
        <v>1844.7</v>
      </c>
      <c r="K257" s="48">
        <v>3.4</v>
      </c>
      <c r="L257" s="48">
        <v>0</v>
      </c>
      <c r="M257" s="48">
        <v>0</v>
      </c>
      <c r="N257" s="48">
        <v>1.1000000000000001</v>
      </c>
    </row>
    <row r="258" spans="1:14" ht="10.050000000000001" customHeight="1">
      <c r="A258" s="45" t="s">
        <v>87</v>
      </c>
      <c r="B258" s="46">
        <v>2007</v>
      </c>
      <c r="C258" s="45" t="s">
        <v>114</v>
      </c>
      <c r="D258" s="47">
        <v>4</v>
      </c>
      <c r="E258" s="48">
        <v>25623.5</v>
      </c>
      <c r="F258" s="48">
        <v>675.6</v>
      </c>
      <c r="G258" s="48">
        <v>26299.1</v>
      </c>
      <c r="H258" s="48">
        <v>136401.4</v>
      </c>
      <c r="I258" s="48">
        <v>11290.2</v>
      </c>
      <c r="J258" s="48">
        <v>147691.6</v>
      </c>
      <c r="K258" s="48">
        <v>11041.2</v>
      </c>
      <c r="L258" s="48">
        <v>1543.7</v>
      </c>
      <c r="M258" s="48">
        <v>9432.6</v>
      </c>
      <c r="N258" s="48">
        <v>305.8</v>
      </c>
    </row>
    <row r="259" spans="1:14" ht="10.050000000000001" customHeight="1">
      <c r="A259" s="45" t="s">
        <v>84</v>
      </c>
      <c r="B259" s="46">
        <v>2007</v>
      </c>
      <c r="C259" s="45" t="s">
        <v>114</v>
      </c>
      <c r="D259" s="47">
        <v>5</v>
      </c>
      <c r="E259" s="48">
        <v>2535.8000000000002</v>
      </c>
      <c r="F259" s="48">
        <v>0</v>
      </c>
      <c r="G259" s="48">
        <v>2535.8000000000002</v>
      </c>
      <c r="H259" s="48">
        <v>34533.4</v>
      </c>
      <c r="I259" s="48">
        <v>1960.1</v>
      </c>
      <c r="J259" s="48">
        <v>36493.5</v>
      </c>
      <c r="K259" s="48">
        <v>538.5</v>
      </c>
      <c r="L259" s="48">
        <v>84.3</v>
      </c>
      <c r="M259" s="48">
        <v>362.4</v>
      </c>
      <c r="N259" s="48">
        <v>7.3</v>
      </c>
    </row>
    <row r="260" spans="1:14" ht="10.050000000000001" customHeight="1">
      <c r="A260" s="45" t="s">
        <v>89</v>
      </c>
      <c r="B260" s="46">
        <v>2007</v>
      </c>
      <c r="C260" s="45" t="s">
        <v>114</v>
      </c>
      <c r="D260" s="47">
        <v>5</v>
      </c>
      <c r="E260" s="48">
        <v>72.099999999999994</v>
      </c>
      <c r="F260" s="48">
        <v>0</v>
      </c>
      <c r="G260" s="48">
        <v>72.099999999999994</v>
      </c>
      <c r="H260" s="48">
        <v>1032.5999999999999</v>
      </c>
      <c r="I260" s="48">
        <v>473.5</v>
      </c>
      <c r="J260" s="48">
        <v>1506.1</v>
      </c>
      <c r="K260" s="48">
        <v>3.4</v>
      </c>
      <c r="L260" s="48">
        <v>0</v>
      </c>
      <c r="M260" s="48">
        <v>0</v>
      </c>
      <c r="N260" s="48">
        <v>0</v>
      </c>
    </row>
    <row r="261" spans="1:14" ht="10.050000000000001" customHeight="1">
      <c r="A261" s="45" t="s">
        <v>87</v>
      </c>
      <c r="B261" s="46">
        <v>2007</v>
      </c>
      <c r="C261" s="45" t="s">
        <v>114</v>
      </c>
      <c r="D261" s="47">
        <v>5</v>
      </c>
      <c r="E261" s="48">
        <v>23244.3</v>
      </c>
      <c r="F261" s="48">
        <v>456.3</v>
      </c>
      <c r="G261" s="48">
        <v>23700.6</v>
      </c>
      <c r="H261" s="48">
        <v>92195.8</v>
      </c>
      <c r="I261" s="48">
        <v>9633.2999999999993</v>
      </c>
      <c r="J261" s="48">
        <v>101829.1</v>
      </c>
      <c r="K261" s="48">
        <v>4126.8999999999996</v>
      </c>
      <c r="L261" s="48">
        <v>832.7</v>
      </c>
      <c r="M261" s="48">
        <v>7569.3</v>
      </c>
      <c r="N261" s="48">
        <v>183.7</v>
      </c>
    </row>
    <row r="262" spans="1:14" ht="10.050000000000001" customHeight="1">
      <c r="A262" s="45" t="s">
        <v>84</v>
      </c>
      <c r="B262" s="46">
        <v>2007</v>
      </c>
      <c r="C262" s="45" t="s">
        <v>114</v>
      </c>
      <c r="D262" s="47">
        <v>6</v>
      </c>
      <c r="E262" s="48">
        <v>1954.2</v>
      </c>
      <c r="F262" s="48">
        <v>0</v>
      </c>
      <c r="G262" s="48">
        <v>1954.2</v>
      </c>
      <c r="H262" s="48">
        <v>17488</v>
      </c>
      <c r="I262" s="48">
        <v>1459</v>
      </c>
      <c r="J262" s="48">
        <v>18947</v>
      </c>
      <c r="K262" s="48">
        <v>66.900000000000006</v>
      </c>
      <c r="L262" s="48">
        <v>91.9</v>
      </c>
      <c r="M262" s="48">
        <v>327.7</v>
      </c>
      <c r="N262" s="48">
        <v>235.8</v>
      </c>
    </row>
    <row r="263" spans="1:14" ht="10.050000000000001" customHeight="1">
      <c r="A263" s="45" t="s">
        <v>89</v>
      </c>
      <c r="B263" s="46">
        <v>2007</v>
      </c>
      <c r="C263" s="45" t="s">
        <v>114</v>
      </c>
      <c r="D263" s="47">
        <v>6</v>
      </c>
      <c r="E263" s="48">
        <v>54.9</v>
      </c>
      <c r="F263" s="48">
        <v>0</v>
      </c>
      <c r="G263" s="48">
        <v>54.9</v>
      </c>
      <c r="H263" s="48">
        <v>693.7</v>
      </c>
      <c r="I263" s="48">
        <v>457.1</v>
      </c>
      <c r="J263" s="48">
        <v>1150.8</v>
      </c>
      <c r="K263" s="48">
        <v>0</v>
      </c>
      <c r="L263" s="48">
        <v>0</v>
      </c>
      <c r="M263" s="48">
        <v>0</v>
      </c>
      <c r="N263" s="48">
        <v>3.4</v>
      </c>
    </row>
    <row r="264" spans="1:14" ht="10.050000000000001" customHeight="1">
      <c r="A264" s="45" t="s">
        <v>87</v>
      </c>
      <c r="B264" s="46">
        <v>2007</v>
      </c>
      <c r="C264" s="45" t="s">
        <v>114</v>
      </c>
      <c r="D264" s="47">
        <v>6</v>
      </c>
      <c r="E264" s="48">
        <v>12602.9</v>
      </c>
      <c r="F264" s="48">
        <v>74.599999999999994</v>
      </c>
      <c r="G264" s="48">
        <v>12677.5</v>
      </c>
      <c r="H264" s="48">
        <v>46784.800000000003</v>
      </c>
      <c r="I264" s="48">
        <v>5505.4</v>
      </c>
      <c r="J264" s="48">
        <v>52290.2</v>
      </c>
      <c r="K264" s="48">
        <v>423.1</v>
      </c>
      <c r="L264" s="48">
        <v>315</v>
      </c>
      <c r="M264" s="48">
        <v>3555.1</v>
      </c>
      <c r="N264" s="48">
        <v>393</v>
      </c>
    </row>
    <row r="265" spans="1:14" ht="10.050000000000001" customHeight="1">
      <c r="A265" s="45" t="s">
        <v>84</v>
      </c>
      <c r="B265" s="46">
        <v>2007</v>
      </c>
      <c r="C265" s="45" t="s">
        <v>115</v>
      </c>
      <c r="D265" s="47">
        <v>7</v>
      </c>
      <c r="E265" s="48">
        <v>3836.2</v>
      </c>
      <c r="F265" s="48">
        <v>25.8</v>
      </c>
      <c r="G265" s="48">
        <v>3862</v>
      </c>
      <c r="H265" s="48">
        <v>13038.4</v>
      </c>
      <c r="I265" s="48">
        <v>982.5</v>
      </c>
      <c r="J265" s="48">
        <v>14020.9</v>
      </c>
      <c r="K265" s="48">
        <v>483.4</v>
      </c>
      <c r="L265" s="48">
        <v>480.2</v>
      </c>
      <c r="M265" s="48">
        <v>42.4</v>
      </c>
      <c r="N265" s="48">
        <v>21.3</v>
      </c>
    </row>
    <row r="266" spans="1:14" ht="10.050000000000001" customHeight="1">
      <c r="A266" s="45" t="s">
        <v>89</v>
      </c>
      <c r="B266" s="46">
        <v>2007</v>
      </c>
      <c r="C266" s="45" t="s">
        <v>115</v>
      </c>
      <c r="D266" s="47">
        <v>7</v>
      </c>
      <c r="E266" s="48">
        <v>41.6</v>
      </c>
      <c r="F266" s="48">
        <v>0</v>
      </c>
      <c r="G266" s="48">
        <v>41.6</v>
      </c>
      <c r="H266" s="48">
        <v>428.8</v>
      </c>
      <c r="I266" s="48">
        <v>440.8</v>
      </c>
      <c r="J266" s="48">
        <v>869.6</v>
      </c>
      <c r="K266" s="48">
        <v>0</v>
      </c>
      <c r="L266" s="48">
        <v>0</v>
      </c>
      <c r="M266" s="48">
        <v>0</v>
      </c>
      <c r="N266" s="48">
        <v>0</v>
      </c>
    </row>
    <row r="267" spans="1:14" ht="10.050000000000001" customHeight="1">
      <c r="A267" s="45" t="s">
        <v>87</v>
      </c>
      <c r="B267" s="46">
        <v>2007</v>
      </c>
      <c r="C267" s="45" t="s">
        <v>115</v>
      </c>
      <c r="D267" s="47">
        <v>7</v>
      </c>
      <c r="E267" s="48">
        <v>159503.29999999999</v>
      </c>
      <c r="F267" s="48">
        <v>4819.3</v>
      </c>
      <c r="G267" s="48">
        <v>164322.6</v>
      </c>
      <c r="H267" s="48">
        <v>157480.70000000001</v>
      </c>
      <c r="I267" s="48">
        <v>8603.7000000000007</v>
      </c>
      <c r="J267" s="48">
        <v>166084.4</v>
      </c>
      <c r="K267" s="48">
        <v>44808.6</v>
      </c>
      <c r="L267" s="48">
        <v>47977</v>
      </c>
      <c r="M267" s="48">
        <v>3212.4</v>
      </c>
      <c r="N267" s="48">
        <v>379.1</v>
      </c>
    </row>
    <row r="268" spans="1:14" ht="10.050000000000001" customHeight="1">
      <c r="A268" s="45" t="s">
        <v>84</v>
      </c>
      <c r="B268" s="46">
        <v>2007</v>
      </c>
      <c r="C268" s="45" t="s">
        <v>115</v>
      </c>
      <c r="D268" s="47">
        <v>8</v>
      </c>
      <c r="E268" s="48">
        <v>79902.5</v>
      </c>
      <c r="F268" s="48">
        <v>451.3</v>
      </c>
      <c r="G268" s="48">
        <v>80353.8</v>
      </c>
      <c r="H268" s="48">
        <v>79885.2</v>
      </c>
      <c r="I268" s="48">
        <v>1088.4000000000001</v>
      </c>
      <c r="J268" s="48">
        <v>80973.600000000006</v>
      </c>
      <c r="K268" s="48">
        <v>5910.5</v>
      </c>
      <c r="L268" s="48">
        <v>5978.8</v>
      </c>
      <c r="M268" s="48">
        <v>478.2</v>
      </c>
      <c r="N268" s="48">
        <v>37</v>
      </c>
    </row>
    <row r="269" spans="1:14" ht="10.050000000000001" customHeight="1">
      <c r="A269" s="45" t="s">
        <v>89</v>
      </c>
      <c r="B269" s="46">
        <v>2007</v>
      </c>
      <c r="C269" s="45" t="s">
        <v>115</v>
      </c>
      <c r="D269" s="47">
        <v>8</v>
      </c>
      <c r="E269" s="48">
        <v>193.9</v>
      </c>
      <c r="F269" s="48">
        <v>36</v>
      </c>
      <c r="G269" s="48">
        <v>229.9</v>
      </c>
      <c r="H269" s="48">
        <v>508.9</v>
      </c>
      <c r="I269" s="48">
        <v>465.3</v>
      </c>
      <c r="J269" s="48">
        <v>974.2</v>
      </c>
      <c r="K269" s="48">
        <v>58.2</v>
      </c>
      <c r="L269" s="48">
        <v>58.2</v>
      </c>
      <c r="M269" s="48">
        <v>0</v>
      </c>
      <c r="N269" s="48">
        <v>0</v>
      </c>
    </row>
    <row r="270" spans="1:14" ht="10.050000000000001" customHeight="1">
      <c r="A270" s="45" t="s">
        <v>87</v>
      </c>
      <c r="B270" s="46">
        <v>2007</v>
      </c>
      <c r="C270" s="45" t="s">
        <v>115</v>
      </c>
      <c r="D270" s="47">
        <v>8</v>
      </c>
      <c r="E270" s="48">
        <v>92225.5</v>
      </c>
      <c r="F270" s="48">
        <v>1566.8</v>
      </c>
      <c r="G270" s="48">
        <v>93792.3</v>
      </c>
      <c r="H270" s="48">
        <v>191898.4</v>
      </c>
      <c r="I270" s="48">
        <v>9184.1</v>
      </c>
      <c r="J270" s="48">
        <v>201082.5</v>
      </c>
      <c r="K270" s="48">
        <v>100955.3</v>
      </c>
      <c r="L270" s="48">
        <v>70463.899999999994</v>
      </c>
      <c r="M270" s="48">
        <v>13974.2</v>
      </c>
      <c r="N270" s="48">
        <v>343</v>
      </c>
    </row>
    <row r="271" spans="1:14" ht="10.050000000000001" customHeight="1">
      <c r="A271" s="45" t="s">
        <v>84</v>
      </c>
      <c r="B271" s="46">
        <v>2007</v>
      </c>
      <c r="C271" s="45" t="s">
        <v>115</v>
      </c>
      <c r="D271" s="47">
        <v>9</v>
      </c>
      <c r="E271" s="48">
        <v>60264.7</v>
      </c>
      <c r="F271" s="48">
        <v>375.1</v>
      </c>
      <c r="G271" s="48">
        <v>60639.8</v>
      </c>
      <c r="H271" s="48">
        <v>92664</v>
      </c>
      <c r="I271" s="48">
        <v>1423.4</v>
      </c>
      <c r="J271" s="48">
        <v>94087.4</v>
      </c>
      <c r="K271" s="48">
        <v>12701.8</v>
      </c>
      <c r="L271" s="48">
        <v>11665.1</v>
      </c>
      <c r="M271" s="48">
        <v>4799.8</v>
      </c>
      <c r="N271" s="48">
        <v>64.400000000000006</v>
      </c>
    </row>
    <row r="272" spans="1:14" ht="10.050000000000001" customHeight="1">
      <c r="A272" s="45" t="s">
        <v>89</v>
      </c>
      <c r="B272" s="46">
        <v>2007</v>
      </c>
      <c r="C272" s="45" t="s">
        <v>115</v>
      </c>
      <c r="D272" s="47">
        <v>9</v>
      </c>
      <c r="E272" s="48">
        <v>624.9</v>
      </c>
      <c r="F272" s="48">
        <v>57.9</v>
      </c>
      <c r="G272" s="48">
        <v>682.8</v>
      </c>
      <c r="H272" s="48">
        <v>1010.5</v>
      </c>
      <c r="I272" s="48">
        <v>507.6</v>
      </c>
      <c r="J272" s="48">
        <v>1518.1</v>
      </c>
      <c r="K272" s="48">
        <v>58.2</v>
      </c>
      <c r="L272" s="48">
        <v>0</v>
      </c>
      <c r="M272" s="48">
        <v>0</v>
      </c>
      <c r="N272" s="48">
        <v>0</v>
      </c>
    </row>
    <row r="273" spans="1:14" ht="10.050000000000001" customHeight="1">
      <c r="A273" s="45" t="s">
        <v>87</v>
      </c>
      <c r="B273" s="46">
        <v>2007</v>
      </c>
      <c r="C273" s="45" t="s">
        <v>115</v>
      </c>
      <c r="D273" s="47">
        <v>9</v>
      </c>
      <c r="E273" s="48">
        <v>31288.1</v>
      </c>
      <c r="F273" s="48">
        <v>871.9</v>
      </c>
      <c r="G273" s="48">
        <v>32160</v>
      </c>
      <c r="H273" s="48">
        <v>195466.8</v>
      </c>
      <c r="I273" s="48">
        <v>9648.6</v>
      </c>
      <c r="J273" s="48">
        <v>205115.4</v>
      </c>
      <c r="K273" s="48">
        <v>82143</v>
      </c>
      <c r="L273" s="48">
        <v>2851.8</v>
      </c>
      <c r="M273" s="48">
        <v>20716.8</v>
      </c>
      <c r="N273" s="48">
        <v>957.2</v>
      </c>
    </row>
    <row r="274" spans="1:14" ht="10.050000000000001" customHeight="1">
      <c r="A274" s="45" t="s">
        <v>84</v>
      </c>
      <c r="B274" s="46">
        <v>2007</v>
      </c>
      <c r="C274" s="45" t="s">
        <v>115</v>
      </c>
      <c r="D274" s="47">
        <v>10</v>
      </c>
      <c r="E274" s="48">
        <v>16125.2</v>
      </c>
      <c r="F274" s="48">
        <v>246.9</v>
      </c>
      <c r="G274" s="48">
        <v>16372.1</v>
      </c>
      <c r="H274" s="48">
        <v>83585.100000000006</v>
      </c>
      <c r="I274" s="48">
        <v>1555.4</v>
      </c>
      <c r="J274" s="48">
        <v>85140.5</v>
      </c>
      <c r="K274" s="48">
        <v>7287.7</v>
      </c>
      <c r="L274" s="48">
        <v>2677.1</v>
      </c>
      <c r="M274" s="48">
        <v>7944.9</v>
      </c>
      <c r="N274" s="48">
        <v>146.30000000000001</v>
      </c>
    </row>
    <row r="275" spans="1:14" ht="10.050000000000001" customHeight="1">
      <c r="A275" s="45" t="s">
        <v>89</v>
      </c>
      <c r="B275" s="46">
        <v>2007</v>
      </c>
      <c r="C275" s="45" t="s">
        <v>115</v>
      </c>
      <c r="D275" s="47">
        <v>10</v>
      </c>
      <c r="E275" s="48">
        <v>187.5</v>
      </c>
      <c r="F275" s="48">
        <v>0</v>
      </c>
      <c r="G275" s="48">
        <v>187.5</v>
      </c>
      <c r="H275" s="48">
        <v>962</v>
      </c>
      <c r="I275" s="48">
        <v>507.6</v>
      </c>
      <c r="J275" s="48">
        <v>1469.6</v>
      </c>
      <c r="K275" s="48">
        <v>58.2</v>
      </c>
      <c r="L275" s="48">
        <v>0</v>
      </c>
      <c r="M275" s="48">
        <v>0</v>
      </c>
      <c r="N275" s="48">
        <v>0</v>
      </c>
    </row>
    <row r="276" spans="1:14" ht="10.050000000000001" customHeight="1">
      <c r="A276" s="45" t="s">
        <v>87</v>
      </c>
      <c r="B276" s="46">
        <v>2007</v>
      </c>
      <c r="C276" s="45" t="s">
        <v>115</v>
      </c>
      <c r="D276" s="47">
        <v>10</v>
      </c>
      <c r="E276" s="48">
        <v>22927.1</v>
      </c>
      <c r="F276" s="48">
        <v>2489.9</v>
      </c>
      <c r="G276" s="48">
        <v>25417</v>
      </c>
      <c r="H276" s="48">
        <v>191001.1</v>
      </c>
      <c r="I276" s="48">
        <v>10593.3</v>
      </c>
      <c r="J276" s="48">
        <v>201594.4</v>
      </c>
      <c r="K276" s="48">
        <v>67187.8</v>
      </c>
      <c r="L276" s="48">
        <v>2026</v>
      </c>
      <c r="M276" s="48">
        <v>16356.8</v>
      </c>
      <c r="N276" s="48">
        <v>624.4</v>
      </c>
    </row>
    <row r="277" spans="1:14" ht="10.050000000000001" customHeight="1">
      <c r="A277" s="45" t="s">
        <v>84</v>
      </c>
      <c r="B277" s="46">
        <v>2007</v>
      </c>
      <c r="C277" s="45" t="s">
        <v>115</v>
      </c>
      <c r="D277" s="47">
        <v>11</v>
      </c>
      <c r="E277" s="48">
        <v>6348.2</v>
      </c>
      <c r="F277" s="48">
        <v>1589.7</v>
      </c>
      <c r="G277" s="48">
        <v>7937.9</v>
      </c>
      <c r="H277" s="48">
        <v>85165.3</v>
      </c>
      <c r="I277" s="48">
        <v>3040.9</v>
      </c>
      <c r="J277" s="48">
        <v>88206.2</v>
      </c>
      <c r="K277" s="48">
        <v>5505.2</v>
      </c>
      <c r="L277" s="48">
        <v>992.1</v>
      </c>
      <c r="M277" s="48">
        <v>2750.2</v>
      </c>
      <c r="N277" s="48">
        <v>24.4</v>
      </c>
    </row>
    <row r="278" spans="1:14" ht="10.050000000000001" customHeight="1">
      <c r="A278" s="45" t="s">
        <v>89</v>
      </c>
      <c r="B278" s="46">
        <v>2007</v>
      </c>
      <c r="C278" s="45" t="s">
        <v>115</v>
      </c>
      <c r="D278" s="47">
        <v>11</v>
      </c>
      <c r="E278" s="48">
        <v>112.6</v>
      </c>
      <c r="F278" s="48">
        <v>0</v>
      </c>
      <c r="G278" s="48">
        <v>112.6</v>
      </c>
      <c r="H278" s="48">
        <v>898.6</v>
      </c>
      <c r="I278" s="48">
        <v>507.7</v>
      </c>
      <c r="J278" s="48">
        <v>1406.3</v>
      </c>
      <c r="K278" s="48">
        <v>60.6</v>
      </c>
      <c r="L278" s="48">
        <v>2.4</v>
      </c>
      <c r="M278" s="48">
        <v>0</v>
      </c>
      <c r="N278" s="48">
        <v>0</v>
      </c>
    </row>
    <row r="279" spans="1:14" ht="10.050000000000001" customHeight="1">
      <c r="A279" s="45" t="s">
        <v>87</v>
      </c>
      <c r="B279" s="46">
        <v>2007</v>
      </c>
      <c r="C279" s="45" t="s">
        <v>115</v>
      </c>
      <c r="D279" s="47">
        <v>11</v>
      </c>
      <c r="E279" s="48">
        <v>18437.2</v>
      </c>
      <c r="F279" s="48">
        <v>4831.7</v>
      </c>
      <c r="G279" s="48">
        <v>23268.9</v>
      </c>
      <c r="H279" s="48">
        <v>183073.9</v>
      </c>
      <c r="I279" s="48">
        <v>13561.7</v>
      </c>
      <c r="J279" s="48">
        <v>196635.6</v>
      </c>
      <c r="K279" s="48">
        <v>59160.1</v>
      </c>
      <c r="L279" s="48">
        <v>2267.5</v>
      </c>
      <c r="M279" s="48">
        <v>10016</v>
      </c>
      <c r="N279" s="48">
        <v>279.2</v>
      </c>
    </row>
    <row r="280" spans="1:14" ht="10.050000000000001" customHeight="1">
      <c r="A280" s="45" t="s">
        <v>84</v>
      </c>
      <c r="B280" s="46">
        <v>2007</v>
      </c>
      <c r="C280" s="45" t="s">
        <v>115</v>
      </c>
      <c r="D280" s="47">
        <v>12</v>
      </c>
      <c r="E280" s="48">
        <v>4254.7</v>
      </c>
      <c r="F280" s="48">
        <v>850.4</v>
      </c>
      <c r="G280" s="48">
        <v>5105.1000000000004</v>
      </c>
      <c r="H280" s="48">
        <v>76436.899999999994</v>
      </c>
      <c r="I280" s="48">
        <v>3735.9</v>
      </c>
      <c r="J280" s="48">
        <v>80172.800000000003</v>
      </c>
      <c r="K280" s="48">
        <v>4144.7</v>
      </c>
      <c r="L280" s="48">
        <v>685.9</v>
      </c>
      <c r="M280" s="48">
        <v>2052.1</v>
      </c>
      <c r="N280" s="48">
        <v>7.8</v>
      </c>
    </row>
    <row r="281" spans="1:14" ht="10.050000000000001" customHeight="1">
      <c r="A281" s="45" t="s">
        <v>89</v>
      </c>
      <c r="B281" s="46">
        <v>2007</v>
      </c>
      <c r="C281" s="45" t="s">
        <v>115</v>
      </c>
      <c r="D281" s="47">
        <v>12</v>
      </c>
      <c r="E281" s="48">
        <v>82</v>
      </c>
      <c r="F281" s="48">
        <v>0</v>
      </c>
      <c r="G281" s="48">
        <v>82</v>
      </c>
      <c r="H281" s="48">
        <v>895.8</v>
      </c>
      <c r="I281" s="48">
        <v>463</v>
      </c>
      <c r="J281" s="48">
        <v>1358.8</v>
      </c>
      <c r="K281" s="48">
        <v>0</v>
      </c>
      <c r="L281" s="48">
        <v>0</v>
      </c>
      <c r="M281" s="48">
        <v>60.6</v>
      </c>
      <c r="N281" s="48">
        <v>0</v>
      </c>
    </row>
    <row r="282" spans="1:14" ht="10.050000000000001" customHeight="1">
      <c r="A282" s="45" t="s">
        <v>87</v>
      </c>
      <c r="B282" s="46">
        <v>2007</v>
      </c>
      <c r="C282" s="45" t="s">
        <v>115</v>
      </c>
      <c r="D282" s="47">
        <v>12</v>
      </c>
      <c r="E282" s="48">
        <v>12389.5</v>
      </c>
      <c r="F282" s="48">
        <v>1958.5</v>
      </c>
      <c r="G282" s="48">
        <v>14348</v>
      </c>
      <c r="H282" s="48">
        <v>170366.3</v>
      </c>
      <c r="I282" s="48">
        <v>13458.9</v>
      </c>
      <c r="J282" s="48">
        <v>183825.2</v>
      </c>
      <c r="K282" s="48">
        <v>53867.5</v>
      </c>
      <c r="L282" s="48">
        <v>1582.9</v>
      </c>
      <c r="M282" s="48">
        <v>6565.6</v>
      </c>
      <c r="N282" s="48">
        <v>312.10000000000002</v>
      </c>
    </row>
    <row r="283" spans="1:14" ht="10.050000000000001" customHeight="1">
      <c r="A283" s="45" t="s">
        <v>84</v>
      </c>
      <c r="B283" s="46">
        <v>2008</v>
      </c>
      <c r="C283" s="45" t="s">
        <v>115</v>
      </c>
      <c r="D283" s="47">
        <v>1</v>
      </c>
      <c r="E283" s="48">
        <v>3992.6</v>
      </c>
      <c r="F283" s="48">
        <v>1051.7</v>
      </c>
      <c r="G283" s="48">
        <v>5044.3</v>
      </c>
      <c r="H283" s="48">
        <v>68834.5</v>
      </c>
      <c r="I283" s="48">
        <v>3062.8</v>
      </c>
      <c r="J283" s="48">
        <v>71897.3</v>
      </c>
      <c r="K283" s="48">
        <v>3453.5</v>
      </c>
      <c r="L283" s="48">
        <v>557.1</v>
      </c>
      <c r="M283" s="48">
        <v>1245.7</v>
      </c>
      <c r="N283" s="48">
        <v>2.6</v>
      </c>
    </row>
    <row r="284" spans="1:14" ht="10.050000000000001" customHeight="1">
      <c r="A284" s="45" t="s">
        <v>89</v>
      </c>
      <c r="B284" s="46">
        <v>2008</v>
      </c>
      <c r="C284" s="45" t="s">
        <v>115</v>
      </c>
      <c r="D284" s="47">
        <v>1</v>
      </c>
      <c r="E284" s="48">
        <v>32</v>
      </c>
      <c r="F284" s="48">
        <v>97.8</v>
      </c>
      <c r="G284" s="48">
        <v>129.80000000000001</v>
      </c>
      <c r="H284" s="48">
        <v>852.8</v>
      </c>
      <c r="I284" s="48">
        <v>531</v>
      </c>
      <c r="J284" s="48">
        <v>1383.8</v>
      </c>
      <c r="K284" s="48">
        <v>0</v>
      </c>
      <c r="L284" s="48">
        <v>0</v>
      </c>
      <c r="M284" s="48">
        <v>0</v>
      </c>
      <c r="N284" s="48">
        <v>0</v>
      </c>
    </row>
    <row r="285" spans="1:14" ht="10.050000000000001" customHeight="1">
      <c r="A285" s="45" t="s">
        <v>87</v>
      </c>
      <c r="B285" s="46">
        <v>2008</v>
      </c>
      <c r="C285" s="45" t="s">
        <v>115</v>
      </c>
      <c r="D285" s="47">
        <v>1</v>
      </c>
      <c r="E285" s="48">
        <v>23775</v>
      </c>
      <c r="F285" s="48">
        <v>2937.5</v>
      </c>
      <c r="G285" s="48">
        <v>26712.5</v>
      </c>
      <c r="H285" s="48">
        <v>155953.79999999999</v>
      </c>
      <c r="I285" s="48">
        <v>12795.3</v>
      </c>
      <c r="J285" s="48">
        <v>168749.1</v>
      </c>
      <c r="K285" s="48">
        <v>42425.599999999999</v>
      </c>
      <c r="L285" s="48">
        <v>2728.4</v>
      </c>
      <c r="M285" s="48">
        <v>13951.6</v>
      </c>
      <c r="N285" s="48">
        <v>216.5</v>
      </c>
    </row>
    <row r="286" spans="1:14" ht="10.050000000000001" customHeight="1">
      <c r="A286" s="45" t="s">
        <v>84</v>
      </c>
      <c r="B286" s="46">
        <v>2008</v>
      </c>
      <c r="C286" s="45" t="s">
        <v>115</v>
      </c>
      <c r="D286" s="47">
        <v>2</v>
      </c>
      <c r="E286" s="48">
        <v>5433.8</v>
      </c>
      <c r="F286" s="48">
        <v>322.10000000000002</v>
      </c>
      <c r="G286" s="48">
        <v>5755.9</v>
      </c>
      <c r="H286" s="48">
        <v>53325.1</v>
      </c>
      <c r="I286" s="48">
        <v>2186.4</v>
      </c>
      <c r="J286" s="48">
        <v>55511.5</v>
      </c>
      <c r="K286" s="48">
        <v>2503.1999999999998</v>
      </c>
      <c r="L286" s="48">
        <v>630.79999999999995</v>
      </c>
      <c r="M286" s="48">
        <v>1534.4</v>
      </c>
      <c r="N286" s="48">
        <v>46.7</v>
      </c>
    </row>
    <row r="287" spans="1:14" ht="10.050000000000001" customHeight="1">
      <c r="A287" s="45" t="s">
        <v>89</v>
      </c>
      <c r="B287" s="46">
        <v>2008</v>
      </c>
      <c r="C287" s="45" t="s">
        <v>115</v>
      </c>
      <c r="D287" s="47">
        <v>2</v>
      </c>
      <c r="E287" s="48">
        <v>82.6</v>
      </c>
      <c r="F287" s="48">
        <v>0</v>
      </c>
      <c r="G287" s="48">
        <v>82.6</v>
      </c>
      <c r="H287" s="48">
        <v>821.6</v>
      </c>
      <c r="I287" s="48">
        <v>458.3</v>
      </c>
      <c r="J287" s="48">
        <v>1279.9000000000001</v>
      </c>
      <c r="K287" s="48">
        <v>0</v>
      </c>
      <c r="L287" s="48">
        <v>0</v>
      </c>
      <c r="M287" s="48">
        <v>0</v>
      </c>
      <c r="N287" s="48">
        <v>0</v>
      </c>
    </row>
    <row r="288" spans="1:14" ht="10.050000000000001" customHeight="1">
      <c r="A288" s="45" t="s">
        <v>87</v>
      </c>
      <c r="B288" s="46">
        <v>2008</v>
      </c>
      <c r="C288" s="45" t="s">
        <v>115</v>
      </c>
      <c r="D288" s="47">
        <v>2</v>
      </c>
      <c r="E288" s="48">
        <v>19803</v>
      </c>
      <c r="F288" s="48">
        <v>1660.5</v>
      </c>
      <c r="G288" s="48">
        <v>21463.5</v>
      </c>
      <c r="H288" s="48">
        <v>139205.4</v>
      </c>
      <c r="I288" s="48">
        <v>8567.2000000000007</v>
      </c>
      <c r="J288" s="48">
        <v>147772.6</v>
      </c>
      <c r="K288" s="48">
        <v>33799.300000000003</v>
      </c>
      <c r="L288" s="48">
        <v>2963</v>
      </c>
      <c r="M288" s="48">
        <v>11243.4</v>
      </c>
      <c r="N288" s="48">
        <v>345.9</v>
      </c>
    </row>
    <row r="289" spans="1:14" ht="10.050000000000001" customHeight="1">
      <c r="A289" s="45" t="s">
        <v>84</v>
      </c>
      <c r="B289" s="46">
        <v>2008</v>
      </c>
      <c r="C289" s="45" t="s">
        <v>115</v>
      </c>
      <c r="D289" s="47">
        <v>3</v>
      </c>
      <c r="E289" s="48">
        <v>3727.4</v>
      </c>
      <c r="F289" s="48">
        <v>127.8</v>
      </c>
      <c r="G289" s="48">
        <v>3855.2</v>
      </c>
      <c r="H289" s="48">
        <v>42658.6</v>
      </c>
      <c r="I289" s="48">
        <v>2113.6</v>
      </c>
      <c r="J289" s="48">
        <v>44772.2</v>
      </c>
      <c r="K289" s="48">
        <v>946</v>
      </c>
      <c r="L289" s="48">
        <v>81.5</v>
      </c>
      <c r="M289" s="48">
        <v>1597.3</v>
      </c>
      <c r="N289" s="48">
        <v>59.5</v>
      </c>
    </row>
    <row r="290" spans="1:14" ht="10.050000000000001" customHeight="1">
      <c r="A290" s="45" t="s">
        <v>89</v>
      </c>
      <c r="B290" s="46">
        <v>2008</v>
      </c>
      <c r="C290" s="45" t="s">
        <v>115</v>
      </c>
      <c r="D290" s="47">
        <v>3</v>
      </c>
      <c r="E290" s="48">
        <v>4.8</v>
      </c>
      <c r="F290" s="48">
        <v>0</v>
      </c>
      <c r="G290" s="48">
        <v>4.8</v>
      </c>
      <c r="H290" s="48">
        <v>797.1</v>
      </c>
      <c r="I290" s="48">
        <v>406.7</v>
      </c>
      <c r="J290" s="48">
        <v>1203.8</v>
      </c>
      <c r="K290" s="48">
        <v>0</v>
      </c>
      <c r="L290" s="48">
        <v>0</v>
      </c>
      <c r="M290" s="48">
        <v>0</v>
      </c>
      <c r="N290" s="48">
        <v>0</v>
      </c>
    </row>
    <row r="291" spans="1:14" ht="10.050000000000001" customHeight="1">
      <c r="A291" s="45" t="s">
        <v>87</v>
      </c>
      <c r="B291" s="46">
        <v>2008</v>
      </c>
      <c r="C291" s="45" t="s">
        <v>115</v>
      </c>
      <c r="D291" s="47">
        <v>3</v>
      </c>
      <c r="E291" s="48">
        <v>27186.3</v>
      </c>
      <c r="F291" s="48">
        <v>1153.5999999999999</v>
      </c>
      <c r="G291" s="48">
        <v>28339.9</v>
      </c>
      <c r="H291" s="48">
        <v>137125.9</v>
      </c>
      <c r="I291" s="48">
        <v>7266.5</v>
      </c>
      <c r="J291" s="48">
        <v>144392.4</v>
      </c>
      <c r="K291" s="48">
        <v>19049.7</v>
      </c>
      <c r="L291" s="48">
        <v>2976.7</v>
      </c>
      <c r="M291" s="48">
        <v>17631</v>
      </c>
      <c r="N291" s="48">
        <v>95.3</v>
      </c>
    </row>
    <row r="292" spans="1:14" ht="10.050000000000001" customHeight="1">
      <c r="A292" s="45" t="s">
        <v>84</v>
      </c>
      <c r="B292" s="46">
        <v>2008</v>
      </c>
      <c r="C292" s="45" t="s">
        <v>115</v>
      </c>
      <c r="D292" s="47">
        <v>4</v>
      </c>
      <c r="E292" s="48">
        <v>2319.6</v>
      </c>
      <c r="F292" s="48">
        <v>0</v>
      </c>
      <c r="G292" s="48">
        <v>2319.6</v>
      </c>
      <c r="H292" s="48">
        <v>38660.699999999997</v>
      </c>
      <c r="I292" s="48">
        <v>1420.7</v>
      </c>
      <c r="J292" s="48">
        <v>40081.4</v>
      </c>
      <c r="K292" s="48">
        <v>722.5</v>
      </c>
      <c r="L292" s="48">
        <v>123.1</v>
      </c>
      <c r="M292" s="48">
        <v>342.8</v>
      </c>
      <c r="N292" s="48">
        <v>3.8</v>
      </c>
    </row>
    <row r="293" spans="1:14" ht="10.050000000000001" customHeight="1">
      <c r="A293" s="45" t="s">
        <v>89</v>
      </c>
      <c r="B293" s="46">
        <v>2008</v>
      </c>
      <c r="C293" s="45" t="s">
        <v>115</v>
      </c>
      <c r="D293" s="47">
        <v>4</v>
      </c>
      <c r="E293" s="48">
        <v>45</v>
      </c>
      <c r="F293" s="48">
        <v>0</v>
      </c>
      <c r="G293" s="48">
        <v>45</v>
      </c>
      <c r="H293" s="48">
        <v>673.3</v>
      </c>
      <c r="I293" s="48">
        <v>137.1</v>
      </c>
      <c r="J293" s="48">
        <v>810.4</v>
      </c>
      <c r="K293" s="48">
        <v>0</v>
      </c>
      <c r="L293" s="48">
        <v>0</v>
      </c>
      <c r="M293" s="48">
        <v>0</v>
      </c>
      <c r="N293" s="48">
        <v>0</v>
      </c>
    </row>
    <row r="294" spans="1:14" ht="10.050000000000001" customHeight="1">
      <c r="A294" s="45" t="s">
        <v>87</v>
      </c>
      <c r="B294" s="46">
        <v>2008</v>
      </c>
      <c r="C294" s="45" t="s">
        <v>115</v>
      </c>
      <c r="D294" s="47">
        <v>4</v>
      </c>
      <c r="E294" s="48">
        <v>19835.599999999999</v>
      </c>
      <c r="F294" s="48">
        <v>172.1</v>
      </c>
      <c r="G294" s="48">
        <v>20007.7</v>
      </c>
      <c r="H294" s="48">
        <v>123406.3</v>
      </c>
      <c r="I294" s="48">
        <v>5391.3</v>
      </c>
      <c r="J294" s="48">
        <v>128797.6</v>
      </c>
      <c r="K294" s="48">
        <v>11041.6</v>
      </c>
      <c r="L294" s="48">
        <v>2074.1999999999998</v>
      </c>
      <c r="M294" s="48">
        <v>9861.7000000000007</v>
      </c>
      <c r="N294" s="48">
        <v>210.3</v>
      </c>
    </row>
    <row r="295" spans="1:14" ht="10.050000000000001" customHeight="1">
      <c r="A295" s="45" t="s">
        <v>84</v>
      </c>
      <c r="B295" s="46">
        <v>2008</v>
      </c>
      <c r="C295" s="45" t="s">
        <v>115</v>
      </c>
      <c r="D295" s="47">
        <v>5</v>
      </c>
      <c r="E295" s="48">
        <v>1974.3</v>
      </c>
      <c r="F295" s="48">
        <v>755.4</v>
      </c>
      <c r="G295" s="48">
        <v>2729.7</v>
      </c>
      <c r="H295" s="48">
        <v>18321</v>
      </c>
      <c r="I295" s="48">
        <v>1296.7</v>
      </c>
      <c r="J295" s="48">
        <v>19617.7</v>
      </c>
      <c r="K295" s="48">
        <v>440.3</v>
      </c>
      <c r="L295" s="48">
        <v>84.8</v>
      </c>
      <c r="M295" s="48">
        <v>369.1</v>
      </c>
      <c r="N295" s="48">
        <v>1.2</v>
      </c>
    </row>
    <row r="296" spans="1:14" ht="10.050000000000001" customHeight="1">
      <c r="A296" s="45" t="s">
        <v>89</v>
      </c>
      <c r="B296" s="46">
        <v>2008</v>
      </c>
      <c r="C296" s="45" t="s">
        <v>115</v>
      </c>
      <c r="D296" s="47">
        <v>5</v>
      </c>
      <c r="E296" s="48">
        <v>1.6</v>
      </c>
      <c r="F296" s="48">
        <v>0</v>
      </c>
      <c r="G296" s="48">
        <v>1.6</v>
      </c>
      <c r="H296" s="48">
        <v>512.20000000000005</v>
      </c>
      <c r="I296" s="48">
        <v>137.30000000000001</v>
      </c>
      <c r="J296" s="48">
        <v>649.5</v>
      </c>
      <c r="K296" s="48">
        <v>0</v>
      </c>
      <c r="L296" s="48">
        <v>0</v>
      </c>
      <c r="M296" s="48">
        <v>0</v>
      </c>
      <c r="N296" s="48">
        <v>0</v>
      </c>
    </row>
    <row r="297" spans="1:14" ht="10.050000000000001" customHeight="1">
      <c r="A297" s="45" t="s">
        <v>87</v>
      </c>
      <c r="B297" s="46">
        <v>2008</v>
      </c>
      <c r="C297" s="45" t="s">
        <v>115</v>
      </c>
      <c r="D297" s="47">
        <v>5</v>
      </c>
      <c r="E297" s="48">
        <v>13749.9</v>
      </c>
      <c r="F297" s="48">
        <v>50.8</v>
      </c>
      <c r="G297" s="48">
        <v>13800.7</v>
      </c>
      <c r="H297" s="48">
        <v>98558.8</v>
      </c>
      <c r="I297" s="48">
        <v>4668.8999999999996</v>
      </c>
      <c r="J297" s="48">
        <v>103227.7</v>
      </c>
      <c r="K297" s="48">
        <v>4895.6000000000004</v>
      </c>
      <c r="L297" s="48">
        <v>1805.5</v>
      </c>
      <c r="M297" s="48">
        <v>7512.9</v>
      </c>
      <c r="N297" s="48">
        <v>438.6</v>
      </c>
    </row>
    <row r="298" spans="1:14" ht="10.050000000000001" customHeight="1">
      <c r="A298" s="45" t="s">
        <v>84</v>
      </c>
      <c r="B298" s="46">
        <v>2008</v>
      </c>
      <c r="C298" s="45" t="s">
        <v>115</v>
      </c>
      <c r="D298" s="47">
        <v>6</v>
      </c>
      <c r="E298" s="48">
        <v>1059</v>
      </c>
      <c r="F298" s="48">
        <v>0</v>
      </c>
      <c r="G298" s="48">
        <v>1059</v>
      </c>
      <c r="H298" s="48">
        <v>8725.7000000000007</v>
      </c>
      <c r="I298" s="48">
        <v>934.5</v>
      </c>
      <c r="J298" s="48">
        <v>9660.2000000000007</v>
      </c>
      <c r="K298" s="48">
        <v>21.8</v>
      </c>
      <c r="L298" s="48">
        <v>11.2</v>
      </c>
      <c r="M298" s="48">
        <v>401.5</v>
      </c>
      <c r="N298" s="48">
        <v>59.3</v>
      </c>
    </row>
    <row r="299" spans="1:14" ht="10.050000000000001" customHeight="1">
      <c r="A299" s="45" t="s">
        <v>89</v>
      </c>
      <c r="B299" s="46">
        <v>2008</v>
      </c>
      <c r="C299" s="45" t="s">
        <v>115</v>
      </c>
      <c r="D299" s="47">
        <v>6</v>
      </c>
      <c r="E299" s="48">
        <v>64.900000000000006</v>
      </c>
      <c r="F299" s="48">
        <v>0</v>
      </c>
      <c r="G299" s="48">
        <v>64.900000000000006</v>
      </c>
      <c r="H299" s="48">
        <v>441.8</v>
      </c>
      <c r="I299" s="48">
        <v>108.2</v>
      </c>
      <c r="J299" s="48">
        <v>550</v>
      </c>
      <c r="K299" s="48">
        <v>0</v>
      </c>
      <c r="L299" s="48">
        <v>0</v>
      </c>
      <c r="M299" s="48">
        <v>0</v>
      </c>
      <c r="N299" s="48">
        <v>0</v>
      </c>
    </row>
    <row r="300" spans="1:14" ht="10.050000000000001" customHeight="1">
      <c r="A300" s="45" t="s">
        <v>87</v>
      </c>
      <c r="B300" s="46">
        <v>2008</v>
      </c>
      <c r="C300" s="45" t="s">
        <v>115</v>
      </c>
      <c r="D300" s="47">
        <v>6</v>
      </c>
      <c r="E300" s="48">
        <v>11570.6</v>
      </c>
      <c r="F300" s="48">
        <v>275.7</v>
      </c>
      <c r="G300" s="48">
        <v>11846.3</v>
      </c>
      <c r="H300" s="48">
        <v>50209.2</v>
      </c>
      <c r="I300" s="48">
        <v>2757</v>
      </c>
      <c r="J300" s="48">
        <v>52966.2</v>
      </c>
      <c r="K300" s="48">
        <v>906.9</v>
      </c>
      <c r="L300" s="48">
        <v>858.4</v>
      </c>
      <c r="M300" s="48">
        <v>4628.7</v>
      </c>
      <c r="N300" s="48">
        <v>220.6</v>
      </c>
    </row>
    <row r="301" spans="1:14" ht="10.050000000000001" customHeight="1">
      <c r="A301" s="45" t="s">
        <v>87</v>
      </c>
      <c r="B301" s="46">
        <v>2008</v>
      </c>
      <c r="C301" s="45" t="s">
        <v>115</v>
      </c>
      <c r="D301" s="47">
        <v>7</v>
      </c>
      <c r="E301" s="48">
        <v>141.80000000000001</v>
      </c>
      <c r="F301" s="48">
        <v>0</v>
      </c>
      <c r="G301" s="48">
        <v>141.80000000000001</v>
      </c>
      <c r="H301" s="48">
        <v>166.1</v>
      </c>
      <c r="I301" s="48">
        <v>0</v>
      </c>
      <c r="J301" s="48">
        <v>166.1</v>
      </c>
      <c r="K301" s="48">
        <v>0</v>
      </c>
      <c r="L301" s="48">
        <v>0</v>
      </c>
      <c r="M301" s="48">
        <v>0</v>
      </c>
      <c r="N301" s="48">
        <v>0</v>
      </c>
    </row>
    <row r="302" spans="1:14" ht="10.050000000000001" customHeight="1">
      <c r="A302" s="45" t="s">
        <v>84</v>
      </c>
      <c r="B302" s="46">
        <v>2008</v>
      </c>
      <c r="C302" s="45" t="s">
        <v>109</v>
      </c>
      <c r="D302" s="47">
        <v>7</v>
      </c>
      <c r="E302" s="48">
        <v>4561.5</v>
      </c>
      <c r="F302" s="48">
        <v>116.9</v>
      </c>
      <c r="G302" s="48">
        <v>4678.3999999999996</v>
      </c>
      <c r="H302" s="48">
        <v>10240.299999999999</v>
      </c>
      <c r="I302" s="48">
        <v>1050.4000000000001</v>
      </c>
      <c r="J302" s="48">
        <v>11290.7</v>
      </c>
      <c r="K302" s="48">
        <v>374</v>
      </c>
      <c r="L302" s="48">
        <v>394.1</v>
      </c>
      <c r="M302" s="48">
        <v>41.9</v>
      </c>
      <c r="N302" s="48">
        <v>0</v>
      </c>
    </row>
    <row r="303" spans="1:14" ht="10.050000000000001" customHeight="1">
      <c r="A303" s="45" t="s">
        <v>89</v>
      </c>
      <c r="B303" s="46">
        <v>2008</v>
      </c>
      <c r="C303" s="45" t="s">
        <v>109</v>
      </c>
      <c r="D303" s="47">
        <v>7</v>
      </c>
      <c r="E303" s="48">
        <v>370.6</v>
      </c>
      <c r="F303" s="48">
        <v>0</v>
      </c>
      <c r="G303" s="48">
        <v>370.6</v>
      </c>
      <c r="H303" s="48">
        <v>303.5</v>
      </c>
      <c r="I303" s="48">
        <v>108.2</v>
      </c>
      <c r="J303" s="48">
        <v>411.7</v>
      </c>
      <c r="K303" s="48">
        <v>0</v>
      </c>
      <c r="L303" s="48">
        <v>0</v>
      </c>
      <c r="M303" s="48">
        <v>0</v>
      </c>
      <c r="N303" s="48">
        <v>0</v>
      </c>
    </row>
    <row r="304" spans="1:14" ht="10.050000000000001" customHeight="1">
      <c r="A304" s="45" t="s">
        <v>87</v>
      </c>
      <c r="B304" s="46">
        <v>2008</v>
      </c>
      <c r="C304" s="45" t="s">
        <v>109</v>
      </c>
      <c r="D304" s="47">
        <v>7</v>
      </c>
      <c r="E304" s="48">
        <v>121919.7</v>
      </c>
      <c r="F304" s="48">
        <v>2630.5</v>
      </c>
      <c r="G304" s="48">
        <v>124550.2</v>
      </c>
      <c r="H304" s="48">
        <v>135114.1</v>
      </c>
      <c r="I304" s="48">
        <v>5317.5</v>
      </c>
      <c r="J304" s="48">
        <v>140431.6</v>
      </c>
      <c r="K304" s="48">
        <v>56643.9</v>
      </c>
      <c r="L304" s="48">
        <v>58209.3</v>
      </c>
      <c r="M304" s="48">
        <v>1991</v>
      </c>
      <c r="N304" s="48">
        <v>481.3</v>
      </c>
    </row>
    <row r="305" spans="1:14" ht="10.050000000000001" customHeight="1">
      <c r="A305" s="45" t="s">
        <v>84</v>
      </c>
      <c r="B305" s="46">
        <v>2008</v>
      </c>
      <c r="C305" s="45" t="s">
        <v>109</v>
      </c>
      <c r="D305" s="47">
        <v>8</v>
      </c>
      <c r="E305" s="48">
        <v>121886.9</v>
      </c>
      <c r="F305" s="48">
        <v>975.7</v>
      </c>
      <c r="G305" s="48">
        <v>122862.6</v>
      </c>
      <c r="H305" s="48">
        <v>108910.1</v>
      </c>
      <c r="I305" s="48">
        <v>1886.5</v>
      </c>
      <c r="J305" s="48">
        <v>110796.6</v>
      </c>
      <c r="K305" s="48">
        <v>10821.5</v>
      </c>
      <c r="L305" s="48">
        <v>10649.1</v>
      </c>
      <c r="M305" s="48">
        <v>185.5</v>
      </c>
      <c r="N305" s="48">
        <v>37.299999999999997</v>
      </c>
    </row>
    <row r="306" spans="1:14" ht="10.050000000000001" customHeight="1">
      <c r="A306" s="45" t="s">
        <v>89</v>
      </c>
      <c r="B306" s="46">
        <v>2008</v>
      </c>
      <c r="C306" s="45" t="s">
        <v>109</v>
      </c>
      <c r="D306" s="47">
        <v>8</v>
      </c>
      <c r="E306" s="48">
        <v>222.7</v>
      </c>
      <c r="F306" s="48">
        <v>0</v>
      </c>
      <c r="G306" s="48">
        <v>222.7</v>
      </c>
      <c r="H306" s="48">
        <v>321.5</v>
      </c>
      <c r="I306" s="48">
        <v>108.2</v>
      </c>
      <c r="J306" s="48">
        <v>429.7</v>
      </c>
      <c r="K306" s="48">
        <v>26.4</v>
      </c>
      <c r="L306" s="48">
        <v>30.8</v>
      </c>
      <c r="M306" s="48">
        <v>0</v>
      </c>
      <c r="N306" s="48">
        <v>4.4000000000000004</v>
      </c>
    </row>
    <row r="307" spans="1:14" ht="10.050000000000001" customHeight="1">
      <c r="A307" s="45" t="s">
        <v>87</v>
      </c>
      <c r="B307" s="46">
        <v>2008</v>
      </c>
      <c r="C307" s="45" t="s">
        <v>109</v>
      </c>
      <c r="D307" s="47">
        <v>8</v>
      </c>
      <c r="E307" s="48">
        <v>65113.1</v>
      </c>
      <c r="F307" s="48">
        <v>1471.7</v>
      </c>
      <c r="G307" s="48">
        <v>66584.800000000003</v>
      </c>
      <c r="H307" s="48">
        <v>164511</v>
      </c>
      <c r="I307" s="48">
        <v>6381.3</v>
      </c>
      <c r="J307" s="48">
        <v>170892.3</v>
      </c>
      <c r="K307" s="48">
        <v>75739.199999999997</v>
      </c>
      <c r="L307" s="48">
        <v>31386.6</v>
      </c>
      <c r="M307" s="48">
        <v>12219.8</v>
      </c>
      <c r="N307" s="48">
        <v>71.5</v>
      </c>
    </row>
    <row r="308" spans="1:14" ht="10.050000000000001" customHeight="1">
      <c r="A308" s="45" t="s">
        <v>84</v>
      </c>
      <c r="B308" s="46">
        <v>2008</v>
      </c>
      <c r="C308" s="45" t="s">
        <v>109</v>
      </c>
      <c r="D308" s="47">
        <v>9</v>
      </c>
      <c r="E308" s="48">
        <v>68851.7</v>
      </c>
      <c r="F308" s="48">
        <v>427.1</v>
      </c>
      <c r="G308" s="48">
        <v>69278.8</v>
      </c>
      <c r="H308" s="48">
        <v>136932</v>
      </c>
      <c r="I308" s="48">
        <v>2148.6999999999998</v>
      </c>
      <c r="J308" s="48">
        <v>139080.70000000001</v>
      </c>
      <c r="K308" s="48">
        <v>22917.200000000001</v>
      </c>
      <c r="L308" s="48">
        <v>32340.400000000001</v>
      </c>
      <c r="M308" s="48">
        <v>20343.400000000001</v>
      </c>
      <c r="N308" s="48">
        <v>39.4</v>
      </c>
    </row>
    <row r="309" spans="1:14" ht="10.050000000000001" customHeight="1">
      <c r="A309" s="45" t="s">
        <v>89</v>
      </c>
      <c r="B309" s="46">
        <v>2008</v>
      </c>
      <c r="C309" s="45" t="s">
        <v>109</v>
      </c>
      <c r="D309" s="47">
        <v>9</v>
      </c>
      <c r="E309" s="48">
        <v>716.9</v>
      </c>
      <c r="F309" s="48">
        <v>0</v>
      </c>
      <c r="G309" s="48">
        <v>716.9</v>
      </c>
      <c r="H309" s="48">
        <v>1034.7</v>
      </c>
      <c r="I309" s="48">
        <v>101.6</v>
      </c>
      <c r="J309" s="48">
        <v>1136.3</v>
      </c>
      <c r="K309" s="48">
        <v>31</v>
      </c>
      <c r="L309" s="48">
        <v>4.5999999999999996</v>
      </c>
      <c r="M309" s="48">
        <v>0</v>
      </c>
      <c r="N309" s="48">
        <v>0</v>
      </c>
    </row>
    <row r="310" spans="1:14" ht="10.050000000000001" customHeight="1">
      <c r="A310" s="45" t="s">
        <v>87</v>
      </c>
      <c r="B310" s="46">
        <v>2008</v>
      </c>
      <c r="C310" s="45" t="s">
        <v>109</v>
      </c>
      <c r="D310" s="47">
        <v>9</v>
      </c>
      <c r="E310" s="48">
        <v>28227.8</v>
      </c>
      <c r="F310" s="48">
        <v>889.1</v>
      </c>
      <c r="G310" s="48">
        <v>29116.9</v>
      </c>
      <c r="H310" s="48">
        <v>159652.79999999999</v>
      </c>
      <c r="I310" s="48">
        <v>6772.9</v>
      </c>
      <c r="J310" s="48">
        <v>166425.70000000001</v>
      </c>
      <c r="K310" s="48">
        <v>64521.1</v>
      </c>
      <c r="L310" s="48">
        <v>5020.8</v>
      </c>
      <c r="M310" s="48">
        <v>15959.2</v>
      </c>
      <c r="N310" s="48">
        <v>295.3</v>
      </c>
    </row>
    <row r="311" spans="1:14" ht="10.050000000000001" customHeight="1">
      <c r="A311" s="45" t="s">
        <v>84</v>
      </c>
      <c r="B311" s="46">
        <v>2008</v>
      </c>
      <c r="C311" s="45" t="s">
        <v>109</v>
      </c>
      <c r="D311" s="47">
        <v>10</v>
      </c>
      <c r="E311" s="48">
        <v>15489.3</v>
      </c>
      <c r="F311" s="48">
        <v>1608</v>
      </c>
      <c r="G311" s="48">
        <v>17097.3</v>
      </c>
      <c r="H311" s="48">
        <v>126757.8</v>
      </c>
      <c r="I311" s="48">
        <v>3618.8</v>
      </c>
      <c r="J311" s="48">
        <v>130376.6</v>
      </c>
      <c r="K311" s="48">
        <v>16734.599999999999</v>
      </c>
      <c r="L311" s="48">
        <v>3486.4</v>
      </c>
      <c r="M311" s="48">
        <v>9634.2000000000007</v>
      </c>
      <c r="N311" s="48">
        <v>110.3</v>
      </c>
    </row>
    <row r="312" spans="1:14" ht="10.050000000000001" customHeight="1">
      <c r="A312" s="45" t="s">
        <v>89</v>
      </c>
      <c r="B312" s="46">
        <v>2008</v>
      </c>
      <c r="C312" s="45" t="s">
        <v>109</v>
      </c>
      <c r="D312" s="47">
        <v>10</v>
      </c>
      <c r="E312" s="48">
        <v>30.6</v>
      </c>
      <c r="F312" s="48">
        <v>14.2</v>
      </c>
      <c r="G312" s="48">
        <v>44.8</v>
      </c>
      <c r="H312" s="48">
        <v>984.6</v>
      </c>
      <c r="I312" s="48">
        <v>115.8</v>
      </c>
      <c r="J312" s="48">
        <v>1100.4000000000001</v>
      </c>
      <c r="K312" s="48">
        <v>31</v>
      </c>
      <c r="L312" s="48">
        <v>0</v>
      </c>
      <c r="M312" s="48">
        <v>0</v>
      </c>
      <c r="N312" s="48">
        <v>0</v>
      </c>
    </row>
    <row r="313" spans="1:14" ht="10.050000000000001" customHeight="1">
      <c r="A313" s="45" t="s">
        <v>87</v>
      </c>
      <c r="B313" s="46">
        <v>2008</v>
      </c>
      <c r="C313" s="45" t="s">
        <v>109</v>
      </c>
      <c r="D313" s="47">
        <v>10</v>
      </c>
      <c r="E313" s="48">
        <v>9903.7000000000007</v>
      </c>
      <c r="F313" s="48">
        <v>2329.1</v>
      </c>
      <c r="G313" s="48">
        <v>12232.8</v>
      </c>
      <c r="H313" s="48">
        <v>140893.70000000001</v>
      </c>
      <c r="I313" s="48">
        <v>7959.7</v>
      </c>
      <c r="J313" s="48">
        <v>148853.4</v>
      </c>
      <c r="K313" s="48">
        <v>57607.8</v>
      </c>
      <c r="L313" s="48">
        <v>182.6</v>
      </c>
      <c r="M313" s="48">
        <v>6784.8</v>
      </c>
      <c r="N313" s="48">
        <v>314.89999999999998</v>
      </c>
    </row>
    <row r="314" spans="1:14" ht="10.050000000000001" customHeight="1">
      <c r="A314" s="45" t="s">
        <v>84</v>
      </c>
      <c r="B314" s="46">
        <v>2008</v>
      </c>
      <c r="C314" s="45" t="s">
        <v>109</v>
      </c>
      <c r="D314" s="47">
        <v>11</v>
      </c>
      <c r="E314" s="48">
        <v>6156.9</v>
      </c>
      <c r="F314" s="48">
        <v>1642.5</v>
      </c>
      <c r="G314" s="48">
        <v>7799.4</v>
      </c>
      <c r="H314" s="48">
        <v>115307.1</v>
      </c>
      <c r="I314" s="48">
        <v>4691.6000000000004</v>
      </c>
      <c r="J314" s="48">
        <v>119998.7</v>
      </c>
      <c r="K314" s="48">
        <v>14734.4</v>
      </c>
      <c r="L314" s="48">
        <v>1020</v>
      </c>
      <c r="M314" s="48">
        <v>2603.6</v>
      </c>
      <c r="N314" s="48">
        <v>416.6</v>
      </c>
    </row>
    <row r="315" spans="1:14" ht="10.050000000000001" customHeight="1">
      <c r="A315" s="45" t="s">
        <v>89</v>
      </c>
      <c r="B315" s="46">
        <v>2008</v>
      </c>
      <c r="C315" s="45" t="s">
        <v>109</v>
      </c>
      <c r="D315" s="47">
        <v>11</v>
      </c>
      <c r="E315" s="48">
        <v>27.3</v>
      </c>
      <c r="F315" s="48">
        <v>0</v>
      </c>
      <c r="G315" s="48">
        <v>27.3</v>
      </c>
      <c r="H315" s="48">
        <v>973.5</v>
      </c>
      <c r="I315" s="48">
        <v>115.8</v>
      </c>
      <c r="J315" s="48">
        <v>1089.3</v>
      </c>
      <c r="K315" s="48">
        <v>31</v>
      </c>
      <c r="L315" s="48">
        <v>0</v>
      </c>
      <c r="M315" s="48">
        <v>0</v>
      </c>
      <c r="N315" s="48">
        <v>0</v>
      </c>
    </row>
    <row r="316" spans="1:14" ht="10.050000000000001" customHeight="1">
      <c r="A316" s="45" t="s">
        <v>87</v>
      </c>
      <c r="B316" s="46">
        <v>2008</v>
      </c>
      <c r="C316" s="45" t="s">
        <v>109</v>
      </c>
      <c r="D316" s="47">
        <v>11</v>
      </c>
      <c r="E316" s="48">
        <v>9879.4</v>
      </c>
      <c r="F316" s="48">
        <v>3635.5</v>
      </c>
      <c r="G316" s="48">
        <v>13514.9</v>
      </c>
      <c r="H316" s="48">
        <v>126396.8</v>
      </c>
      <c r="I316" s="48">
        <v>10574.6</v>
      </c>
      <c r="J316" s="48">
        <v>136971.4</v>
      </c>
      <c r="K316" s="48">
        <v>53296</v>
      </c>
      <c r="L316" s="48">
        <v>1778.6</v>
      </c>
      <c r="M316" s="48">
        <v>5722</v>
      </c>
      <c r="N316" s="48">
        <v>364.6</v>
      </c>
    </row>
    <row r="317" spans="1:14" ht="10.050000000000001" customHeight="1">
      <c r="A317" s="45" t="s">
        <v>84</v>
      </c>
      <c r="B317" s="46">
        <v>2008</v>
      </c>
      <c r="C317" s="45" t="s">
        <v>109</v>
      </c>
      <c r="D317" s="47">
        <v>12</v>
      </c>
      <c r="E317" s="48">
        <v>4167.1000000000004</v>
      </c>
      <c r="F317" s="48">
        <v>1366.9</v>
      </c>
      <c r="G317" s="48">
        <v>5534</v>
      </c>
      <c r="H317" s="48">
        <v>95027.7</v>
      </c>
      <c r="I317" s="48">
        <v>5576.5</v>
      </c>
      <c r="J317" s="48">
        <v>100604.2</v>
      </c>
      <c r="K317" s="48">
        <v>13519.5</v>
      </c>
      <c r="L317" s="48">
        <v>648.9</v>
      </c>
      <c r="M317" s="48">
        <v>1842.5</v>
      </c>
      <c r="N317" s="48">
        <v>21.3</v>
      </c>
    </row>
    <row r="318" spans="1:14" ht="10.050000000000001" customHeight="1">
      <c r="A318" s="45" t="s">
        <v>89</v>
      </c>
      <c r="B318" s="46">
        <v>2008</v>
      </c>
      <c r="C318" s="45" t="s">
        <v>109</v>
      </c>
      <c r="D318" s="47">
        <v>12</v>
      </c>
      <c r="E318" s="48">
        <v>46.7</v>
      </c>
      <c r="F318" s="48">
        <v>0</v>
      </c>
      <c r="G318" s="48">
        <v>46.7</v>
      </c>
      <c r="H318" s="48">
        <v>985.3</v>
      </c>
      <c r="I318" s="48">
        <v>91.8</v>
      </c>
      <c r="J318" s="48">
        <v>1077.0999999999999</v>
      </c>
      <c r="K318" s="48">
        <v>31</v>
      </c>
      <c r="L318" s="48">
        <v>0</v>
      </c>
      <c r="M318" s="48">
        <v>0</v>
      </c>
      <c r="N318" s="48">
        <v>0</v>
      </c>
    </row>
    <row r="319" spans="1:14" ht="10.050000000000001" customHeight="1">
      <c r="A319" s="45" t="s">
        <v>87</v>
      </c>
      <c r="B319" s="46">
        <v>2008</v>
      </c>
      <c r="C319" s="45" t="s">
        <v>109</v>
      </c>
      <c r="D319" s="47">
        <v>12</v>
      </c>
      <c r="E319" s="48">
        <v>11408</v>
      </c>
      <c r="F319" s="48">
        <v>1401.8</v>
      </c>
      <c r="G319" s="48">
        <v>12809.8</v>
      </c>
      <c r="H319" s="48">
        <v>115150.39999999999</v>
      </c>
      <c r="I319" s="48">
        <v>10518.3</v>
      </c>
      <c r="J319" s="48">
        <v>125668.7</v>
      </c>
      <c r="K319" s="48">
        <v>47958.5</v>
      </c>
      <c r="L319" s="48">
        <v>1625.3</v>
      </c>
      <c r="M319" s="48">
        <v>6894.3</v>
      </c>
      <c r="N319" s="48">
        <v>68.5</v>
      </c>
    </row>
    <row r="320" spans="1:14" ht="10.050000000000001" customHeight="1">
      <c r="A320" s="45" t="s">
        <v>84</v>
      </c>
      <c r="B320" s="46">
        <v>2009</v>
      </c>
      <c r="C320" s="45" t="s">
        <v>109</v>
      </c>
      <c r="D320" s="47">
        <v>1</v>
      </c>
      <c r="E320" s="48">
        <v>9714.1</v>
      </c>
      <c r="F320" s="48">
        <v>1486.5</v>
      </c>
      <c r="G320" s="48">
        <v>11200.6</v>
      </c>
      <c r="H320" s="48">
        <v>70806.399999999994</v>
      </c>
      <c r="I320" s="48">
        <v>4546.7</v>
      </c>
      <c r="J320" s="48">
        <v>75353.100000000006</v>
      </c>
      <c r="K320" s="48">
        <v>10666.5</v>
      </c>
      <c r="L320" s="48">
        <v>663.1</v>
      </c>
      <c r="M320" s="48">
        <v>3464</v>
      </c>
      <c r="N320" s="48">
        <v>52.1</v>
      </c>
    </row>
    <row r="321" spans="1:14" ht="10.050000000000001" customHeight="1">
      <c r="A321" s="45" t="s">
        <v>89</v>
      </c>
      <c r="B321" s="46">
        <v>2009</v>
      </c>
      <c r="C321" s="45" t="s">
        <v>109</v>
      </c>
      <c r="D321" s="47">
        <v>1</v>
      </c>
      <c r="E321" s="48">
        <v>22.7</v>
      </c>
      <c r="F321" s="48">
        <v>0</v>
      </c>
      <c r="G321" s="48">
        <v>22.7</v>
      </c>
      <c r="H321" s="48">
        <v>889.1</v>
      </c>
      <c r="I321" s="48">
        <v>90.2</v>
      </c>
      <c r="J321" s="48">
        <v>979.3</v>
      </c>
      <c r="K321" s="48">
        <v>31</v>
      </c>
      <c r="L321" s="48">
        <v>0</v>
      </c>
      <c r="M321" s="48">
        <v>0</v>
      </c>
      <c r="N321" s="48">
        <v>0</v>
      </c>
    </row>
    <row r="322" spans="1:14" ht="10.050000000000001" customHeight="1">
      <c r="A322" s="45" t="s">
        <v>87</v>
      </c>
      <c r="B322" s="46">
        <v>2009</v>
      </c>
      <c r="C322" s="45" t="s">
        <v>109</v>
      </c>
      <c r="D322" s="47">
        <v>1</v>
      </c>
      <c r="E322" s="48">
        <v>15018</v>
      </c>
      <c r="F322" s="48">
        <v>1709</v>
      </c>
      <c r="G322" s="48">
        <v>16727</v>
      </c>
      <c r="H322" s="48">
        <v>101012.5</v>
      </c>
      <c r="I322" s="48">
        <v>8578.1</v>
      </c>
      <c r="J322" s="48">
        <v>109590.6</v>
      </c>
      <c r="K322" s="48">
        <v>40722.400000000001</v>
      </c>
      <c r="L322" s="48">
        <v>1413</v>
      </c>
      <c r="M322" s="48">
        <v>8440</v>
      </c>
      <c r="N322" s="48">
        <v>209.1</v>
      </c>
    </row>
    <row r="323" spans="1:14" ht="10.050000000000001" customHeight="1">
      <c r="A323" s="45" t="s">
        <v>84</v>
      </c>
      <c r="B323" s="46">
        <v>2009</v>
      </c>
      <c r="C323" s="45" t="s">
        <v>109</v>
      </c>
      <c r="D323" s="47">
        <v>2</v>
      </c>
      <c r="E323" s="48">
        <v>13774.1</v>
      </c>
      <c r="F323" s="48">
        <v>658.6</v>
      </c>
      <c r="G323" s="48">
        <v>14432.7</v>
      </c>
      <c r="H323" s="48">
        <v>55595.7</v>
      </c>
      <c r="I323" s="48">
        <v>3826.8</v>
      </c>
      <c r="J323" s="48">
        <v>59422.5</v>
      </c>
      <c r="K323" s="48">
        <v>7498.9</v>
      </c>
      <c r="L323" s="48">
        <v>783</v>
      </c>
      <c r="M323" s="48">
        <v>3895</v>
      </c>
      <c r="N323" s="48">
        <v>55.6</v>
      </c>
    </row>
    <row r="324" spans="1:14" ht="10.050000000000001" customHeight="1">
      <c r="A324" s="45" t="s">
        <v>89</v>
      </c>
      <c r="B324" s="46">
        <v>2009</v>
      </c>
      <c r="C324" s="45" t="s">
        <v>109</v>
      </c>
      <c r="D324" s="47">
        <v>2</v>
      </c>
      <c r="E324" s="48">
        <v>24.4</v>
      </c>
      <c r="F324" s="48">
        <v>6</v>
      </c>
      <c r="G324" s="48">
        <v>30.4</v>
      </c>
      <c r="H324" s="48">
        <v>832.8</v>
      </c>
      <c r="I324" s="48">
        <v>83.4</v>
      </c>
      <c r="J324" s="48">
        <v>916.2</v>
      </c>
      <c r="K324" s="48">
        <v>31</v>
      </c>
      <c r="L324" s="48">
        <v>0</v>
      </c>
      <c r="M324" s="48">
        <v>0</v>
      </c>
      <c r="N324" s="48">
        <v>0</v>
      </c>
    </row>
    <row r="325" spans="1:14" ht="10.050000000000001" customHeight="1">
      <c r="A325" s="45" t="s">
        <v>87</v>
      </c>
      <c r="B325" s="46">
        <v>2009</v>
      </c>
      <c r="C325" s="45" t="s">
        <v>109</v>
      </c>
      <c r="D325" s="47">
        <v>2</v>
      </c>
      <c r="E325" s="48">
        <v>18487.3</v>
      </c>
      <c r="F325" s="48">
        <v>988.7</v>
      </c>
      <c r="G325" s="48">
        <v>19476</v>
      </c>
      <c r="H325" s="48">
        <v>92120.7</v>
      </c>
      <c r="I325" s="48">
        <v>5023.6000000000004</v>
      </c>
      <c r="J325" s="48">
        <v>97144.300000000105</v>
      </c>
      <c r="K325" s="48">
        <v>31587.599999999999</v>
      </c>
      <c r="L325" s="48">
        <v>1952.7</v>
      </c>
      <c r="M325" s="48">
        <v>10696.6</v>
      </c>
      <c r="N325" s="48">
        <v>390.9</v>
      </c>
    </row>
    <row r="326" spans="1:14" ht="10.050000000000001" customHeight="1">
      <c r="A326" s="45" t="s">
        <v>84</v>
      </c>
      <c r="B326" s="46">
        <v>2009</v>
      </c>
      <c r="C326" s="45" t="s">
        <v>109</v>
      </c>
      <c r="D326" s="47">
        <v>3</v>
      </c>
      <c r="E326" s="48">
        <v>11381.3</v>
      </c>
      <c r="F326" s="48">
        <v>56.3</v>
      </c>
      <c r="G326" s="48">
        <v>11437.6</v>
      </c>
      <c r="H326" s="48">
        <v>41640.199999999997</v>
      </c>
      <c r="I326" s="48">
        <v>3463.6</v>
      </c>
      <c r="J326" s="48">
        <v>45103.8</v>
      </c>
      <c r="K326" s="48">
        <v>3434</v>
      </c>
      <c r="L326" s="48">
        <v>496</v>
      </c>
      <c r="M326" s="48">
        <v>4424.6000000000004</v>
      </c>
      <c r="N326" s="48">
        <v>136.30000000000001</v>
      </c>
    </row>
    <row r="327" spans="1:14" ht="10.050000000000001" customHeight="1">
      <c r="A327" s="45" t="s">
        <v>89</v>
      </c>
      <c r="B327" s="46">
        <v>2009</v>
      </c>
      <c r="C327" s="45" t="s">
        <v>109</v>
      </c>
      <c r="D327" s="47">
        <v>3</v>
      </c>
      <c r="E327" s="48">
        <v>14.3</v>
      </c>
      <c r="F327" s="48">
        <v>0</v>
      </c>
      <c r="G327" s="48">
        <v>14.3</v>
      </c>
      <c r="H327" s="48">
        <v>727.2</v>
      </c>
      <c r="I327" s="48">
        <v>77.900000000000006</v>
      </c>
      <c r="J327" s="48">
        <v>805.1</v>
      </c>
      <c r="K327" s="48">
        <v>29.4</v>
      </c>
      <c r="L327" s="48">
        <v>3.2</v>
      </c>
      <c r="M327" s="48">
        <v>3.9</v>
      </c>
      <c r="N327" s="48">
        <v>0.9</v>
      </c>
    </row>
    <row r="328" spans="1:14" ht="10.050000000000001" customHeight="1">
      <c r="A328" s="45" t="s">
        <v>87</v>
      </c>
      <c r="B328" s="46">
        <v>2009</v>
      </c>
      <c r="C328" s="45" t="s">
        <v>109</v>
      </c>
      <c r="D328" s="47">
        <v>3</v>
      </c>
      <c r="E328" s="48">
        <v>22108.7</v>
      </c>
      <c r="F328" s="48">
        <v>358.7</v>
      </c>
      <c r="G328" s="48">
        <v>22467.4</v>
      </c>
      <c r="H328" s="48">
        <v>90339.4</v>
      </c>
      <c r="I328" s="48">
        <v>3974.5</v>
      </c>
      <c r="J328" s="48">
        <v>94313.899999999907</v>
      </c>
      <c r="K328" s="48">
        <v>18136.400000000001</v>
      </c>
      <c r="L328" s="48">
        <v>1230.0999999999999</v>
      </c>
      <c r="M328" s="48">
        <v>14609.7</v>
      </c>
      <c r="N328" s="48">
        <v>75.400000000000006</v>
      </c>
    </row>
    <row r="329" spans="1:14" ht="10.050000000000001" customHeight="1">
      <c r="A329" s="45" t="s">
        <v>84</v>
      </c>
      <c r="B329" s="46">
        <v>2009</v>
      </c>
      <c r="C329" s="45" t="s">
        <v>109</v>
      </c>
      <c r="D329" s="47">
        <v>4</v>
      </c>
      <c r="E329" s="48">
        <v>5734.7</v>
      </c>
      <c r="F329" s="48">
        <v>228.4</v>
      </c>
      <c r="G329" s="48">
        <v>5963.1</v>
      </c>
      <c r="H329" s="48">
        <v>31443.8</v>
      </c>
      <c r="I329" s="48">
        <v>2484.1</v>
      </c>
      <c r="J329" s="48">
        <v>33927.9</v>
      </c>
      <c r="K329" s="48">
        <v>2243.4</v>
      </c>
      <c r="L329" s="48">
        <v>440</v>
      </c>
      <c r="M329" s="48">
        <v>1549.9</v>
      </c>
      <c r="N329" s="48">
        <v>80.7</v>
      </c>
    </row>
    <row r="330" spans="1:14" ht="10.050000000000001" customHeight="1">
      <c r="A330" s="45" t="s">
        <v>89</v>
      </c>
      <c r="B330" s="46">
        <v>2009</v>
      </c>
      <c r="C330" s="45" t="s">
        <v>109</v>
      </c>
      <c r="D330" s="47">
        <v>4</v>
      </c>
      <c r="E330" s="48">
        <v>26.1</v>
      </c>
      <c r="F330" s="48">
        <v>0</v>
      </c>
      <c r="G330" s="48">
        <v>26.1</v>
      </c>
      <c r="H330" s="48">
        <v>612</v>
      </c>
      <c r="I330" s="48">
        <v>71.900000000000006</v>
      </c>
      <c r="J330" s="48">
        <v>683.9</v>
      </c>
      <c r="K330" s="48">
        <v>5.0999999999999996</v>
      </c>
      <c r="L330" s="48">
        <v>0</v>
      </c>
      <c r="M330" s="48">
        <v>22.5</v>
      </c>
      <c r="N330" s="48">
        <v>1.8</v>
      </c>
    </row>
    <row r="331" spans="1:14" ht="10.050000000000001" customHeight="1">
      <c r="A331" s="45" t="s">
        <v>87</v>
      </c>
      <c r="B331" s="46">
        <v>2009</v>
      </c>
      <c r="C331" s="45" t="s">
        <v>109</v>
      </c>
      <c r="D331" s="47">
        <v>4</v>
      </c>
      <c r="E331" s="48">
        <v>15109.4</v>
      </c>
      <c r="F331" s="48">
        <v>66.900000000000006</v>
      </c>
      <c r="G331" s="48">
        <v>15176.3</v>
      </c>
      <c r="H331" s="48">
        <v>78536</v>
      </c>
      <c r="I331" s="48">
        <v>3444.3</v>
      </c>
      <c r="J331" s="48">
        <v>81980.3</v>
      </c>
      <c r="K331" s="48">
        <v>12009.3</v>
      </c>
      <c r="L331" s="48">
        <v>1316.7</v>
      </c>
      <c r="M331" s="48">
        <v>7333.1</v>
      </c>
      <c r="N331" s="48">
        <v>110.7</v>
      </c>
    </row>
    <row r="332" spans="1:14" ht="10.050000000000001" customHeight="1">
      <c r="A332" s="45" t="s">
        <v>84</v>
      </c>
      <c r="B332" s="46">
        <v>2009</v>
      </c>
      <c r="C332" s="45" t="s">
        <v>109</v>
      </c>
      <c r="D332" s="47">
        <v>5</v>
      </c>
      <c r="E332" s="48">
        <v>3057.9</v>
      </c>
      <c r="F332" s="48">
        <v>1.1000000000000001</v>
      </c>
      <c r="G332" s="48">
        <v>3059</v>
      </c>
      <c r="H332" s="48">
        <v>26966.799999999999</v>
      </c>
      <c r="I332" s="48">
        <v>2285</v>
      </c>
      <c r="J332" s="48">
        <v>29251.8</v>
      </c>
      <c r="K332" s="48">
        <v>1243.4000000000001</v>
      </c>
      <c r="L332" s="48">
        <v>169.8</v>
      </c>
      <c r="M332" s="48">
        <v>1109.9000000000001</v>
      </c>
      <c r="N332" s="48">
        <v>59.9</v>
      </c>
    </row>
    <row r="333" spans="1:14" ht="10.050000000000001" customHeight="1">
      <c r="A333" s="45" t="s">
        <v>89</v>
      </c>
      <c r="B333" s="46">
        <v>2009</v>
      </c>
      <c r="C333" s="45" t="s">
        <v>109</v>
      </c>
      <c r="D333" s="47">
        <v>5</v>
      </c>
      <c r="E333" s="48">
        <v>3.7</v>
      </c>
      <c r="F333" s="48">
        <v>0</v>
      </c>
      <c r="G333" s="48">
        <v>3.7</v>
      </c>
      <c r="H333" s="48">
        <v>534.4</v>
      </c>
      <c r="I333" s="48">
        <v>71.8</v>
      </c>
      <c r="J333" s="48">
        <v>606.20000000000005</v>
      </c>
      <c r="K333" s="48">
        <v>4.5999999999999996</v>
      </c>
      <c r="L333" s="48">
        <v>0</v>
      </c>
      <c r="M333" s="48">
        <v>0</v>
      </c>
      <c r="N333" s="48">
        <v>0.5</v>
      </c>
    </row>
    <row r="334" spans="1:14" ht="10.050000000000001" customHeight="1">
      <c r="A334" s="45" t="s">
        <v>87</v>
      </c>
      <c r="B334" s="46">
        <v>2009</v>
      </c>
      <c r="C334" s="45" t="s">
        <v>109</v>
      </c>
      <c r="D334" s="47">
        <v>5</v>
      </c>
      <c r="E334" s="48">
        <v>14332.9</v>
      </c>
      <c r="F334" s="48">
        <v>0</v>
      </c>
      <c r="G334" s="48">
        <v>14332.9</v>
      </c>
      <c r="H334" s="48">
        <v>64072.6</v>
      </c>
      <c r="I334" s="48">
        <v>2517.4</v>
      </c>
      <c r="J334" s="48">
        <v>66590</v>
      </c>
      <c r="K334" s="48">
        <v>3981.2</v>
      </c>
      <c r="L334" s="48">
        <v>918.2</v>
      </c>
      <c r="M334" s="48">
        <v>8625.9</v>
      </c>
      <c r="N334" s="48">
        <v>320.39999999999998</v>
      </c>
    </row>
    <row r="335" spans="1:14" ht="10.050000000000001" customHeight="1">
      <c r="A335" s="45" t="s">
        <v>84</v>
      </c>
      <c r="B335" s="46">
        <v>2009</v>
      </c>
      <c r="C335" s="45" t="s">
        <v>109</v>
      </c>
      <c r="D335" s="47">
        <v>6</v>
      </c>
      <c r="E335" s="48">
        <v>7462.4</v>
      </c>
      <c r="F335" s="48">
        <v>272.7</v>
      </c>
      <c r="G335" s="48">
        <v>7735.1</v>
      </c>
      <c r="H335" s="48">
        <v>16073.8</v>
      </c>
      <c r="I335" s="48">
        <v>1774.4</v>
      </c>
      <c r="J335" s="48">
        <v>17848.2</v>
      </c>
      <c r="K335" s="48">
        <v>421.6</v>
      </c>
      <c r="L335" s="48">
        <v>45.8</v>
      </c>
      <c r="M335" s="48">
        <v>813.9</v>
      </c>
      <c r="N335" s="48">
        <v>53.7</v>
      </c>
    </row>
    <row r="336" spans="1:14" ht="10.050000000000001" customHeight="1">
      <c r="A336" s="45" t="s">
        <v>89</v>
      </c>
      <c r="B336" s="46">
        <v>2009</v>
      </c>
      <c r="C336" s="45" t="s">
        <v>109</v>
      </c>
      <c r="D336" s="47">
        <v>6</v>
      </c>
      <c r="E336" s="48">
        <v>12.2</v>
      </c>
      <c r="F336" s="48">
        <v>0</v>
      </c>
      <c r="G336" s="48">
        <v>12.2</v>
      </c>
      <c r="H336" s="48">
        <v>415</v>
      </c>
      <c r="I336" s="48">
        <v>71.7</v>
      </c>
      <c r="J336" s="48">
        <v>486.7</v>
      </c>
      <c r="K336" s="48">
        <v>3.8</v>
      </c>
      <c r="L336" s="48">
        <v>0</v>
      </c>
      <c r="M336" s="48">
        <v>0</v>
      </c>
      <c r="N336" s="48">
        <v>0.8</v>
      </c>
    </row>
    <row r="337" spans="1:14" ht="10.050000000000001" customHeight="1">
      <c r="A337" s="45" t="s">
        <v>87</v>
      </c>
      <c r="B337" s="46">
        <v>2009</v>
      </c>
      <c r="C337" s="45" t="s">
        <v>109</v>
      </c>
      <c r="D337" s="47">
        <v>6</v>
      </c>
      <c r="E337" s="48">
        <v>9651.5</v>
      </c>
      <c r="F337" s="48">
        <v>1046</v>
      </c>
      <c r="G337" s="48">
        <v>10697.5</v>
      </c>
      <c r="H337" s="48">
        <v>39077.800000000003</v>
      </c>
      <c r="I337" s="48">
        <v>1967.1</v>
      </c>
      <c r="J337" s="48">
        <v>41044.9</v>
      </c>
      <c r="K337" s="48">
        <v>945.1</v>
      </c>
      <c r="L337" s="48">
        <v>1465.4</v>
      </c>
      <c r="M337" s="48">
        <v>4292.3999999999996</v>
      </c>
      <c r="N337" s="48">
        <v>209.1</v>
      </c>
    </row>
    <row r="338" spans="1:14" ht="10.050000000000001" customHeight="1">
      <c r="A338" s="45" t="s">
        <v>84</v>
      </c>
      <c r="B338" s="46">
        <v>2009</v>
      </c>
      <c r="C338" s="45" t="s">
        <v>116</v>
      </c>
      <c r="D338" s="47">
        <v>1</v>
      </c>
      <c r="E338" s="48">
        <v>0</v>
      </c>
      <c r="F338" s="48">
        <v>83.6</v>
      </c>
      <c r="G338" s="48">
        <v>83.6</v>
      </c>
      <c r="H338" s="48">
        <v>0</v>
      </c>
      <c r="I338" s="48">
        <v>688.5</v>
      </c>
      <c r="J338" s="48">
        <v>688.5</v>
      </c>
      <c r="K338" s="48">
        <v>0</v>
      </c>
      <c r="L338" s="48">
        <v>0</v>
      </c>
      <c r="M338" s="48">
        <v>0</v>
      </c>
      <c r="N338" s="48">
        <v>0</v>
      </c>
    </row>
    <row r="339" spans="1:14" ht="10.050000000000001" customHeight="1">
      <c r="A339" s="45" t="s">
        <v>87</v>
      </c>
      <c r="B339" s="46">
        <v>2009</v>
      </c>
      <c r="C339" s="45" t="s">
        <v>116</v>
      </c>
      <c r="D339" s="47">
        <v>1</v>
      </c>
      <c r="E339" s="48">
        <v>0</v>
      </c>
      <c r="F339" s="48">
        <v>0</v>
      </c>
      <c r="G339" s="48">
        <v>0</v>
      </c>
      <c r="H339" s="48">
        <v>0</v>
      </c>
      <c r="I339" s="48">
        <v>506.6</v>
      </c>
      <c r="J339" s="48">
        <v>506.6</v>
      </c>
      <c r="K339" s="48">
        <v>0</v>
      </c>
      <c r="L339" s="48">
        <v>0</v>
      </c>
      <c r="M339" s="48">
        <v>0</v>
      </c>
      <c r="N339" s="48">
        <v>0</v>
      </c>
    </row>
    <row r="340" spans="1:14" ht="10.050000000000001" customHeight="1">
      <c r="A340" s="45" t="s">
        <v>84</v>
      </c>
      <c r="B340" s="46">
        <v>2009</v>
      </c>
      <c r="C340" s="45" t="s">
        <v>116</v>
      </c>
      <c r="D340" s="47">
        <v>2</v>
      </c>
      <c r="E340" s="48">
        <v>0</v>
      </c>
      <c r="F340" s="48">
        <v>0</v>
      </c>
      <c r="G340" s="48">
        <v>0</v>
      </c>
      <c r="H340" s="48">
        <v>12.5</v>
      </c>
      <c r="I340" s="48">
        <v>471.5</v>
      </c>
      <c r="J340" s="48">
        <v>484</v>
      </c>
      <c r="K340" s="48">
        <v>0</v>
      </c>
      <c r="L340" s="48">
        <v>0</v>
      </c>
      <c r="M340" s="48">
        <v>0</v>
      </c>
      <c r="N340" s="48">
        <v>0</v>
      </c>
    </row>
    <row r="341" spans="1:14" ht="10.050000000000001" customHeight="1">
      <c r="A341" s="45" t="s">
        <v>87</v>
      </c>
      <c r="B341" s="46">
        <v>2009</v>
      </c>
      <c r="C341" s="45" t="s">
        <v>116</v>
      </c>
      <c r="D341" s="47">
        <v>2</v>
      </c>
      <c r="E341" s="48">
        <v>1.7</v>
      </c>
      <c r="F341" s="48">
        <v>0</v>
      </c>
      <c r="G341" s="48">
        <v>1.7</v>
      </c>
      <c r="H341" s="48">
        <v>446.9</v>
      </c>
      <c r="I341" s="48">
        <v>325.60000000000002</v>
      </c>
      <c r="J341" s="48">
        <v>772.5</v>
      </c>
      <c r="K341" s="48">
        <v>0</v>
      </c>
      <c r="L341" s="48">
        <v>0</v>
      </c>
      <c r="M341" s="48">
        <v>0</v>
      </c>
      <c r="N341" s="48">
        <v>0</v>
      </c>
    </row>
    <row r="342" spans="1:14" ht="10.050000000000001" customHeight="1">
      <c r="A342" s="45" t="s">
        <v>84</v>
      </c>
      <c r="B342" s="46">
        <v>2009</v>
      </c>
      <c r="C342" s="45" t="s">
        <v>116</v>
      </c>
      <c r="D342" s="47">
        <v>7</v>
      </c>
      <c r="E342" s="48">
        <v>4207</v>
      </c>
      <c r="F342" s="48">
        <v>24.6</v>
      </c>
      <c r="G342" s="48">
        <v>4231.6000000000004</v>
      </c>
      <c r="H342" s="48">
        <v>17187.3</v>
      </c>
      <c r="I342" s="48">
        <v>1723.6</v>
      </c>
      <c r="J342" s="48">
        <v>18910.900000000001</v>
      </c>
      <c r="K342" s="48">
        <v>1092.5</v>
      </c>
      <c r="L342" s="48">
        <v>709.6</v>
      </c>
      <c r="M342" s="48">
        <v>35.700000000000003</v>
      </c>
      <c r="N342" s="48">
        <v>3</v>
      </c>
    </row>
    <row r="343" spans="1:14" ht="10.050000000000001" customHeight="1">
      <c r="A343" s="45" t="s">
        <v>89</v>
      </c>
      <c r="B343" s="46">
        <v>2009</v>
      </c>
      <c r="C343" s="45" t="s">
        <v>116</v>
      </c>
      <c r="D343" s="47">
        <v>7</v>
      </c>
      <c r="E343" s="48">
        <v>270.10000000000002</v>
      </c>
      <c r="F343" s="48">
        <v>0</v>
      </c>
      <c r="G343" s="48">
        <v>270.10000000000002</v>
      </c>
      <c r="H343" s="48">
        <v>617.5</v>
      </c>
      <c r="I343" s="48">
        <v>71.7</v>
      </c>
      <c r="J343" s="48">
        <v>689.2</v>
      </c>
      <c r="K343" s="48">
        <v>3.8</v>
      </c>
      <c r="L343" s="48">
        <v>0</v>
      </c>
      <c r="M343" s="48">
        <v>0</v>
      </c>
      <c r="N343" s="48">
        <v>0</v>
      </c>
    </row>
    <row r="344" spans="1:14" ht="10.050000000000001" customHeight="1">
      <c r="A344" s="45" t="s">
        <v>87</v>
      </c>
      <c r="B344" s="46">
        <v>2009</v>
      </c>
      <c r="C344" s="45" t="s">
        <v>116</v>
      </c>
      <c r="D344" s="47">
        <v>7</v>
      </c>
      <c r="E344" s="48">
        <v>207935.3</v>
      </c>
      <c r="F344" s="48">
        <v>4881.1000000000004</v>
      </c>
      <c r="G344" s="48">
        <v>212816.4</v>
      </c>
      <c r="H344" s="48">
        <v>217241.3</v>
      </c>
      <c r="I344" s="48">
        <v>6482.3</v>
      </c>
      <c r="J344" s="48">
        <v>223723.6</v>
      </c>
      <c r="K344" s="48">
        <v>60311.4</v>
      </c>
      <c r="L344" s="48">
        <v>64898.5</v>
      </c>
      <c r="M344" s="48">
        <v>5472.5</v>
      </c>
      <c r="N344" s="48">
        <v>59.7</v>
      </c>
    </row>
    <row r="345" spans="1:14" ht="10.050000000000001" customHeight="1">
      <c r="A345" s="45" t="s">
        <v>84</v>
      </c>
      <c r="B345" s="46">
        <v>2009</v>
      </c>
      <c r="C345" s="45" t="s">
        <v>116</v>
      </c>
      <c r="D345" s="47">
        <v>8</v>
      </c>
      <c r="E345" s="48">
        <v>232034.3</v>
      </c>
      <c r="F345" s="48">
        <v>1064.3</v>
      </c>
      <c r="G345" s="48">
        <v>233098.6</v>
      </c>
      <c r="H345" s="48">
        <v>195012.7</v>
      </c>
      <c r="I345" s="48">
        <v>2588.5</v>
      </c>
      <c r="J345" s="48">
        <v>197601.2</v>
      </c>
      <c r="K345" s="48">
        <v>43184.1</v>
      </c>
      <c r="L345" s="48">
        <v>45012</v>
      </c>
      <c r="M345" s="48">
        <v>2843.9</v>
      </c>
      <c r="N345" s="48">
        <v>76.5</v>
      </c>
    </row>
    <row r="346" spans="1:14" ht="10.050000000000001" customHeight="1">
      <c r="A346" s="45" t="s">
        <v>89</v>
      </c>
      <c r="B346" s="46">
        <v>2009</v>
      </c>
      <c r="C346" s="45" t="s">
        <v>116</v>
      </c>
      <c r="D346" s="47">
        <v>8</v>
      </c>
      <c r="E346" s="48">
        <v>2058.1999999999998</v>
      </c>
      <c r="F346" s="48">
        <v>49.1</v>
      </c>
      <c r="G346" s="48">
        <v>2107.3000000000002</v>
      </c>
      <c r="H346" s="48">
        <v>2579.9</v>
      </c>
      <c r="I346" s="48">
        <v>110.6</v>
      </c>
      <c r="J346" s="48">
        <v>2690.5</v>
      </c>
      <c r="K346" s="48">
        <v>25.4</v>
      </c>
      <c r="L346" s="48">
        <v>21.6</v>
      </c>
      <c r="M346" s="48">
        <v>0</v>
      </c>
      <c r="N346" s="48">
        <v>0</v>
      </c>
    </row>
    <row r="347" spans="1:14" ht="10.050000000000001" customHeight="1">
      <c r="A347" s="45" t="s">
        <v>87</v>
      </c>
      <c r="B347" s="46">
        <v>2009</v>
      </c>
      <c r="C347" s="45" t="s">
        <v>116</v>
      </c>
      <c r="D347" s="47">
        <v>8</v>
      </c>
      <c r="E347" s="48">
        <v>66569.5</v>
      </c>
      <c r="F347" s="48">
        <v>2142.1999999999998</v>
      </c>
      <c r="G347" s="48">
        <v>68711.7</v>
      </c>
      <c r="H347" s="48">
        <v>234129.4</v>
      </c>
      <c r="I347" s="48">
        <v>7730.4</v>
      </c>
      <c r="J347" s="48">
        <v>241859.8</v>
      </c>
      <c r="K347" s="48">
        <v>64641.3</v>
      </c>
      <c r="L347" s="48">
        <v>21151.599999999999</v>
      </c>
      <c r="M347" s="48">
        <v>16737.2</v>
      </c>
      <c r="N347" s="48">
        <v>84.5</v>
      </c>
    </row>
    <row r="348" spans="1:14" ht="10.050000000000001" customHeight="1">
      <c r="A348" s="45" t="s">
        <v>84</v>
      </c>
      <c r="B348" s="46">
        <v>2009</v>
      </c>
      <c r="C348" s="45" t="s">
        <v>116</v>
      </c>
      <c r="D348" s="47">
        <v>9</v>
      </c>
      <c r="E348" s="48">
        <v>38087.1</v>
      </c>
      <c r="F348" s="48">
        <v>204.1</v>
      </c>
      <c r="G348" s="48">
        <v>38291.199999999997</v>
      </c>
      <c r="H348" s="48">
        <v>185550</v>
      </c>
      <c r="I348" s="48">
        <v>2627</v>
      </c>
      <c r="J348" s="48">
        <v>188177</v>
      </c>
      <c r="K348" s="48">
        <v>29922.2</v>
      </c>
      <c r="L348" s="48">
        <v>10507</v>
      </c>
      <c r="M348" s="48">
        <v>23705.5</v>
      </c>
      <c r="N348" s="48">
        <v>63.4</v>
      </c>
    </row>
    <row r="349" spans="1:14" ht="10.050000000000001" customHeight="1">
      <c r="A349" s="45" t="s">
        <v>89</v>
      </c>
      <c r="B349" s="46">
        <v>2009</v>
      </c>
      <c r="C349" s="45" t="s">
        <v>116</v>
      </c>
      <c r="D349" s="47">
        <v>9</v>
      </c>
      <c r="E349" s="48">
        <v>614.79999999999995</v>
      </c>
      <c r="F349" s="48">
        <v>62.1</v>
      </c>
      <c r="G349" s="48">
        <v>676.9</v>
      </c>
      <c r="H349" s="48">
        <v>3081.2</v>
      </c>
      <c r="I349" s="48">
        <v>167.9</v>
      </c>
      <c r="J349" s="48">
        <v>3249.1</v>
      </c>
      <c r="K349" s="48">
        <v>8</v>
      </c>
      <c r="L349" s="48">
        <v>0</v>
      </c>
      <c r="M349" s="48">
        <v>0</v>
      </c>
      <c r="N349" s="48">
        <v>17.399999999999999</v>
      </c>
    </row>
    <row r="350" spans="1:14" ht="10.050000000000001" customHeight="1">
      <c r="A350" s="45" t="s">
        <v>87</v>
      </c>
      <c r="B350" s="46">
        <v>2009</v>
      </c>
      <c r="C350" s="45" t="s">
        <v>116</v>
      </c>
      <c r="D350" s="47">
        <v>9</v>
      </c>
      <c r="E350" s="48">
        <v>19910</v>
      </c>
      <c r="F350" s="48">
        <v>2067</v>
      </c>
      <c r="G350" s="48">
        <v>21977</v>
      </c>
      <c r="H350" s="48">
        <v>216965.7</v>
      </c>
      <c r="I350" s="48">
        <v>8248.7999999999993</v>
      </c>
      <c r="J350" s="48">
        <v>225214.5</v>
      </c>
      <c r="K350" s="48">
        <v>54548.800000000003</v>
      </c>
      <c r="L350" s="48">
        <v>1492.1</v>
      </c>
      <c r="M350" s="48">
        <v>10827.2</v>
      </c>
      <c r="N350" s="48">
        <v>751.9</v>
      </c>
    </row>
    <row r="351" spans="1:14" ht="10.050000000000001" customHeight="1">
      <c r="A351" s="45" t="s">
        <v>84</v>
      </c>
      <c r="B351" s="46">
        <v>2009</v>
      </c>
      <c r="C351" s="45" t="s">
        <v>116</v>
      </c>
      <c r="D351" s="47">
        <v>10</v>
      </c>
      <c r="E351" s="48">
        <v>9678.4</v>
      </c>
      <c r="F351" s="48">
        <v>983.6</v>
      </c>
      <c r="G351" s="48">
        <v>10662</v>
      </c>
      <c r="H351" s="48">
        <v>165689.60000000001</v>
      </c>
      <c r="I351" s="48">
        <v>3569.4</v>
      </c>
      <c r="J351" s="48">
        <v>169259</v>
      </c>
      <c r="K351" s="48">
        <v>25455.5</v>
      </c>
      <c r="L351" s="48">
        <v>973.7</v>
      </c>
      <c r="M351" s="48">
        <v>5386.6</v>
      </c>
      <c r="N351" s="48">
        <v>81.5</v>
      </c>
    </row>
    <row r="352" spans="1:14" ht="10.050000000000001" customHeight="1">
      <c r="A352" s="45" t="s">
        <v>89</v>
      </c>
      <c r="B352" s="46">
        <v>2009</v>
      </c>
      <c r="C352" s="45" t="s">
        <v>116</v>
      </c>
      <c r="D352" s="47">
        <v>10</v>
      </c>
      <c r="E352" s="48">
        <v>61.5</v>
      </c>
      <c r="F352" s="48">
        <v>0</v>
      </c>
      <c r="G352" s="48">
        <v>61.5</v>
      </c>
      <c r="H352" s="48">
        <v>2917.7</v>
      </c>
      <c r="I352" s="48">
        <v>143.4</v>
      </c>
      <c r="J352" s="48">
        <v>3061.1</v>
      </c>
      <c r="K352" s="48">
        <v>8</v>
      </c>
      <c r="L352" s="48">
        <v>0</v>
      </c>
      <c r="M352" s="48">
        <v>0</v>
      </c>
      <c r="N352" s="48">
        <v>0</v>
      </c>
    </row>
    <row r="353" spans="1:14" ht="10.050000000000001" customHeight="1">
      <c r="A353" s="45" t="s">
        <v>87</v>
      </c>
      <c r="B353" s="46">
        <v>2009</v>
      </c>
      <c r="C353" s="45" t="s">
        <v>116</v>
      </c>
      <c r="D353" s="47">
        <v>10</v>
      </c>
      <c r="E353" s="48">
        <v>9533.1</v>
      </c>
      <c r="F353" s="48">
        <v>3982.1</v>
      </c>
      <c r="G353" s="48">
        <v>13515.2</v>
      </c>
      <c r="H353" s="48">
        <v>183048.6</v>
      </c>
      <c r="I353" s="48">
        <v>10513.6</v>
      </c>
      <c r="J353" s="48">
        <v>193562.2</v>
      </c>
      <c r="K353" s="48">
        <v>50038.1</v>
      </c>
      <c r="L353" s="48">
        <v>1172.4000000000001</v>
      </c>
      <c r="M353" s="48">
        <v>5353.2</v>
      </c>
      <c r="N353" s="48">
        <v>329.9</v>
      </c>
    </row>
    <row r="354" spans="1:14" ht="10.050000000000001" customHeight="1">
      <c r="A354" s="45" t="s">
        <v>84</v>
      </c>
      <c r="B354" s="46">
        <v>2009</v>
      </c>
      <c r="C354" s="45" t="s">
        <v>116</v>
      </c>
      <c r="D354" s="47">
        <v>11</v>
      </c>
      <c r="E354" s="48">
        <v>9118.6</v>
      </c>
      <c r="F354" s="48">
        <v>1773.3</v>
      </c>
      <c r="G354" s="48">
        <v>10891.9</v>
      </c>
      <c r="H354" s="48">
        <v>142464.6</v>
      </c>
      <c r="I354" s="48">
        <v>5293.9</v>
      </c>
      <c r="J354" s="48">
        <v>147758.5</v>
      </c>
      <c r="K354" s="48">
        <v>22910.7</v>
      </c>
      <c r="L354" s="48">
        <v>1405.1</v>
      </c>
      <c r="M354" s="48">
        <v>3914.6</v>
      </c>
      <c r="N354" s="48">
        <v>35.299999999999997</v>
      </c>
    </row>
    <row r="355" spans="1:14" ht="10.050000000000001" customHeight="1">
      <c r="A355" s="45" t="s">
        <v>89</v>
      </c>
      <c r="B355" s="46">
        <v>2009</v>
      </c>
      <c r="C355" s="45" t="s">
        <v>116</v>
      </c>
      <c r="D355" s="47">
        <v>11</v>
      </c>
      <c r="E355" s="48">
        <v>9.8000000000000007</v>
      </c>
      <c r="F355" s="48">
        <v>10.6</v>
      </c>
      <c r="G355" s="48">
        <v>20.399999999999999</v>
      </c>
      <c r="H355" s="48">
        <v>2780.1</v>
      </c>
      <c r="I355" s="48">
        <v>154</v>
      </c>
      <c r="J355" s="48">
        <v>2934.1</v>
      </c>
      <c r="K355" s="48">
        <v>8</v>
      </c>
      <c r="L355" s="48">
        <v>0</v>
      </c>
      <c r="M355" s="48">
        <v>0</v>
      </c>
      <c r="N355" s="48">
        <v>0</v>
      </c>
    </row>
    <row r="356" spans="1:14" ht="10.050000000000001" customHeight="1">
      <c r="A356" s="45" t="s">
        <v>87</v>
      </c>
      <c r="B356" s="46">
        <v>2009</v>
      </c>
      <c r="C356" s="45" t="s">
        <v>116</v>
      </c>
      <c r="D356" s="47">
        <v>11</v>
      </c>
      <c r="E356" s="48">
        <v>11944</v>
      </c>
      <c r="F356" s="48">
        <v>7406</v>
      </c>
      <c r="G356" s="48">
        <v>19350</v>
      </c>
      <c r="H356" s="48">
        <v>163908</v>
      </c>
      <c r="I356" s="48">
        <v>14681.5</v>
      </c>
      <c r="J356" s="48">
        <v>178589.5</v>
      </c>
      <c r="K356" s="48">
        <v>44900.5</v>
      </c>
      <c r="L356" s="48">
        <v>2063.4</v>
      </c>
      <c r="M356" s="48">
        <v>6974.8</v>
      </c>
      <c r="N356" s="48">
        <v>226.2</v>
      </c>
    </row>
    <row r="357" spans="1:14" ht="10.050000000000001" customHeight="1">
      <c r="A357" s="45" t="s">
        <v>84</v>
      </c>
      <c r="B357" s="46">
        <v>2009</v>
      </c>
      <c r="C357" s="45" t="s">
        <v>116</v>
      </c>
      <c r="D357" s="47">
        <v>12</v>
      </c>
      <c r="E357" s="48">
        <v>9114.7999999999993</v>
      </c>
      <c r="F357" s="48">
        <v>3223.9</v>
      </c>
      <c r="G357" s="48">
        <v>12338.7</v>
      </c>
      <c r="H357" s="48">
        <v>138659.20000000001</v>
      </c>
      <c r="I357" s="48">
        <v>6863.9</v>
      </c>
      <c r="J357" s="48">
        <v>145523.1</v>
      </c>
      <c r="K357" s="48">
        <v>20125.599999999999</v>
      </c>
      <c r="L357" s="48">
        <v>907.6</v>
      </c>
      <c r="M357" s="48">
        <v>3118.7</v>
      </c>
      <c r="N357" s="48">
        <v>574</v>
      </c>
    </row>
    <row r="358" spans="1:14" ht="10.050000000000001" customHeight="1">
      <c r="A358" s="45" t="s">
        <v>89</v>
      </c>
      <c r="B358" s="46">
        <v>2009</v>
      </c>
      <c r="C358" s="45" t="s">
        <v>116</v>
      </c>
      <c r="D358" s="47">
        <v>12</v>
      </c>
      <c r="E358" s="48">
        <v>0</v>
      </c>
      <c r="F358" s="48">
        <v>0.6</v>
      </c>
      <c r="G358" s="48">
        <v>0.6</v>
      </c>
      <c r="H358" s="48">
        <v>2709.2</v>
      </c>
      <c r="I358" s="48">
        <v>152.6</v>
      </c>
      <c r="J358" s="48">
        <v>2861.8</v>
      </c>
      <c r="K358" s="48">
        <v>8</v>
      </c>
      <c r="L358" s="48">
        <v>0</v>
      </c>
      <c r="M358" s="48">
        <v>0</v>
      </c>
      <c r="N358" s="48">
        <v>0</v>
      </c>
    </row>
    <row r="359" spans="1:14" ht="10.050000000000001" customHeight="1">
      <c r="A359" s="45" t="s">
        <v>87</v>
      </c>
      <c r="B359" s="46">
        <v>2009</v>
      </c>
      <c r="C359" s="45" t="s">
        <v>116</v>
      </c>
      <c r="D359" s="47">
        <v>12</v>
      </c>
      <c r="E359" s="48">
        <v>14390.9</v>
      </c>
      <c r="F359" s="48">
        <v>3876.2</v>
      </c>
      <c r="G359" s="48">
        <v>18267.099999999999</v>
      </c>
      <c r="H359" s="48">
        <v>147145</v>
      </c>
      <c r="I359" s="48">
        <v>14150.7</v>
      </c>
      <c r="J359" s="48">
        <v>161295.70000000001</v>
      </c>
      <c r="K359" s="48">
        <v>37669.800000000003</v>
      </c>
      <c r="L359" s="48">
        <v>3049.9</v>
      </c>
      <c r="M359" s="48">
        <v>8074.5</v>
      </c>
      <c r="N359" s="48">
        <v>2206.1</v>
      </c>
    </row>
    <row r="360" spans="1:14" ht="10.050000000000001" customHeight="1">
      <c r="A360" s="45" t="s">
        <v>84</v>
      </c>
      <c r="B360" s="46">
        <v>2010</v>
      </c>
      <c r="C360" s="45" t="s">
        <v>116</v>
      </c>
      <c r="D360" s="47">
        <v>1</v>
      </c>
      <c r="E360" s="48">
        <v>9428.9</v>
      </c>
      <c r="F360" s="48">
        <v>536.4</v>
      </c>
      <c r="G360" s="48">
        <v>9965.2999999999993</v>
      </c>
      <c r="H360" s="48">
        <v>126070.8</v>
      </c>
      <c r="I360" s="48">
        <v>4942</v>
      </c>
      <c r="J360" s="48">
        <v>131012.8</v>
      </c>
      <c r="K360" s="48">
        <v>16866.2</v>
      </c>
      <c r="L360" s="48">
        <v>345.5</v>
      </c>
      <c r="M360" s="48">
        <v>3578.6</v>
      </c>
      <c r="N360" s="48">
        <v>26.3</v>
      </c>
    </row>
    <row r="361" spans="1:14" ht="10.050000000000001" customHeight="1">
      <c r="A361" s="45" t="s">
        <v>89</v>
      </c>
      <c r="B361" s="46">
        <v>2010</v>
      </c>
      <c r="C361" s="45" t="s">
        <v>116</v>
      </c>
      <c r="D361" s="47">
        <v>1</v>
      </c>
      <c r="E361" s="48">
        <v>3.9</v>
      </c>
      <c r="F361" s="48">
        <v>92.5</v>
      </c>
      <c r="G361" s="48">
        <v>96.4</v>
      </c>
      <c r="H361" s="48">
        <v>2577.4</v>
      </c>
      <c r="I361" s="48">
        <v>111.2</v>
      </c>
      <c r="J361" s="48">
        <v>2688.6</v>
      </c>
      <c r="K361" s="48">
        <v>8</v>
      </c>
      <c r="L361" s="48">
        <v>0</v>
      </c>
      <c r="M361" s="48">
        <v>0</v>
      </c>
      <c r="N361" s="48">
        <v>0</v>
      </c>
    </row>
    <row r="362" spans="1:14" ht="10.050000000000001" customHeight="1">
      <c r="A362" s="45" t="s">
        <v>87</v>
      </c>
      <c r="B362" s="46">
        <v>2010</v>
      </c>
      <c r="C362" s="45" t="s">
        <v>116</v>
      </c>
      <c r="D362" s="47">
        <v>1</v>
      </c>
      <c r="E362" s="48">
        <v>16638.3</v>
      </c>
      <c r="F362" s="48">
        <v>1228.5999999999999</v>
      </c>
      <c r="G362" s="48">
        <v>17866.900000000001</v>
      </c>
      <c r="H362" s="48">
        <v>134480.20000000001</v>
      </c>
      <c r="I362" s="48">
        <v>10330.200000000001</v>
      </c>
      <c r="J362" s="48">
        <v>144810.4</v>
      </c>
      <c r="K362" s="48">
        <v>27900</v>
      </c>
      <c r="L362" s="48">
        <v>1146</v>
      </c>
      <c r="M362" s="48">
        <v>10641.3</v>
      </c>
      <c r="N362" s="48">
        <v>362.8</v>
      </c>
    </row>
    <row r="363" spans="1:14" ht="10.050000000000001" customHeight="1">
      <c r="A363" s="45" t="s">
        <v>84</v>
      </c>
      <c r="B363" s="46">
        <v>2010</v>
      </c>
      <c r="C363" s="45" t="s">
        <v>116</v>
      </c>
      <c r="D363" s="47">
        <v>2</v>
      </c>
      <c r="E363" s="48">
        <v>18071.599999999999</v>
      </c>
      <c r="F363" s="48">
        <v>860.2</v>
      </c>
      <c r="G363" s="48">
        <v>18931.8</v>
      </c>
      <c r="H363" s="48">
        <v>127870.3</v>
      </c>
      <c r="I363" s="48">
        <v>3738.5</v>
      </c>
      <c r="J363" s="48">
        <v>131608.79999999999</v>
      </c>
      <c r="K363" s="48">
        <v>14240.3</v>
      </c>
      <c r="L363" s="48">
        <v>566.70000000000005</v>
      </c>
      <c r="M363" s="48">
        <v>3122.8</v>
      </c>
      <c r="N363" s="48">
        <v>69.8</v>
      </c>
    </row>
    <row r="364" spans="1:14" ht="10.050000000000001" customHeight="1">
      <c r="A364" s="45" t="s">
        <v>89</v>
      </c>
      <c r="B364" s="46">
        <v>2010</v>
      </c>
      <c r="C364" s="45" t="s">
        <v>116</v>
      </c>
      <c r="D364" s="47">
        <v>2</v>
      </c>
      <c r="E364" s="48">
        <v>6.1</v>
      </c>
      <c r="F364" s="48">
        <v>0</v>
      </c>
      <c r="G364" s="48">
        <v>6.1</v>
      </c>
      <c r="H364" s="48">
        <v>2483.8000000000002</v>
      </c>
      <c r="I364" s="48">
        <v>87</v>
      </c>
      <c r="J364" s="48">
        <v>2570.8000000000002</v>
      </c>
      <c r="K364" s="48">
        <v>1.3</v>
      </c>
      <c r="L364" s="48">
        <v>0</v>
      </c>
      <c r="M364" s="48">
        <v>3.8</v>
      </c>
      <c r="N364" s="48">
        <v>2.9</v>
      </c>
    </row>
    <row r="365" spans="1:14" ht="10.050000000000001" customHeight="1">
      <c r="A365" s="45" t="s">
        <v>87</v>
      </c>
      <c r="B365" s="46">
        <v>2010</v>
      </c>
      <c r="C365" s="45" t="s">
        <v>116</v>
      </c>
      <c r="D365" s="47">
        <v>2</v>
      </c>
      <c r="E365" s="48">
        <v>14515.9</v>
      </c>
      <c r="F365" s="48">
        <v>933.9</v>
      </c>
      <c r="G365" s="48">
        <v>15449.8</v>
      </c>
      <c r="H365" s="48">
        <v>114868</v>
      </c>
      <c r="I365" s="48">
        <v>5947.4</v>
      </c>
      <c r="J365" s="48">
        <v>120815.4</v>
      </c>
      <c r="K365" s="48">
        <v>22337.1</v>
      </c>
      <c r="L365" s="48">
        <v>1610</v>
      </c>
      <c r="M365" s="48">
        <v>7101.4</v>
      </c>
      <c r="N365" s="48">
        <v>71.5</v>
      </c>
    </row>
    <row r="366" spans="1:14" ht="10.050000000000001" customHeight="1">
      <c r="A366" s="45" t="s">
        <v>84</v>
      </c>
      <c r="B366" s="46">
        <v>2010</v>
      </c>
      <c r="C366" s="45" t="s">
        <v>116</v>
      </c>
      <c r="D366" s="47">
        <v>3</v>
      </c>
      <c r="E366" s="48">
        <v>17048.900000000001</v>
      </c>
      <c r="F366" s="48">
        <v>421</v>
      </c>
      <c r="G366" s="48">
        <v>17469.900000000001</v>
      </c>
      <c r="H366" s="48">
        <v>122948.5</v>
      </c>
      <c r="I366" s="48">
        <v>3430.3</v>
      </c>
      <c r="J366" s="48">
        <v>126378.8</v>
      </c>
      <c r="K366" s="48">
        <v>10053.4</v>
      </c>
      <c r="L366" s="48">
        <v>579.9</v>
      </c>
      <c r="M366" s="48">
        <v>4689.6000000000004</v>
      </c>
      <c r="N366" s="48">
        <v>77.2</v>
      </c>
    </row>
    <row r="367" spans="1:14" ht="10.050000000000001" customHeight="1">
      <c r="A367" s="45" t="s">
        <v>89</v>
      </c>
      <c r="B367" s="46">
        <v>2010</v>
      </c>
      <c r="C367" s="45" t="s">
        <v>116</v>
      </c>
      <c r="D367" s="47">
        <v>3</v>
      </c>
      <c r="E367" s="48">
        <v>31.8</v>
      </c>
      <c r="F367" s="48">
        <v>0</v>
      </c>
      <c r="G367" s="48">
        <v>31.8</v>
      </c>
      <c r="H367" s="48">
        <v>2421.1999999999998</v>
      </c>
      <c r="I367" s="48">
        <v>69.599999999999994</v>
      </c>
      <c r="J367" s="48">
        <v>2490.8000000000002</v>
      </c>
      <c r="K367" s="48">
        <v>1.3</v>
      </c>
      <c r="L367" s="48">
        <v>0</v>
      </c>
      <c r="M367" s="48">
        <v>0</v>
      </c>
      <c r="N367" s="48">
        <v>0</v>
      </c>
    </row>
    <row r="368" spans="1:14" ht="10.050000000000001" customHeight="1">
      <c r="A368" s="45" t="s">
        <v>87</v>
      </c>
      <c r="B368" s="46">
        <v>2010</v>
      </c>
      <c r="C368" s="45" t="s">
        <v>116</v>
      </c>
      <c r="D368" s="47">
        <v>3</v>
      </c>
      <c r="E368" s="48">
        <v>21516.1</v>
      </c>
      <c r="F368" s="48">
        <v>1175.3</v>
      </c>
      <c r="G368" s="48">
        <v>22691.4</v>
      </c>
      <c r="H368" s="48">
        <v>96008.2</v>
      </c>
      <c r="I368" s="48">
        <v>4759.8</v>
      </c>
      <c r="J368" s="48">
        <v>100768</v>
      </c>
      <c r="K368" s="48">
        <v>13285.6</v>
      </c>
      <c r="L368" s="48">
        <v>1473.8</v>
      </c>
      <c r="M368" s="48">
        <v>10312.700000000001</v>
      </c>
      <c r="N368" s="48">
        <v>212.6</v>
      </c>
    </row>
    <row r="369" spans="1:14" ht="10.050000000000001" customHeight="1">
      <c r="A369" s="45" t="s">
        <v>84</v>
      </c>
      <c r="B369" s="46">
        <v>2010</v>
      </c>
      <c r="C369" s="45" t="s">
        <v>116</v>
      </c>
      <c r="D369" s="47">
        <v>4</v>
      </c>
      <c r="E369" s="48">
        <v>11053.9</v>
      </c>
      <c r="F369" s="48">
        <v>152.30000000000001</v>
      </c>
      <c r="G369" s="48">
        <v>11206.2</v>
      </c>
      <c r="H369" s="48">
        <v>105885.2</v>
      </c>
      <c r="I369" s="48">
        <v>3164.8</v>
      </c>
      <c r="J369" s="48">
        <v>109050</v>
      </c>
      <c r="K369" s="48">
        <v>7257.5</v>
      </c>
      <c r="L369" s="48">
        <v>719.1</v>
      </c>
      <c r="M369" s="48">
        <v>3450.8</v>
      </c>
      <c r="N369" s="48">
        <v>64.2</v>
      </c>
    </row>
    <row r="370" spans="1:14" ht="10.050000000000001" customHeight="1">
      <c r="A370" s="45" t="s">
        <v>89</v>
      </c>
      <c r="B370" s="46">
        <v>2010</v>
      </c>
      <c r="C370" s="45" t="s">
        <v>116</v>
      </c>
      <c r="D370" s="47">
        <v>4</v>
      </c>
      <c r="E370" s="48">
        <v>0</v>
      </c>
      <c r="F370" s="48">
        <v>0</v>
      </c>
      <c r="G370" s="48">
        <v>0</v>
      </c>
      <c r="H370" s="48">
        <v>2328.1999999999998</v>
      </c>
      <c r="I370" s="48">
        <v>69.8</v>
      </c>
      <c r="J370" s="48">
        <v>2398</v>
      </c>
      <c r="K370" s="48">
        <v>0</v>
      </c>
      <c r="L370" s="48">
        <v>0</v>
      </c>
      <c r="M370" s="48">
        <v>0</v>
      </c>
      <c r="N370" s="48">
        <v>1.3</v>
      </c>
    </row>
    <row r="371" spans="1:14" ht="10.050000000000001" customHeight="1">
      <c r="A371" s="45" t="s">
        <v>87</v>
      </c>
      <c r="B371" s="46">
        <v>2010</v>
      </c>
      <c r="C371" s="45" t="s">
        <v>116</v>
      </c>
      <c r="D371" s="47">
        <v>4</v>
      </c>
      <c r="E371" s="48">
        <v>15017.7</v>
      </c>
      <c r="F371" s="48">
        <v>115.5</v>
      </c>
      <c r="G371" s="48">
        <v>15133.2</v>
      </c>
      <c r="H371" s="48">
        <v>74719.7</v>
      </c>
      <c r="I371" s="48">
        <v>4072.2</v>
      </c>
      <c r="J371" s="48">
        <v>78791.899999999994</v>
      </c>
      <c r="K371" s="48">
        <v>6940.8</v>
      </c>
      <c r="L371" s="48">
        <v>1564.8</v>
      </c>
      <c r="M371" s="48">
        <v>7508.4</v>
      </c>
      <c r="N371" s="48">
        <v>401.2</v>
      </c>
    </row>
    <row r="372" spans="1:14" ht="10.050000000000001" customHeight="1">
      <c r="A372" s="45" t="s">
        <v>84</v>
      </c>
      <c r="B372" s="46">
        <v>2010</v>
      </c>
      <c r="C372" s="45" t="s">
        <v>116</v>
      </c>
      <c r="D372" s="47">
        <v>5</v>
      </c>
      <c r="E372" s="48">
        <v>11751.2</v>
      </c>
      <c r="F372" s="48">
        <v>0</v>
      </c>
      <c r="G372" s="48">
        <v>11751.2</v>
      </c>
      <c r="H372" s="48">
        <v>70387.7</v>
      </c>
      <c r="I372" s="48">
        <v>2354.4</v>
      </c>
      <c r="J372" s="48">
        <v>72742.100000000006</v>
      </c>
      <c r="K372" s="48">
        <v>3087.7</v>
      </c>
      <c r="L372" s="48">
        <v>495.7</v>
      </c>
      <c r="M372" s="48">
        <v>4633.8</v>
      </c>
      <c r="N372" s="48">
        <v>33.299999999999997</v>
      </c>
    </row>
    <row r="373" spans="1:14" ht="10.050000000000001" customHeight="1">
      <c r="A373" s="45" t="s">
        <v>89</v>
      </c>
      <c r="B373" s="46">
        <v>2010</v>
      </c>
      <c r="C373" s="45" t="s">
        <v>116</v>
      </c>
      <c r="D373" s="47">
        <v>5</v>
      </c>
      <c r="E373" s="48">
        <v>0</v>
      </c>
      <c r="F373" s="48">
        <v>0</v>
      </c>
      <c r="G373" s="48">
        <v>0</v>
      </c>
      <c r="H373" s="48">
        <v>2180.4</v>
      </c>
      <c r="I373" s="48">
        <v>69.8</v>
      </c>
      <c r="J373" s="48">
        <v>2250.1999999999998</v>
      </c>
      <c r="K373" s="48">
        <v>0</v>
      </c>
      <c r="L373" s="48">
        <v>0</v>
      </c>
      <c r="M373" s="48">
        <v>0</v>
      </c>
      <c r="N373" s="48">
        <v>0</v>
      </c>
    </row>
    <row r="374" spans="1:14" ht="10.050000000000001" customHeight="1">
      <c r="A374" s="45" t="s">
        <v>87</v>
      </c>
      <c r="B374" s="46">
        <v>2010</v>
      </c>
      <c r="C374" s="45" t="s">
        <v>116</v>
      </c>
      <c r="D374" s="47">
        <v>5</v>
      </c>
      <c r="E374" s="48">
        <v>10180.5</v>
      </c>
      <c r="F374" s="48">
        <v>10.5</v>
      </c>
      <c r="G374" s="48">
        <v>10191</v>
      </c>
      <c r="H374" s="48">
        <v>52051.8</v>
      </c>
      <c r="I374" s="48">
        <v>3351.8</v>
      </c>
      <c r="J374" s="48">
        <v>55403.6</v>
      </c>
      <c r="K374" s="48">
        <v>2901.5</v>
      </c>
      <c r="L374" s="48">
        <v>775.2</v>
      </c>
      <c r="M374" s="48">
        <v>4773.5</v>
      </c>
      <c r="N374" s="48">
        <v>41</v>
      </c>
    </row>
    <row r="375" spans="1:14" ht="10.050000000000001" customHeight="1">
      <c r="A375" s="45" t="s">
        <v>84</v>
      </c>
      <c r="B375" s="46">
        <v>2010</v>
      </c>
      <c r="C375" s="45" t="s">
        <v>116</v>
      </c>
      <c r="D375" s="47">
        <v>6</v>
      </c>
      <c r="E375" s="48">
        <v>6966.8</v>
      </c>
      <c r="F375" s="48">
        <v>7.4</v>
      </c>
      <c r="G375" s="48">
        <v>6974.2</v>
      </c>
      <c r="H375" s="48">
        <v>41026.300000000003</v>
      </c>
      <c r="I375" s="48">
        <v>1336.3</v>
      </c>
      <c r="J375" s="48">
        <v>42362.6</v>
      </c>
      <c r="K375" s="48">
        <v>472.7</v>
      </c>
      <c r="L375" s="48">
        <v>71</v>
      </c>
      <c r="M375" s="48">
        <v>2512.4</v>
      </c>
      <c r="N375" s="48">
        <v>173.6</v>
      </c>
    </row>
    <row r="376" spans="1:14" ht="10.050000000000001" customHeight="1">
      <c r="A376" s="45" t="s">
        <v>89</v>
      </c>
      <c r="B376" s="46">
        <v>2010</v>
      </c>
      <c r="C376" s="45" t="s">
        <v>116</v>
      </c>
      <c r="D376" s="47">
        <v>6</v>
      </c>
      <c r="E376" s="48">
        <v>41.9</v>
      </c>
      <c r="F376" s="48">
        <v>0</v>
      </c>
      <c r="G376" s="48">
        <v>41.9</v>
      </c>
      <c r="H376" s="48">
        <v>2081.6</v>
      </c>
      <c r="I376" s="48">
        <v>21.8</v>
      </c>
      <c r="J376" s="48">
        <v>2103.4</v>
      </c>
      <c r="K376" s="48">
        <v>0</v>
      </c>
      <c r="L376" s="48">
        <v>0</v>
      </c>
      <c r="M376" s="48">
        <v>0</v>
      </c>
      <c r="N376" s="48">
        <v>0</v>
      </c>
    </row>
    <row r="377" spans="1:14" ht="10.050000000000001" customHeight="1">
      <c r="A377" s="45" t="s">
        <v>87</v>
      </c>
      <c r="B377" s="46">
        <v>2010</v>
      </c>
      <c r="C377" s="45" t="s">
        <v>116</v>
      </c>
      <c r="D377" s="47">
        <v>6</v>
      </c>
      <c r="E377" s="48">
        <v>7416</v>
      </c>
      <c r="F377" s="48">
        <v>0</v>
      </c>
      <c r="G377" s="48">
        <v>7416</v>
      </c>
      <c r="H377" s="48">
        <v>30018.5</v>
      </c>
      <c r="I377" s="48">
        <v>1497.7</v>
      </c>
      <c r="J377" s="48">
        <v>31516.2</v>
      </c>
      <c r="K377" s="48">
        <v>366.9</v>
      </c>
      <c r="L377" s="48">
        <v>489.7</v>
      </c>
      <c r="M377" s="48">
        <v>2931.7</v>
      </c>
      <c r="N377" s="48">
        <v>116.5</v>
      </c>
    </row>
    <row r="378" spans="1:14" ht="10.050000000000001" customHeight="1">
      <c r="A378" s="45" t="s">
        <v>84</v>
      </c>
      <c r="B378" s="46">
        <v>2010</v>
      </c>
      <c r="C378" s="45" t="s">
        <v>117</v>
      </c>
      <c r="D378" s="47">
        <v>7</v>
      </c>
      <c r="E378" s="48">
        <v>15816.5</v>
      </c>
      <c r="F378" s="48">
        <v>279.39999999999998</v>
      </c>
      <c r="G378" s="48">
        <v>16095.9</v>
      </c>
      <c r="H378" s="48">
        <v>38534.400000000001</v>
      </c>
      <c r="I378" s="48">
        <v>1411.3</v>
      </c>
      <c r="J378" s="48">
        <v>39945.699999999997</v>
      </c>
      <c r="K378" s="48">
        <v>3568.8</v>
      </c>
      <c r="L378" s="48">
        <v>3260.9</v>
      </c>
      <c r="M378" s="48">
        <v>161.1</v>
      </c>
      <c r="N378" s="48">
        <v>3.7</v>
      </c>
    </row>
    <row r="379" spans="1:14" ht="10.050000000000001" customHeight="1">
      <c r="A379" s="45" t="s">
        <v>89</v>
      </c>
      <c r="B379" s="46">
        <v>2010</v>
      </c>
      <c r="C379" s="45" t="s">
        <v>117</v>
      </c>
      <c r="D379" s="47">
        <v>7</v>
      </c>
      <c r="E379" s="48">
        <v>1179.8</v>
      </c>
      <c r="F379" s="48">
        <v>0</v>
      </c>
      <c r="G379" s="48">
        <v>1179.8</v>
      </c>
      <c r="H379" s="48">
        <v>2526.5</v>
      </c>
      <c r="I379" s="48">
        <v>21.8</v>
      </c>
      <c r="J379" s="48">
        <v>2548.3000000000002</v>
      </c>
      <c r="K379" s="48">
        <v>0</v>
      </c>
      <c r="L379" s="48">
        <v>0</v>
      </c>
      <c r="M379" s="48">
        <v>0</v>
      </c>
      <c r="N379" s="48">
        <v>0</v>
      </c>
    </row>
    <row r="380" spans="1:14" ht="10.050000000000001" customHeight="1">
      <c r="A380" s="45" t="s">
        <v>87</v>
      </c>
      <c r="B380" s="46">
        <v>2010</v>
      </c>
      <c r="C380" s="45" t="s">
        <v>117</v>
      </c>
      <c r="D380" s="47">
        <v>7</v>
      </c>
      <c r="E380" s="48">
        <v>467626</v>
      </c>
      <c r="F380" s="48">
        <v>9822.2000000000007</v>
      </c>
      <c r="G380" s="48">
        <v>477448.2</v>
      </c>
      <c r="H380" s="48">
        <v>449088.6</v>
      </c>
      <c r="I380" s="48">
        <v>10210.5</v>
      </c>
      <c r="J380" s="48">
        <v>459299.1</v>
      </c>
      <c r="K380" s="48">
        <v>139895.29999999999</v>
      </c>
      <c r="L380" s="48">
        <v>155454.70000000001</v>
      </c>
      <c r="M380" s="48">
        <v>15665.6</v>
      </c>
      <c r="N380" s="48">
        <v>236.8</v>
      </c>
    </row>
    <row r="381" spans="1:14" ht="10.050000000000001" customHeight="1">
      <c r="A381" s="45" t="s">
        <v>84</v>
      </c>
      <c r="B381" s="46">
        <v>2010</v>
      </c>
      <c r="C381" s="45" t="s">
        <v>117</v>
      </c>
      <c r="D381" s="47">
        <v>8</v>
      </c>
      <c r="E381" s="48">
        <v>169394.8</v>
      </c>
      <c r="F381" s="48">
        <v>840.9</v>
      </c>
      <c r="G381" s="48">
        <v>170235.7</v>
      </c>
      <c r="H381" s="48">
        <v>158324.29999999999</v>
      </c>
      <c r="I381" s="48">
        <v>2249.3000000000002</v>
      </c>
      <c r="J381" s="48">
        <v>160573.6</v>
      </c>
      <c r="K381" s="48">
        <v>35116</v>
      </c>
      <c r="L381" s="48">
        <v>34106.1</v>
      </c>
      <c r="M381" s="48">
        <v>2476.9</v>
      </c>
      <c r="N381" s="48">
        <v>82</v>
      </c>
    </row>
    <row r="382" spans="1:14" ht="10.050000000000001" customHeight="1">
      <c r="A382" s="45" t="s">
        <v>89</v>
      </c>
      <c r="B382" s="46">
        <v>2010</v>
      </c>
      <c r="C382" s="45" t="s">
        <v>117</v>
      </c>
      <c r="D382" s="47">
        <v>8</v>
      </c>
      <c r="E382" s="48">
        <v>4843.8999999999996</v>
      </c>
      <c r="F382" s="48">
        <v>88.8</v>
      </c>
      <c r="G382" s="48">
        <v>4932.7</v>
      </c>
      <c r="H382" s="48">
        <v>7217.4</v>
      </c>
      <c r="I382" s="48">
        <v>110.5</v>
      </c>
      <c r="J382" s="48">
        <v>7327.9</v>
      </c>
      <c r="K382" s="48">
        <v>92.1</v>
      </c>
      <c r="L382" s="48">
        <v>92.1</v>
      </c>
      <c r="M382" s="48">
        <v>0</v>
      </c>
      <c r="N382" s="48">
        <v>0</v>
      </c>
    </row>
    <row r="383" spans="1:14" ht="10.050000000000001" customHeight="1">
      <c r="A383" s="45" t="s">
        <v>87</v>
      </c>
      <c r="B383" s="46">
        <v>2010</v>
      </c>
      <c r="C383" s="45" t="s">
        <v>117</v>
      </c>
      <c r="D383" s="47">
        <v>8</v>
      </c>
      <c r="E383" s="48">
        <v>103847.9</v>
      </c>
      <c r="F383" s="48">
        <v>1828.7</v>
      </c>
      <c r="G383" s="48">
        <v>105676.6</v>
      </c>
      <c r="H383" s="48">
        <v>440458.8</v>
      </c>
      <c r="I383" s="48">
        <v>11142.1</v>
      </c>
      <c r="J383" s="48">
        <v>451600.9</v>
      </c>
      <c r="K383" s="48">
        <v>132255.4</v>
      </c>
      <c r="L383" s="48">
        <v>36378.400000000001</v>
      </c>
      <c r="M383" s="48">
        <v>43655.5</v>
      </c>
      <c r="N383" s="48">
        <v>362.8</v>
      </c>
    </row>
    <row r="384" spans="1:14" ht="10.050000000000001" customHeight="1">
      <c r="A384" s="45" t="s">
        <v>84</v>
      </c>
      <c r="B384" s="46">
        <v>2010</v>
      </c>
      <c r="C384" s="45" t="s">
        <v>117</v>
      </c>
      <c r="D384" s="47">
        <v>9</v>
      </c>
      <c r="E384" s="48">
        <v>103759.9</v>
      </c>
      <c r="F384" s="48">
        <v>885.6</v>
      </c>
      <c r="G384" s="48">
        <v>104645.5</v>
      </c>
      <c r="H384" s="48">
        <v>208017.7</v>
      </c>
      <c r="I384" s="48">
        <v>2516.4</v>
      </c>
      <c r="J384" s="48">
        <v>210534.1</v>
      </c>
      <c r="K384" s="48">
        <v>45254.9</v>
      </c>
      <c r="L384" s="48">
        <v>27100.2</v>
      </c>
      <c r="M384" s="48">
        <v>16790.7</v>
      </c>
      <c r="N384" s="48">
        <v>170.6</v>
      </c>
    </row>
    <row r="385" spans="1:14" ht="10.050000000000001" customHeight="1">
      <c r="A385" s="45" t="s">
        <v>89</v>
      </c>
      <c r="B385" s="46">
        <v>2010</v>
      </c>
      <c r="C385" s="45" t="s">
        <v>117</v>
      </c>
      <c r="D385" s="47">
        <v>9</v>
      </c>
      <c r="E385" s="48">
        <v>1040.5999999999999</v>
      </c>
      <c r="F385" s="48">
        <v>317.39999999999998</v>
      </c>
      <c r="G385" s="48">
        <v>1358</v>
      </c>
      <c r="H385" s="48">
        <v>8195.7000000000007</v>
      </c>
      <c r="I385" s="48">
        <v>362.3</v>
      </c>
      <c r="J385" s="48">
        <v>8558</v>
      </c>
      <c r="K385" s="48">
        <v>181.5</v>
      </c>
      <c r="L385" s="48">
        <v>91.2</v>
      </c>
      <c r="M385" s="48">
        <v>0</v>
      </c>
      <c r="N385" s="48">
        <v>1.8</v>
      </c>
    </row>
    <row r="386" spans="1:14" ht="10.050000000000001" customHeight="1">
      <c r="A386" s="45" t="s">
        <v>87</v>
      </c>
      <c r="B386" s="46">
        <v>2010</v>
      </c>
      <c r="C386" s="45" t="s">
        <v>117</v>
      </c>
      <c r="D386" s="47">
        <v>9</v>
      </c>
      <c r="E386" s="48">
        <v>56785.7</v>
      </c>
      <c r="F386" s="48">
        <v>2425.4</v>
      </c>
      <c r="G386" s="48">
        <v>59211.1</v>
      </c>
      <c r="H386" s="48">
        <v>406012.1</v>
      </c>
      <c r="I386" s="48">
        <v>12662.7</v>
      </c>
      <c r="J386" s="48">
        <v>418674.8</v>
      </c>
      <c r="K386" s="48">
        <v>94748.4</v>
      </c>
      <c r="L386" s="48">
        <v>5217.2</v>
      </c>
      <c r="M386" s="48">
        <v>41703.4</v>
      </c>
      <c r="N386" s="48">
        <v>1020.8</v>
      </c>
    </row>
    <row r="387" spans="1:14" ht="10.050000000000001" customHeight="1">
      <c r="A387" s="45" t="s">
        <v>84</v>
      </c>
      <c r="B387" s="46">
        <v>2010</v>
      </c>
      <c r="C387" s="45" t="s">
        <v>117</v>
      </c>
      <c r="D387" s="47">
        <v>10</v>
      </c>
      <c r="E387" s="48">
        <v>15258.5</v>
      </c>
      <c r="F387" s="48">
        <v>596.5</v>
      </c>
      <c r="G387" s="48">
        <v>15855</v>
      </c>
      <c r="H387" s="48">
        <v>192899.1</v>
      </c>
      <c r="I387" s="48">
        <v>2939.3</v>
      </c>
      <c r="J387" s="48">
        <v>195838.4</v>
      </c>
      <c r="K387" s="48">
        <v>38628.1</v>
      </c>
      <c r="L387" s="48">
        <v>3659.7</v>
      </c>
      <c r="M387" s="48">
        <v>10139.200000000001</v>
      </c>
      <c r="N387" s="48">
        <v>147.30000000000001</v>
      </c>
    </row>
    <row r="388" spans="1:14" ht="10.050000000000001" customHeight="1">
      <c r="A388" s="45" t="s">
        <v>89</v>
      </c>
      <c r="B388" s="46">
        <v>2010</v>
      </c>
      <c r="C388" s="45" t="s">
        <v>117</v>
      </c>
      <c r="D388" s="47">
        <v>10</v>
      </c>
      <c r="E388" s="48">
        <v>157.5</v>
      </c>
      <c r="F388" s="48">
        <v>73.5</v>
      </c>
      <c r="G388" s="48">
        <v>231</v>
      </c>
      <c r="H388" s="48">
        <v>7982.3</v>
      </c>
      <c r="I388" s="48">
        <v>430.6</v>
      </c>
      <c r="J388" s="48">
        <v>8412.9</v>
      </c>
      <c r="K388" s="48">
        <v>88.1</v>
      </c>
      <c r="L388" s="48">
        <v>34.6</v>
      </c>
      <c r="M388" s="48">
        <v>0</v>
      </c>
      <c r="N388" s="48">
        <v>128</v>
      </c>
    </row>
    <row r="389" spans="1:14" ht="10.050000000000001" customHeight="1">
      <c r="A389" s="45" t="s">
        <v>87</v>
      </c>
      <c r="B389" s="46">
        <v>2010</v>
      </c>
      <c r="C389" s="45" t="s">
        <v>117</v>
      </c>
      <c r="D389" s="47">
        <v>10</v>
      </c>
      <c r="E389" s="48">
        <v>27280.5</v>
      </c>
      <c r="F389" s="48">
        <v>4076.1</v>
      </c>
      <c r="G389" s="48">
        <v>31356.6</v>
      </c>
      <c r="H389" s="48">
        <v>368568.8</v>
      </c>
      <c r="I389" s="48">
        <v>15001.9</v>
      </c>
      <c r="J389" s="48">
        <v>383570.7</v>
      </c>
      <c r="K389" s="48">
        <v>76748.600000000006</v>
      </c>
      <c r="L389" s="48">
        <v>1610.5</v>
      </c>
      <c r="M389" s="48">
        <v>19007.3</v>
      </c>
      <c r="N389" s="48">
        <v>603</v>
      </c>
    </row>
    <row r="390" spans="1:14" ht="10.050000000000001" customHeight="1">
      <c r="A390" s="45" t="s">
        <v>84</v>
      </c>
      <c r="B390" s="46">
        <v>2010</v>
      </c>
      <c r="C390" s="45" t="s">
        <v>117</v>
      </c>
      <c r="D390" s="47">
        <v>11</v>
      </c>
      <c r="E390" s="48">
        <v>15614.4</v>
      </c>
      <c r="F390" s="48">
        <v>1307.5</v>
      </c>
      <c r="G390" s="48">
        <v>16921.900000000001</v>
      </c>
      <c r="H390" s="48">
        <v>176563.1</v>
      </c>
      <c r="I390" s="48">
        <v>3791.6</v>
      </c>
      <c r="J390" s="48">
        <v>180354.7</v>
      </c>
      <c r="K390" s="48">
        <v>31114.799999999999</v>
      </c>
      <c r="L390" s="48">
        <v>1773.4</v>
      </c>
      <c r="M390" s="48">
        <v>8642.5</v>
      </c>
      <c r="N390" s="48">
        <v>150</v>
      </c>
    </row>
    <row r="391" spans="1:14" ht="10.050000000000001" customHeight="1">
      <c r="A391" s="45" t="s">
        <v>89</v>
      </c>
      <c r="B391" s="46">
        <v>2010</v>
      </c>
      <c r="C391" s="45" t="s">
        <v>117</v>
      </c>
      <c r="D391" s="47">
        <v>11</v>
      </c>
      <c r="E391" s="48">
        <v>29.7</v>
      </c>
      <c r="F391" s="48">
        <v>33.5</v>
      </c>
      <c r="G391" s="48">
        <v>63.2</v>
      </c>
      <c r="H391" s="48">
        <v>7613.2</v>
      </c>
      <c r="I391" s="48">
        <v>464.1</v>
      </c>
      <c r="J391" s="48">
        <v>8077.3</v>
      </c>
      <c r="K391" s="48">
        <v>90</v>
      </c>
      <c r="L391" s="48">
        <v>26.6</v>
      </c>
      <c r="M391" s="48">
        <v>10.199999999999999</v>
      </c>
      <c r="N391" s="48">
        <v>14.5</v>
      </c>
    </row>
    <row r="392" spans="1:14" ht="10.050000000000001" customHeight="1">
      <c r="A392" s="45" t="s">
        <v>87</v>
      </c>
      <c r="B392" s="46">
        <v>2010</v>
      </c>
      <c r="C392" s="45" t="s">
        <v>117</v>
      </c>
      <c r="D392" s="47">
        <v>11</v>
      </c>
      <c r="E392" s="48">
        <v>36610.300000000003</v>
      </c>
      <c r="F392" s="48">
        <v>6445.1</v>
      </c>
      <c r="G392" s="48">
        <v>43055.4</v>
      </c>
      <c r="H392" s="48">
        <v>336027.7</v>
      </c>
      <c r="I392" s="48">
        <v>18333.8</v>
      </c>
      <c r="J392" s="48">
        <v>354361.5</v>
      </c>
      <c r="K392" s="48">
        <v>56558.8</v>
      </c>
      <c r="L392" s="48">
        <v>4284.8</v>
      </c>
      <c r="M392" s="48">
        <v>23763.4</v>
      </c>
      <c r="N392" s="48">
        <v>507.2</v>
      </c>
    </row>
    <row r="393" spans="1:14" ht="10.050000000000001" customHeight="1">
      <c r="A393" s="45" t="s">
        <v>84</v>
      </c>
      <c r="B393" s="46">
        <v>2010</v>
      </c>
      <c r="C393" s="45" t="s">
        <v>117</v>
      </c>
      <c r="D393" s="47">
        <v>12</v>
      </c>
      <c r="E393" s="48">
        <v>11821.7</v>
      </c>
      <c r="F393" s="48">
        <v>1251.9000000000001</v>
      </c>
      <c r="G393" s="48">
        <v>13073.6</v>
      </c>
      <c r="H393" s="48">
        <v>154348.20000000001</v>
      </c>
      <c r="I393" s="48">
        <v>4418.5</v>
      </c>
      <c r="J393" s="48">
        <v>158766.70000000001</v>
      </c>
      <c r="K393" s="48">
        <v>26648.400000000001</v>
      </c>
      <c r="L393" s="48">
        <v>1818.2</v>
      </c>
      <c r="M393" s="48">
        <v>6544.7</v>
      </c>
      <c r="N393" s="48">
        <v>117.7</v>
      </c>
    </row>
    <row r="394" spans="1:14" ht="10.050000000000001" customHeight="1">
      <c r="A394" s="45" t="s">
        <v>89</v>
      </c>
      <c r="B394" s="46">
        <v>2010</v>
      </c>
      <c r="C394" s="45" t="s">
        <v>117</v>
      </c>
      <c r="D394" s="47">
        <v>12</v>
      </c>
      <c r="E394" s="48">
        <v>0</v>
      </c>
      <c r="F394" s="48">
        <v>35</v>
      </c>
      <c r="G394" s="48">
        <v>35</v>
      </c>
      <c r="H394" s="48">
        <v>7379.2</v>
      </c>
      <c r="I394" s="48">
        <v>499.1</v>
      </c>
      <c r="J394" s="48">
        <v>7878.3</v>
      </c>
      <c r="K394" s="48">
        <v>113.1</v>
      </c>
      <c r="L394" s="48">
        <v>26.9</v>
      </c>
      <c r="M394" s="48">
        <v>0</v>
      </c>
      <c r="N394" s="48">
        <v>3.8</v>
      </c>
    </row>
    <row r="395" spans="1:14" ht="10.050000000000001" customHeight="1">
      <c r="A395" s="45" t="s">
        <v>87</v>
      </c>
      <c r="B395" s="46">
        <v>2010</v>
      </c>
      <c r="C395" s="45" t="s">
        <v>117</v>
      </c>
      <c r="D395" s="47">
        <v>12</v>
      </c>
      <c r="E395" s="48">
        <v>24016.6</v>
      </c>
      <c r="F395" s="48">
        <v>5444.1</v>
      </c>
      <c r="G395" s="48">
        <v>29460.7</v>
      </c>
      <c r="H395" s="48">
        <v>298143.3</v>
      </c>
      <c r="I395" s="48">
        <v>19964.7</v>
      </c>
      <c r="J395" s="48">
        <v>318108</v>
      </c>
      <c r="K395" s="48">
        <v>47897.1</v>
      </c>
      <c r="L395" s="48">
        <v>2942.5</v>
      </c>
      <c r="M395" s="48">
        <v>11480.2</v>
      </c>
      <c r="N395" s="48">
        <v>328</v>
      </c>
    </row>
    <row r="396" spans="1:14" ht="10.050000000000001" customHeight="1">
      <c r="A396" s="45" t="s">
        <v>84</v>
      </c>
      <c r="B396" s="46">
        <v>2011</v>
      </c>
      <c r="C396" s="45" t="s">
        <v>117</v>
      </c>
      <c r="D396" s="47">
        <v>1</v>
      </c>
      <c r="E396" s="48">
        <v>11996.2</v>
      </c>
      <c r="F396" s="48">
        <v>1262.9000000000001</v>
      </c>
      <c r="G396" s="48">
        <v>13259.1</v>
      </c>
      <c r="H396" s="48">
        <v>134726.1</v>
      </c>
      <c r="I396" s="48">
        <v>4473.6000000000004</v>
      </c>
      <c r="J396" s="48">
        <v>139199.70000000001</v>
      </c>
      <c r="K396" s="48">
        <v>22864.400000000001</v>
      </c>
      <c r="L396" s="48">
        <v>1692.1</v>
      </c>
      <c r="M396" s="48">
        <v>5335.3</v>
      </c>
      <c r="N396" s="48">
        <v>150.80000000000001</v>
      </c>
    </row>
    <row r="397" spans="1:14" ht="10.050000000000001" customHeight="1">
      <c r="A397" s="45" t="s">
        <v>89</v>
      </c>
      <c r="B397" s="46">
        <v>2011</v>
      </c>
      <c r="C397" s="45" t="s">
        <v>117</v>
      </c>
      <c r="D397" s="47">
        <v>1</v>
      </c>
      <c r="E397" s="48">
        <v>125</v>
      </c>
      <c r="F397" s="48">
        <v>0</v>
      </c>
      <c r="G397" s="48">
        <v>125</v>
      </c>
      <c r="H397" s="48">
        <v>7174.9</v>
      </c>
      <c r="I397" s="48">
        <v>432.8</v>
      </c>
      <c r="J397" s="48">
        <v>7607.7</v>
      </c>
      <c r="K397" s="48">
        <v>57.3</v>
      </c>
      <c r="L397" s="48">
        <v>0</v>
      </c>
      <c r="M397" s="48">
        <v>53.5</v>
      </c>
      <c r="N397" s="48">
        <v>2.2999999999999998</v>
      </c>
    </row>
    <row r="398" spans="1:14" ht="10.050000000000001" customHeight="1">
      <c r="A398" s="45" t="s">
        <v>87</v>
      </c>
      <c r="B398" s="46">
        <v>2011</v>
      </c>
      <c r="C398" s="45" t="s">
        <v>117</v>
      </c>
      <c r="D398" s="47">
        <v>1</v>
      </c>
      <c r="E398" s="48">
        <v>28839.3</v>
      </c>
      <c r="F398" s="48">
        <v>4647.3999999999996</v>
      </c>
      <c r="G398" s="48">
        <v>33486.699999999997</v>
      </c>
      <c r="H398" s="48">
        <v>262958.40000000002</v>
      </c>
      <c r="I398" s="48">
        <v>18482.099999999999</v>
      </c>
      <c r="J398" s="48">
        <v>281440.5</v>
      </c>
      <c r="K398" s="48">
        <v>38096</v>
      </c>
      <c r="L398" s="48">
        <v>3555.6</v>
      </c>
      <c r="M398" s="48">
        <v>12902.9</v>
      </c>
      <c r="N398" s="48">
        <v>392.4</v>
      </c>
    </row>
    <row r="399" spans="1:14" ht="10.050000000000001" customHeight="1">
      <c r="A399" s="45" t="s">
        <v>84</v>
      </c>
      <c r="B399" s="46">
        <v>2011</v>
      </c>
      <c r="C399" s="45" t="s">
        <v>117</v>
      </c>
      <c r="D399" s="47">
        <v>2</v>
      </c>
      <c r="E399" s="48">
        <v>13102</v>
      </c>
      <c r="F399" s="48">
        <v>1358.1</v>
      </c>
      <c r="G399" s="48">
        <v>14460.1</v>
      </c>
      <c r="H399" s="48">
        <v>128115.4</v>
      </c>
      <c r="I399" s="48">
        <v>3577.3</v>
      </c>
      <c r="J399" s="48">
        <v>131692.70000000001</v>
      </c>
      <c r="K399" s="48">
        <v>18628.599999999999</v>
      </c>
      <c r="L399" s="48">
        <v>2039.4</v>
      </c>
      <c r="M399" s="48">
        <v>6002.5</v>
      </c>
      <c r="N399" s="48">
        <v>312.7</v>
      </c>
    </row>
    <row r="400" spans="1:14" ht="10.050000000000001" customHeight="1">
      <c r="A400" s="45" t="s">
        <v>89</v>
      </c>
      <c r="B400" s="46">
        <v>2011</v>
      </c>
      <c r="C400" s="45" t="s">
        <v>117</v>
      </c>
      <c r="D400" s="47">
        <v>2</v>
      </c>
      <c r="E400" s="48">
        <v>16.399999999999999</v>
      </c>
      <c r="F400" s="48">
        <v>31.1</v>
      </c>
      <c r="G400" s="48">
        <v>47.5</v>
      </c>
      <c r="H400" s="48">
        <v>6892.5</v>
      </c>
      <c r="I400" s="48">
        <v>431.7</v>
      </c>
      <c r="J400" s="48">
        <v>7324.2</v>
      </c>
      <c r="K400" s="48">
        <v>50.2</v>
      </c>
      <c r="L400" s="48">
        <v>0</v>
      </c>
      <c r="M400" s="48">
        <v>0</v>
      </c>
      <c r="N400" s="48">
        <v>7.1</v>
      </c>
    </row>
    <row r="401" spans="1:14" ht="10.050000000000001" customHeight="1">
      <c r="A401" s="45" t="s">
        <v>87</v>
      </c>
      <c r="B401" s="46">
        <v>2011</v>
      </c>
      <c r="C401" s="45" t="s">
        <v>117</v>
      </c>
      <c r="D401" s="47">
        <v>2</v>
      </c>
      <c r="E401" s="48">
        <v>25002.9</v>
      </c>
      <c r="F401" s="48">
        <v>3518.7</v>
      </c>
      <c r="G401" s="48">
        <v>28521.599999999999</v>
      </c>
      <c r="H401" s="48">
        <v>238728.9</v>
      </c>
      <c r="I401" s="48">
        <v>15831.2</v>
      </c>
      <c r="J401" s="48">
        <v>254560.1</v>
      </c>
      <c r="K401" s="48">
        <v>31171.4</v>
      </c>
      <c r="L401" s="48">
        <v>4240.8999999999996</v>
      </c>
      <c r="M401" s="48">
        <v>10791.3</v>
      </c>
      <c r="N401" s="48">
        <v>374.2</v>
      </c>
    </row>
    <row r="402" spans="1:14" ht="10.050000000000001" customHeight="1">
      <c r="A402" s="45" t="s">
        <v>84</v>
      </c>
      <c r="B402" s="46">
        <v>2011</v>
      </c>
      <c r="C402" s="45" t="s">
        <v>117</v>
      </c>
      <c r="D402" s="47">
        <v>3</v>
      </c>
      <c r="E402" s="48">
        <v>13086.5</v>
      </c>
      <c r="F402" s="48">
        <v>283.60000000000002</v>
      </c>
      <c r="G402" s="48">
        <v>13370.1</v>
      </c>
      <c r="H402" s="48">
        <v>113906.9</v>
      </c>
      <c r="I402" s="48">
        <v>3317.7</v>
      </c>
      <c r="J402" s="48">
        <v>117224.6</v>
      </c>
      <c r="K402" s="48">
        <v>12374.9</v>
      </c>
      <c r="L402" s="48">
        <v>1598.2</v>
      </c>
      <c r="M402" s="48">
        <v>7816.5</v>
      </c>
      <c r="N402" s="48">
        <v>53.2</v>
      </c>
    </row>
    <row r="403" spans="1:14" ht="10.050000000000001" customHeight="1">
      <c r="A403" s="45" t="s">
        <v>89</v>
      </c>
      <c r="B403" s="46">
        <v>2011</v>
      </c>
      <c r="C403" s="45" t="s">
        <v>117</v>
      </c>
      <c r="D403" s="47">
        <v>3</v>
      </c>
      <c r="E403" s="48">
        <v>49.2</v>
      </c>
      <c r="F403" s="48">
        <v>0</v>
      </c>
      <c r="G403" s="48">
        <v>49.2</v>
      </c>
      <c r="H403" s="48">
        <v>6503</v>
      </c>
      <c r="I403" s="48">
        <v>400.4</v>
      </c>
      <c r="J403" s="48">
        <v>6903.4</v>
      </c>
      <c r="K403" s="48">
        <v>45.2</v>
      </c>
      <c r="L403" s="48">
        <v>0</v>
      </c>
      <c r="M403" s="48">
        <v>0</v>
      </c>
      <c r="N403" s="48">
        <v>5</v>
      </c>
    </row>
    <row r="404" spans="1:14" ht="10.050000000000001" customHeight="1">
      <c r="A404" s="45" t="s">
        <v>87</v>
      </c>
      <c r="B404" s="46">
        <v>2011</v>
      </c>
      <c r="C404" s="45" t="s">
        <v>117</v>
      </c>
      <c r="D404" s="47">
        <v>3</v>
      </c>
      <c r="E404" s="48">
        <v>26429</v>
      </c>
      <c r="F404" s="48">
        <v>4720.8999999999996</v>
      </c>
      <c r="G404" s="48">
        <v>31149.9</v>
      </c>
      <c r="H404" s="48">
        <v>204872.3</v>
      </c>
      <c r="I404" s="48">
        <v>12835.5</v>
      </c>
      <c r="J404" s="48">
        <v>217707.8</v>
      </c>
      <c r="K404" s="48">
        <v>21368.799999999999</v>
      </c>
      <c r="L404" s="48">
        <v>3921.6</v>
      </c>
      <c r="M404" s="48">
        <v>13451.4</v>
      </c>
      <c r="N404" s="48">
        <v>272.8</v>
      </c>
    </row>
    <row r="405" spans="1:14" ht="10.050000000000001" customHeight="1">
      <c r="A405" s="45" t="s">
        <v>84</v>
      </c>
      <c r="B405" s="46">
        <v>2011</v>
      </c>
      <c r="C405" s="45" t="s">
        <v>117</v>
      </c>
      <c r="D405" s="47">
        <v>4</v>
      </c>
      <c r="E405" s="48">
        <v>11809.1</v>
      </c>
      <c r="F405" s="48">
        <v>199.6</v>
      </c>
      <c r="G405" s="48">
        <v>12008.7</v>
      </c>
      <c r="H405" s="48">
        <v>93719.3</v>
      </c>
      <c r="I405" s="48">
        <v>2575.1</v>
      </c>
      <c r="J405" s="48">
        <v>96294.399999999994</v>
      </c>
      <c r="K405" s="48">
        <v>7496.2</v>
      </c>
      <c r="L405" s="48">
        <v>1229.5</v>
      </c>
      <c r="M405" s="48">
        <v>6066.8</v>
      </c>
      <c r="N405" s="48">
        <v>38.200000000000003</v>
      </c>
    </row>
    <row r="406" spans="1:14" ht="10.050000000000001" customHeight="1">
      <c r="A406" s="45" t="s">
        <v>89</v>
      </c>
      <c r="B406" s="46">
        <v>2011</v>
      </c>
      <c r="C406" s="45" t="s">
        <v>117</v>
      </c>
      <c r="D406" s="47">
        <v>4</v>
      </c>
      <c r="E406" s="48">
        <v>24.2</v>
      </c>
      <c r="F406" s="48">
        <v>0</v>
      </c>
      <c r="G406" s="48">
        <v>24.2</v>
      </c>
      <c r="H406" s="48">
        <v>6308.5</v>
      </c>
      <c r="I406" s="48">
        <v>399.2</v>
      </c>
      <c r="J406" s="48">
        <v>6707.7</v>
      </c>
      <c r="K406" s="48">
        <v>41.8</v>
      </c>
      <c r="L406" s="48">
        <v>0</v>
      </c>
      <c r="M406" s="48">
        <v>0</v>
      </c>
      <c r="N406" s="48">
        <v>6.6</v>
      </c>
    </row>
    <row r="407" spans="1:14" ht="10.050000000000001" customHeight="1">
      <c r="A407" s="45" t="s">
        <v>87</v>
      </c>
      <c r="B407" s="46">
        <v>2011</v>
      </c>
      <c r="C407" s="45" t="s">
        <v>117</v>
      </c>
      <c r="D407" s="47">
        <v>4</v>
      </c>
      <c r="E407" s="48">
        <v>20937.099999999999</v>
      </c>
      <c r="F407" s="48">
        <v>1338.8</v>
      </c>
      <c r="G407" s="48">
        <v>22275.9</v>
      </c>
      <c r="H407" s="48">
        <v>172668.4</v>
      </c>
      <c r="I407" s="48">
        <v>9362.9000000000106</v>
      </c>
      <c r="J407" s="48">
        <v>182031.3</v>
      </c>
      <c r="K407" s="48">
        <v>11438.4</v>
      </c>
      <c r="L407" s="48">
        <v>2270.4</v>
      </c>
      <c r="M407" s="48">
        <v>11867.8</v>
      </c>
      <c r="N407" s="48">
        <v>333</v>
      </c>
    </row>
    <row r="408" spans="1:14" ht="10.050000000000001" customHeight="1">
      <c r="A408" s="45" t="s">
        <v>84</v>
      </c>
      <c r="B408" s="46">
        <v>2011</v>
      </c>
      <c r="C408" s="45" t="s">
        <v>117</v>
      </c>
      <c r="D408" s="47">
        <v>5</v>
      </c>
      <c r="E408" s="48">
        <v>9946</v>
      </c>
      <c r="F408" s="48">
        <v>3.1</v>
      </c>
      <c r="G408" s="48">
        <v>9949.1</v>
      </c>
      <c r="H408" s="48">
        <v>66659.3</v>
      </c>
      <c r="I408" s="48">
        <v>2420.8000000000002</v>
      </c>
      <c r="J408" s="48">
        <v>69080.100000000006</v>
      </c>
      <c r="K408" s="48">
        <v>1493.9</v>
      </c>
      <c r="L408" s="48">
        <v>287.7</v>
      </c>
      <c r="M408" s="48">
        <v>6200.8</v>
      </c>
      <c r="N408" s="48">
        <v>89.2</v>
      </c>
    </row>
    <row r="409" spans="1:14" ht="10.050000000000001" customHeight="1">
      <c r="A409" s="45" t="s">
        <v>89</v>
      </c>
      <c r="B409" s="46">
        <v>2011</v>
      </c>
      <c r="C409" s="45" t="s">
        <v>117</v>
      </c>
      <c r="D409" s="47">
        <v>5</v>
      </c>
      <c r="E409" s="48">
        <v>10.4</v>
      </c>
      <c r="F409" s="48">
        <v>0</v>
      </c>
      <c r="G409" s="48">
        <v>10.4</v>
      </c>
      <c r="H409" s="48">
        <v>6033.2</v>
      </c>
      <c r="I409" s="48">
        <v>367.2</v>
      </c>
      <c r="J409" s="48">
        <v>6400.4</v>
      </c>
      <c r="K409" s="48">
        <v>39.1</v>
      </c>
      <c r="L409" s="48">
        <v>0</v>
      </c>
      <c r="M409" s="48">
        <v>0</v>
      </c>
      <c r="N409" s="48">
        <v>2.7</v>
      </c>
    </row>
    <row r="410" spans="1:14" ht="10.050000000000001" customHeight="1">
      <c r="A410" s="45" t="s">
        <v>87</v>
      </c>
      <c r="B410" s="46">
        <v>2011</v>
      </c>
      <c r="C410" s="45" t="s">
        <v>117</v>
      </c>
      <c r="D410" s="47">
        <v>5</v>
      </c>
      <c r="E410" s="48">
        <v>17452.3</v>
      </c>
      <c r="F410" s="48">
        <v>308.10000000000002</v>
      </c>
      <c r="G410" s="48">
        <v>17760.400000000001</v>
      </c>
      <c r="H410" s="48">
        <v>130411.2</v>
      </c>
      <c r="I410" s="48">
        <v>7934.1</v>
      </c>
      <c r="J410" s="48">
        <v>138345.29999999999</v>
      </c>
      <c r="K410" s="48">
        <v>4765.5</v>
      </c>
      <c r="L410" s="48">
        <v>1843.8</v>
      </c>
      <c r="M410" s="48">
        <v>8322.9</v>
      </c>
      <c r="N410" s="48">
        <v>193.8</v>
      </c>
    </row>
    <row r="411" spans="1:14" ht="10.050000000000001" customHeight="1">
      <c r="A411" s="45" t="s">
        <v>84</v>
      </c>
      <c r="B411" s="46">
        <v>2011</v>
      </c>
      <c r="C411" s="45" t="s">
        <v>117</v>
      </c>
      <c r="D411" s="47">
        <v>6</v>
      </c>
      <c r="E411" s="48">
        <v>3335.5</v>
      </c>
      <c r="F411" s="48">
        <v>957.4</v>
      </c>
      <c r="G411" s="48">
        <v>4292.8999999999996</v>
      </c>
      <c r="H411" s="48">
        <v>42753.3</v>
      </c>
      <c r="I411" s="48">
        <v>2175.6999999999998</v>
      </c>
      <c r="J411" s="48">
        <v>44929</v>
      </c>
      <c r="K411" s="48">
        <v>230</v>
      </c>
      <c r="L411" s="48">
        <v>-0.6</v>
      </c>
      <c r="M411" s="48">
        <v>1190.5999999999999</v>
      </c>
      <c r="N411" s="48">
        <v>72.7</v>
      </c>
    </row>
    <row r="412" spans="1:14" ht="10.050000000000001" customHeight="1">
      <c r="A412" s="45" t="s">
        <v>89</v>
      </c>
      <c r="B412" s="46">
        <v>2011</v>
      </c>
      <c r="C412" s="45" t="s">
        <v>117</v>
      </c>
      <c r="D412" s="47">
        <v>6</v>
      </c>
      <c r="E412" s="48">
        <v>3.7</v>
      </c>
      <c r="F412" s="48">
        <v>0</v>
      </c>
      <c r="G412" s="48">
        <v>3.7</v>
      </c>
      <c r="H412" s="48">
        <v>4232.7</v>
      </c>
      <c r="I412" s="48">
        <v>304.8</v>
      </c>
      <c r="J412" s="48">
        <v>4537.5</v>
      </c>
      <c r="K412" s="48">
        <v>30.6</v>
      </c>
      <c r="L412" s="48">
        <v>0</v>
      </c>
      <c r="M412" s="48">
        <v>4.5999999999999996</v>
      </c>
      <c r="N412" s="48">
        <v>3.9</v>
      </c>
    </row>
    <row r="413" spans="1:14" ht="10.050000000000001" customHeight="1">
      <c r="A413" s="45" t="s">
        <v>87</v>
      </c>
      <c r="B413" s="46">
        <v>2011</v>
      </c>
      <c r="C413" s="45" t="s">
        <v>117</v>
      </c>
      <c r="D413" s="47">
        <v>6</v>
      </c>
      <c r="E413" s="48">
        <v>11391.3</v>
      </c>
      <c r="F413" s="48">
        <v>920.3</v>
      </c>
      <c r="G413" s="48">
        <v>12311.6</v>
      </c>
      <c r="H413" s="48">
        <v>69778.899999999994</v>
      </c>
      <c r="I413" s="48">
        <v>6109.5</v>
      </c>
      <c r="J413" s="48">
        <v>75888.399999999994</v>
      </c>
      <c r="K413" s="48">
        <v>2931.9</v>
      </c>
      <c r="L413" s="48">
        <v>2251.3000000000002</v>
      </c>
      <c r="M413" s="48">
        <v>3780.5</v>
      </c>
      <c r="N413" s="48">
        <v>304.39999999999998</v>
      </c>
    </row>
    <row r="414" spans="1:14" ht="10.050000000000001" customHeight="1">
      <c r="A414" s="45" t="s">
        <v>84</v>
      </c>
      <c r="B414" s="46">
        <v>2011</v>
      </c>
      <c r="C414" s="45" t="s">
        <v>118</v>
      </c>
      <c r="D414" s="47">
        <v>4</v>
      </c>
      <c r="E414" s="48">
        <v>0</v>
      </c>
      <c r="F414" s="48">
        <v>0</v>
      </c>
      <c r="G414" s="48">
        <v>0</v>
      </c>
      <c r="H414" s="48">
        <v>32.6</v>
      </c>
      <c r="I414" s="48">
        <v>0</v>
      </c>
      <c r="J414" s="48">
        <v>32.6</v>
      </c>
      <c r="K414" s="48">
        <v>0</v>
      </c>
      <c r="L414" s="48">
        <v>0</v>
      </c>
      <c r="M414" s="48">
        <v>0</v>
      </c>
      <c r="N414" s="48">
        <v>0</v>
      </c>
    </row>
    <row r="415" spans="1:14" ht="10.050000000000001" customHeight="1">
      <c r="A415" s="45" t="s">
        <v>87</v>
      </c>
      <c r="B415" s="46">
        <v>2011</v>
      </c>
      <c r="C415" s="45" t="s">
        <v>118</v>
      </c>
      <c r="D415" s="47">
        <v>4</v>
      </c>
      <c r="E415" s="48">
        <v>0</v>
      </c>
      <c r="F415" s="48">
        <v>0</v>
      </c>
      <c r="G415" s="48">
        <v>0</v>
      </c>
      <c r="H415" s="48">
        <v>24.7</v>
      </c>
      <c r="I415" s="48">
        <v>0</v>
      </c>
      <c r="J415" s="48">
        <v>24.7</v>
      </c>
      <c r="K415" s="48">
        <v>0</v>
      </c>
      <c r="L415" s="48">
        <v>0</v>
      </c>
      <c r="M415" s="48">
        <v>0</v>
      </c>
      <c r="N415" s="48">
        <v>0</v>
      </c>
    </row>
    <row r="416" spans="1:14" ht="10.050000000000001" customHeight="1">
      <c r="A416" s="45" t="s">
        <v>84</v>
      </c>
      <c r="B416" s="46">
        <v>2011</v>
      </c>
      <c r="C416" s="45" t="s">
        <v>118</v>
      </c>
      <c r="D416" s="47">
        <v>7</v>
      </c>
      <c r="E416" s="48">
        <v>5914.9</v>
      </c>
      <c r="F416" s="48">
        <v>737.7</v>
      </c>
      <c r="G416" s="48">
        <v>6652.6</v>
      </c>
      <c r="H416" s="48">
        <v>41094.699999999997</v>
      </c>
      <c r="I416" s="48">
        <v>2143.5</v>
      </c>
      <c r="J416" s="48">
        <v>43238.2</v>
      </c>
      <c r="K416" s="48">
        <v>1606.1</v>
      </c>
      <c r="L416" s="48">
        <v>1556.4</v>
      </c>
      <c r="M416" s="48">
        <v>122.7</v>
      </c>
      <c r="N416" s="48">
        <v>57.6</v>
      </c>
    </row>
    <row r="417" spans="1:14" ht="10.050000000000001" customHeight="1">
      <c r="A417" s="45" t="s">
        <v>89</v>
      </c>
      <c r="B417" s="46">
        <v>2011</v>
      </c>
      <c r="C417" s="45" t="s">
        <v>118</v>
      </c>
      <c r="D417" s="47">
        <v>7</v>
      </c>
      <c r="E417" s="48">
        <v>1523.2</v>
      </c>
      <c r="F417" s="48">
        <v>0</v>
      </c>
      <c r="G417" s="48">
        <v>1523.2</v>
      </c>
      <c r="H417" s="48">
        <v>5504.6</v>
      </c>
      <c r="I417" s="48">
        <v>304.8</v>
      </c>
      <c r="J417" s="48">
        <v>5809.4</v>
      </c>
      <c r="K417" s="48">
        <v>26.9</v>
      </c>
      <c r="L417" s="48">
        <v>0</v>
      </c>
      <c r="M417" s="48">
        <v>0</v>
      </c>
      <c r="N417" s="48">
        <v>3.7</v>
      </c>
    </row>
    <row r="418" spans="1:14" ht="10.050000000000001" customHeight="1">
      <c r="A418" s="45" t="s">
        <v>87</v>
      </c>
      <c r="B418" s="46">
        <v>2011</v>
      </c>
      <c r="C418" s="45" t="s">
        <v>118</v>
      </c>
      <c r="D418" s="47">
        <v>7</v>
      </c>
      <c r="E418" s="48">
        <v>231016.6</v>
      </c>
      <c r="F418" s="48">
        <v>7959.3</v>
      </c>
      <c r="G418" s="48">
        <v>238975.9</v>
      </c>
      <c r="H418" s="48">
        <v>267883.8</v>
      </c>
      <c r="I418" s="48">
        <v>10971.8</v>
      </c>
      <c r="J418" s="48">
        <v>278855.59999999998</v>
      </c>
      <c r="K418" s="48">
        <v>113428.7</v>
      </c>
      <c r="L418" s="48">
        <v>130633.8</v>
      </c>
      <c r="M418" s="48">
        <v>19705.900000000001</v>
      </c>
      <c r="N418" s="48">
        <v>431.3</v>
      </c>
    </row>
    <row r="419" spans="1:14" ht="10.050000000000001" customHeight="1">
      <c r="A419" s="45" t="s">
        <v>84</v>
      </c>
      <c r="B419" s="46">
        <v>2011</v>
      </c>
      <c r="C419" s="45" t="s">
        <v>118</v>
      </c>
      <c r="D419" s="47">
        <v>8</v>
      </c>
      <c r="E419" s="48">
        <v>134301.79999999999</v>
      </c>
      <c r="F419" s="48">
        <v>297.2</v>
      </c>
      <c r="G419" s="48">
        <v>134599</v>
      </c>
      <c r="H419" s="48">
        <v>149617.70000000001</v>
      </c>
      <c r="I419" s="48">
        <v>2415.1999999999998</v>
      </c>
      <c r="J419" s="48">
        <v>152032.9</v>
      </c>
      <c r="K419" s="48">
        <v>29203.3</v>
      </c>
      <c r="L419" s="48">
        <v>30924.2</v>
      </c>
      <c r="M419" s="48">
        <v>3310.8</v>
      </c>
      <c r="N419" s="48">
        <v>16.100000000000001</v>
      </c>
    </row>
    <row r="420" spans="1:14" ht="10.050000000000001" customHeight="1">
      <c r="A420" s="45" t="s">
        <v>89</v>
      </c>
      <c r="B420" s="46">
        <v>2011</v>
      </c>
      <c r="C420" s="45" t="s">
        <v>118</v>
      </c>
      <c r="D420" s="47">
        <v>8</v>
      </c>
      <c r="E420" s="48">
        <v>842.3</v>
      </c>
      <c r="F420" s="48">
        <v>27.1</v>
      </c>
      <c r="G420" s="48">
        <v>869.4</v>
      </c>
      <c r="H420" s="48">
        <v>5989</v>
      </c>
      <c r="I420" s="48">
        <v>331.9</v>
      </c>
      <c r="J420" s="48">
        <v>6320.9</v>
      </c>
      <c r="K420" s="48">
        <v>25.8</v>
      </c>
      <c r="L420" s="48">
        <v>2.8</v>
      </c>
      <c r="M420" s="48">
        <v>0</v>
      </c>
      <c r="N420" s="48">
        <v>3.9</v>
      </c>
    </row>
    <row r="421" spans="1:14" ht="10.050000000000001" customHeight="1">
      <c r="A421" s="45" t="s">
        <v>87</v>
      </c>
      <c r="B421" s="46">
        <v>2011</v>
      </c>
      <c r="C421" s="45" t="s">
        <v>118</v>
      </c>
      <c r="D421" s="47">
        <v>8</v>
      </c>
      <c r="E421" s="48">
        <v>72647.7</v>
      </c>
      <c r="F421" s="48">
        <v>1095</v>
      </c>
      <c r="G421" s="48">
        <v>73742.7</v>
      </c>
      <c r="H421" s="48">
        <v>284731.2</v>
      </c>
      <c r="I421" s="48">
        <v>11110.5</v>
      </c>
      <c r="J421" s="48">
        <v>295841.7</v>
      </c>
      <c r="K421" s="48">
        <v>99378.4</v>
      </c>
      <c r="L421" s="48">
        <v>21486.799999999999</v>
      </c>
      <c r="M421" s="48">
        <v>34883.1</v>
      </c>
      <c r="N421" s="48">
        <v>653.70000000000005</v>
      </c>
    </row>
    <row r="422" spans="1:14" ht="10.050000000000001" customHeight="1">
      <c r="A422" s="45" t="s">
        <v>84</v>
      </c>
      <c r="B422" s="46">
        <v>2011</v>
      </c>
      <c r="C422" s="45" t="s">
        <v>118</v>
      </c>
      <c r="D422" s="47">
        <v>9</v>
      </c>
      <c r="E422" s="48">
        <v>48974.400000000001</v>
      </c>
      <c r="F422" s="48">
        <v>40.1</v>
      </c>
      <c r="G422" s="48">
        <v>49014.5</v>
      </c>
      <c r="H422" s="48">
        <v>162637.1</v>
      </c>
      <c r="I422" s="48">
        <v>2366.3000000000002</v>
      </c>
      <c r="J422" s="48">
        <v>165003.4</v>
      </c>
      <c r="K422" s="48">
        <v>31723.3</v>
      </c>
      <c r="L422" s="48">
        <v>19310.7</v>
      </c>
      <c r="M422" s="48">
        <v>16668.2</v>
      </c>
      <c r="N422" s="48">
        <v>192.1</v>
      </c>
    </row>
    <row r="423" spans="1:14" ht="10.050000000000001" customHeight="1">
      <c r="A423" s="45" t="s">
        <v>89</v>
      </c>
      <c r="B423" s="46">
        <v>2011</v>
      </c>
      <c r="C423" s="45" t="s">
        <v>118</v>
      </c>
      <c r="D423" s="47">
        <v>9</v>
      </c>
      <c r="E423" s="48">
        <v>332.7</v>
      </c>
      <c r="F423" s="48">
        <v>49.8</v>
      </c>
      <c r="G423" s="48">
        <v>382.5</v>
      </c>
      <c r="H423" s="48">
        <v>6012.6</v>
      </c>
      <c r="I423" s="48">
        <v>330.1</v>
      </c>
      <c r="J423" s="48">
        <v>6342.7</v>
      </c>
      <c r="K423" s="48">
        <v>19.600000000000001</v>
      </c>
      <c r="L423" s="48">
        <v>0</v>
      </c>
      <c r="M423" s="48">
        <v>0</v>
      </c>
      <c r="N423" s="48">
        <v>6.2</v>
      </c>
    </row>
    <row r="424" spans="1:14" ht="10.050000000000001" customHeight="1">
      <c r="A424" s="45" t="s">
        <v>87</v>
      </c>
      <c r="B424" s="46">
        <v>2011</v>
      </c>
      <c r="C424" s="45" t="s">
        <v>118</v>
      </c>
      <c r="D424" s="47">
        <v>9</v>
      </c>
      <c r="E424" s="48">
        <v>38720.9</v>
      </c>
      <c r="F424" s="48">
        <v>1643.7</v>
      </c>
      <c r="G424" s="48">
        <v>40364.6</v>
      </c>
      <c r="H424" s="48">
        <v>255168.3</v>
      </c>
      <c r="I424" s="48">
        <v>11598.2</v>
      </c>
      <c r="J424" s="48">
        <v>266766.5</v>
      </c>
      <c r="K424" s="48">
        <v>73402.399999999994</v>
      </c>
      <c r="L424" s="48">
        <v>2558.4</v>
      </c>
      <c r="M424" s="48">
        <v>27976</v>
      </c>
      <c r="N424" s="48">
        <v>559.5</v>
      </c>
    </row>
    <row r="425" spans="1:14" ht="10.050000000000001" customHeight="1">
      <c r="A425" s="45" t="s">
        <v>84</v>
      </c>
      <c r="B425" s="46">
        <v>2011</v>
      </c>
      <c r="C425" s="45" t="s">
        <v>118</v>
      </c>
      <c r="D425" s="47">
        <v>10</v>
      </c>
      <c r="E425" s="48">
        <v>8828.3000000000102</v>
      </c>
      <c r="F425" s="48">
        <v>546.79999999999995</v>
      </c>
      <c r="G425" s="48">
        <v>9375.1000000000095</v>
      </c>
      <c r="H425" s="48">
        <v>138029.20000000001</v>
      </c>
      <c r="I425" s="48">
        <v>2597.9</v>
      </c>
      <c r="J425" s="48">
        <v>140627.1</v>
      </c>
      <c r="K425" s="48">
        <v>26831.1</v>
      </c>
      <c r="L425" s="48">
        <v>1380</v>
      </c>
      <c r="M425" s="48">
        <v>5986</v>
      </c>
      <c r="N425" s="48">
        <v>183.1</v>
      </c>
    </row>
    <row r="426" spans="1:14" ht="10.050000000000001" customHeight="1">
      <c r="A426" s="45" t="s">
        <v>89</v>
      </c>
      <c r="B426" s="46">
        <v>2011</v>
      </c>
      <c r="C426" s="45" t="s">
        <v>118</v>
      </c>
      <c r="D426" s="47">
        <v>10</v>
      </c>
      <c r="E426" s="48">
        <v>6</v>
      </c>
      <c r="F426" s="48">
        <v>0</v>
      </c>
      <c r="G426" s="48">
        <v>6</v>
      </c>
      <c r="H426" s="48">
        <v>5633.3</v>
      </c>
      <c r="I426" s="48">
        <v>329.3</v>
      </c>
      <c r="J426" s="48">
        <v>5962.6</v>
      </c>
      <c r="K426" s="48">
        <v>17.5</v>
      </c>
      <c r="L426" s="48">
        <v>0</v>
      </c>
      <c r="M426" s="48">
        <v>0</v>
      </c>
      <c r="N426" s="48">
        <v>2.1</v>
      </c>
    </row>
    <row r="427" spans="1:14" ht="10.050000000000001" customHeight="1">
      <c r="A427" s="45" t="s">
        <v>87</v>
      </c>
      <c r="B427" s="46">
        <v>2011</v>
      </c>
      <c r="C427" s="45" t="s">
        <v>118</v>
      </c>
      <c r="D427" s="47">
        <v>10</v>
      </c>
      <c r="E427" s="48">
        <v>15363.6</v>
      </c>
      <c r="F427" s="48">
        <v>1702.8</v>
      </c>
      <c r="G427" s="48">
        <v>17066.400000000001</v>
      </c>
      <c r="H427" s="48">
        <v>233117.7</v>
      </c>
      <c r="I427" s="48">
        <v>12090.7</v>
      </c>
      <c r="J427" s="48">
        <v>245208.4</v>
      </c>
      <c r="K427" s="48">
        <v>63875</v>
      </c>
      <c r="L427" s="48">
        <v>1873.4</v>
      </c>
      <c r="M427" s="48">
        <v>10829.1</v>
      </c>
      <c r="N427" s="48">
        <v>605.79999999999995</v>
      </c>
    </row>
    <row r="428" spans="1:14" ht="10.050000000000001" customHeight="1">
      <c r="A428" s="45" t="s">
        <v>84</v>
      </c>
      <c r="B428" s="46">
        <v>2011</v>
      </c>
      <c r="C428" s="45" t="s">
        <v>118</v>
      </c>
      <c r="D428" s="47">
        <v>11</v>
      </c>
      <c r="E428" s="48">
        <v>7910.6</v>
      </c>
      <c r="F428" s="48">
        <v>2157.8000000000002</v>
      </c>
      <c r="G428" s="48">
        <v>10068.4</v>
      </c>
      <c r="H428" s="48">
        <v>135602.5</v>
      </c>
      <c r="I428" s="48">
        <v>3996.7</v>
      </c>
      <c r="J428" s="48">
        <v>139599.20000000001</v>
      </c>
      <c r="K428" s="48">
        <v>23982.3</v>
      </c>
      <c r="L428" s="48">
        <v>1415.8</v>
      </c>
      <c r="M428" s="48">
        <v>3991.4</v>
      </c>
      <c r="N428" s="48">
        <v>273.10000000000002</v>
      </c>
    </row>
    <row r="429" spans="1:14" ht="10.050000000000001" customHeight="1">
      <c r="A429" s="45" t="s">
        <v>89</v>
      </c>
      <c r="B429" s="46">
        <v>2011</v>
      </c>
      <c r="C429" s="45" t="s">
        <v>118</v>
      </c>
      <c r="D429" s="47">
        <v>11</v>
      </c>
      <c r="E429" s="48">
        <v>34.200000000000003</v>
      </c>
      <c r="F429" s="48">
        <v>114.8</v>
      </c>
      <c r="G429" s="48">
        <v>149</v>
      </c>
      <c r="H429" s="48">
        <v>5240.1000000000004</v>
      </c>
      <c r="I429" s="48">
        <v>444.1</v>
      </c>
      <c r="J429" s="48">
        <v>5684.2</v>
      </c>
      <c r="K429" s="48">
        <v>16.399999999999999</v>
      </c>
      <c r="L429" s="48">
        <v>0</v>
      </c>
      <c r="M429" s="48">
        <v>0</v>
      </c>
      <c r="N429" s="48">
        <v>1.1000000000000001</v>
      </c>
    </row>
    <row r="430" spans="1:14" ht="10.050000000000001" customHeight="1">
      <c r="A430" s="45" t="s">
        <v>87</v>
      </c>
      <c r="B430" s="46">
        <v>2011</v>
      </c>
      <c r="C430" s="45" t="s">
        <v>118</v>
      </c>
      <c r="D430" s="47">
        <v>11</v>
      </c>
      <c r="E430" s="48">
        <v>19660.900000000001</v>
      </c>
      <c r="F430" s="48">
        <v>3726.3</v>
      </c>
      <c r="G430" s="48">
        <v>23387.200000000001</v>
      </c>
      <c r="H430" s="48">
        <v>224140</v>
      </c>
      <c r="I430" s="48">
        <v>14603</v>
      </c>
      <c r="J430" s="48">
        <v>238743</v>
      </c>
      <c r="K430" s="48">
        <v>54651.6</v>
      </c>
      <c r="L430" s="48">
        <v>3047.3</v>
      </c>
      <c r="M430" s="48">
        <v>11794.9</v>
      </c>
      <c r="N430" s="48">
        <v>475.6</v>
      </c>
    </row>
    <row r="431" spans="1:14" ht="10.050000000000001" customHeight="1">
      <c r="A431" s="45" t="s">
        <v>84</v>
      </c>
      <c r="B431" s="46">
        <v>2011</v>
      </c>
      <c r="C431" s="45" t="s">
        <v>118</v>
      </c>
      <c r="D431" s="47">
        <v>12</v>
      </c>
      <c r="E431" s="48">
        <v>6799.1</v>
      </c>
      <c r="F431" s="48">
        <v>1179.4000000000001</v>
      </c>
      <c r="G431" s="48">
        <v>7978.5</v>
      </c>
      <c r="H431" s="48">
        <v>134781.6</v>
      </c>
      <c r="I431" s="48">
        <v>4887.3999999999996</v>
      </c>
      <c r="J431" s="48">
        <v>139669</v>
      </c>
      <c r="K431" s="48">
        <v>21885.5</v>
      </c>
      <c r="L431" s="48">
        <v>948.5</v>
      </c>
      <c r="M431" s="48">
        <v>3010.8</v>
      </c>
      <c r="N431" s="48">
        <v>34.5</v>
      </c>
    </row>
    <row r="432" spans="1:14" ht="10.050000000000001" customHeight="1">
      <c r="A432" s="45" t="s">
        <v>89</v>
      </c>
      <c r="B432" s="46">
        <v>2011</v>
      </c>
      <c r="C432" s="45" t="s">
        <v>118</v>
      </c>
      <c r="D432" s="47">
        <v>12</v>
      </c>
      <c r="E432" s="48">
        <v>72.099999999999994</v>
      </c>
      <c r="F432" s="48">
        <v>0</v>
      </c>
      <c r="G432" s="48">
        <v>72.099999999999994</v>
      </c>
      <c r="H432" s="48">
        <v>4919.6000000000004</v>
      </c>
      <c r="I432" s="48">
        <v>424.1</v>
      </c>
      <c r="J432" s="48">
        <v>5343.7</v>
      </c>
      <c r="K432" s="48">
        <v>16.399999999999999</v>
      </c>
      <c r="L432" s="48">
        <v>0</v>
      </c>
      <c r="M432" s="48">
        <v>0</v>
      </c>
      <c r="N432" s="48">
        <v>0</v>
      </c>
    </row>
    <row r="433" spans="1:14" ht="10.050000000000001" customHeight="1">
      <c r="A433" s="45" t="s">
        <v>87</v>
      </c>
      <c r="B433" s="46">
        <v>2011</v>
      </c>
      <c r="C433" s="45" t="s">
        <v>118</v>
      </c>
      <c r="D433" s="47">
        <v>12</v>
      </c>
      <c r="E433" s="48">
        <v>14791.4</v>
      </c>
      <c r="F433" s="48">
        <v>3232.4</v>
      </c>
      <c r="G433" s="48">
        <v>18023.8</v>
      </c>
      <c r="H433" s="48">
        <v>197009.9</v>
      </c>
      <c r="I433" s="48">
        <v>15804.3</v>
      </c>
      <c r="J433" s="48">
        <v>212814.2</v>
      </c>
      <c r="K433" s="48">
        <v>49536.9</v>
      </c>
      <c r="L433" s="48">
        <v>3436</v>
      </c>
      <c r="M433" s="48">
        <v>8367.1</v>
      </c>
      <c r="N433" s="48">
        <v>183.8</v>
      </c>
    </row>
    <row r="434" spans="1:14" ht="10.050000000000001" customHeight="1">
      <c r="A434" s="45" t="s">
        <v>84</v>
      </c>
      <c r="B434" s="46">
        <v>2012</v>
      </c>
      <c r="C434" s="45" t="s">
        <v>118</v>
      </c>
      <c r="D434" s="47">
        <v>1</v>
      </c>
      <c r="E434" s="48">
        <v>12352.9</v>
      </c>
      <c r="F434" s="48">
        <v>1041.4000000000001</v>
      </c>
      <c r="G434" s="48">
        <v>13394.3</v>
      </c>
      <c r="H434" s="48">
        <v>121528.5</v>
      </c>
      <c r="I434" s="48">
        <v>4848.8</v>
      </c>
      <c r="J434" s="48">
        <v>126377.3</v>
      </c>
      <c r="K434" s="48">
        <v>16791.5</v>
      </c>
      <c r="L434" s="48">
        <v>702.9</v>
      </c>
      <c r="M434" s="48">
        <v>5362.4</v>
      </c>
      <c r="N434" s="48">
        <v>434.4</v>
      </c>
    </row>
    <row r="435" spans="1:14" ht="10.050000000000001" customHeight="1">
      <c r="A435" s="45" t="s">
        <v>89</v>
      </c>
      <c r="B435" s="46">
        <v>2012</v>
      </c>
      <c r="C435" s="45" t="s">
        <v>118</v>
      </c>
      <c r="D435" s="47">
        <v>1</v>
      </c>
      <c r="E435" s="48">
        <v>0</v>
      </c>
      <c r="F435" s="48">
        <v>0</v>
      </c>
      <c r="G435" s="48">
        <v>0</v>
      </c>
      <c r="H435" s="48">
        <v>4515.7</v>
      </c>
      <c r="I435" s="48">
        <v>421.8</v>
      </c>
      <c r="J435" s="48">
        <v>4937.5</v>
      </c>
      <c r="K435" s="48">
        <v>16.3</v>
      </c>
      <c r="L435" s="48">
        <v>0</v>
      </c>
      <c r="M435" s="48">
        <v>0</v>
      </c>
      <c r="N435" s="48">
        <v>0.1</v>
      </c>
    </row>
    <row r="436" spans="1:14" ht="10.050000000000001" customHeight="1">
      <c r="A436" s="45" t="s">
        <v>87</v>
      </c>
      <c r="B436" s="46">
        <v>2012</v>
      </c>
      <c r="C436" s="45" t="s">
        <v>118</v>
      </c>
      <c r="D436" s="47">
        <v>1</v>
      </c>
      <c r="E436" s="48">
        <v>21985</v>
      </c>
      <c r="F436" s="48">
        <v>2673.3</v>
      </c>
      <c r="G436" s="48">
        <v>24658.3</v>
      </c>
      <c r="H436" s="48">
        <v>187827</v>
      </c>
      <c r="I436" s="48">
        <v>15890.4</v>
      </c>
      <c r="J436" s="48">
        <v>203717.4</v>
      </c>
      <c r="K436" s="48">
        <v>38553.1</v>
      </c>
      <c r="L436" s="48">
        <v>2234.1999999999998</v>
      </c>
      <c r="M436" s="48">
        <v>13041.8</v>
      </c>
      <c r="N436" s="48">
        <v>176.9</v>
      </c>
    </row>
    <row r="437" spans="1:14" ht="10.050000000000001" customHeight="1">
      <c r="A437" s="45" t="s">
        <v>84</v>
      </c>
      <c r="B437" s="46">
        <v>2012</v>
      </c>
      <c r="C437" s="45" t="s">
        <v>118</v>
      </c>
      <c r="D437" s="47">
        <v>2</v>
      </c>
      <c r="E437" s="48">
        <v>9290.7999999999993</v>
      </c>
      <c r="F437" s="48">
        <v>336.1</v>
      </c>
      <c r="G437" s="48">
        <v>9626.9000000000106</v>
      </c>
      <c r="H437" s="48">
        <v>112012.1</v>
      </c>
      <c r="I437" s="48">
        <v>4387.8</v>
      </c>
      <c r="J437" s="48">
        <v>116399.9</v>
      </c>
      <c r="K437" s="48">
        <v>12637.4</v>
      </c>
      <c r="L437" s="48">
        <v>1171.5999999999999</v>
      </c>
      <c r="M437" s="48">
        <v>5167.6000000000004</v>
      </c>
      <c r="N437" s="48">
        <v>158.30000000000001</v>
      </c>
    </row>
    <row r="438" spans="1:14" ht="10.050000000000001" customHeight="1">
      <c r="A438" s="45" t="s">
        <v>89</v>
      </c>
      <c r="B438" s="46">
        <v>2012</v>
      </c>
      <c r="C438" s="45" t="s">
        <v>118</v>
      </c>
      <c r="D438" s="47">
        <v>2</v>
      </c>
      <c r="E438" s="48">
        <v>3.1</v>
      </c>
      <c r="F438" s="48">
        <v>0</v>
      </c>
      <c r="G438" s="48">
        <v>3.1</v>
      </c>
      <c r="H438" s="48">
        <v>3976.2</v>
      </c>
      <c r="I438" s="48">
        <v>336.1</v>
      </c>
      <c r="J438" s="48">
        <v>4312.3</v>
      </c>
      <c r="K438" s="48">
        <v>0</v>
      </c>
      <c r="L438" s="48">
        <v>0</v>
      </c>
      <c r="M438" s="48">
        <v>0</v>
      </c>
      <c r="N438" s="48">
        <v>16.3</v>
      </c>
    </row>
    <row r="439" spans="1:14" ht="10.050000000000001" customHeight="1">
      <c r="A439" s="45" t="s">
        <v>87</v>
      </c>
      <c r="B439" s="46">
        <v>2012</v>
      </c>
      <c r="C439" s="45" t="s">
        <v>118</v>
      </c>
      <c r="D439" s="47">
        <v>2</v>
      </c>
      <c r="E439" s="48">
        <v>15548.7</v>
      </c>
      <c r="F439" s="48">
        <v>1264</v>
      </c>
      <c r="G439" s="48">
        <v>16812.7</v>
      </c>
      <c r="H439" s="48">
        <v>172328.5</v>
      </c>
      <c r="I439" s="48">
        <v>14180.9</v>
      </c>
      <c r="J439" s="48">
        <v>186509.4</v>
      </c>
      <c r="K439" s="48">
        <v>30305.8</v>
      </c>
      <c r="L439" s="48">
        <v>1990.5</v>
      </c>
      <c r="M439" s="48">
        <v>10000.200000000001</v>
      </c>
      <c r="N439" s="48">
        <v>237.4</v>
      </c>
    </row>
    <row r="440" spans="1:14" ht="10.050000000000001" customHeight="1">
      <c r="A440" s="45" t="s">
        <v>84</v>
      </c>
      <c r="B440" s="46">
        <v>2012</v>
      </c>
      <c r="C440" s="45" t="s">
        <v>118</v>
      </c>
      <c r="D440" s="47">
        <v>3</v>
      </c>
      <c r="E440" s="48">
        <v>10219.5</v>
      </c>
      <c r="F440" s="48">
        <v>51.4</v>
      </c>
      <c r="G440" s="48">
        <v>10270.9</v>
      </c>
      <c r="H440" s="48">
        <v>102454.9</v>
      </c>
      <c r="I440" s="48">
        <v>3538.1</v>
      </c>
      <c r="J440" s="48">
        <v>105993</v>
      </c>
      <c r="K440" s="48">
        <v>7089.3</v>
      </c>
      <c r="L440" s="48">
        <v>661.1</v>
      </c>
      <c r="M440" s="48">
        <v>6122.9</v>
      </c>
      <c r="N440" s="48">
        <v>86.2</v>
      </c>
    </row>
    <row r="441" spans="1:14" ht="10.050000000000001" customHeight="1">
      <c r="A441" s="45" t="s">
        <v>89</v>
      </c>
      <c r="B441" s="46">
        <v>2012</v>
      </c>
      <c r="C441" s="45" t="s">
        <v>118</v>
      </c>
      <c r="D441" s="47">
        <v>3</v>
      </c>
      <c r="E441" s="48">
        <v>0</v>
      </c>
      <c r="F441" s="48">
        <v>0</v>
      </c>
      <c r="G441" s="48">
        <v>0</v>
      </c>
      <c r="H441" s="48">
        <v>3575.8</v>
      </c>
      <c r="I441" s="48">
        <v>279</v>
      </c>
      <c r="J441" s="48">
        <v>3854.8</v>
      </c>
      <c r="K441" s="48">
        <v>0</v>
      </c>
      <c r="L441" s="48">
        <v>0</v>
      </c>
      <c r="M441" s="48">
        <v>0</v>
      </c>
      <c r="N441" s="48">
        <v>0</v>
      </c>
    </row>
    <row r="442" spans="1:14" ht="10.050000000000001" customHeight="1">
      <c r="A442" s="45" t="s">
        <v>87</v>
      </c>
      <c r="B442" s="46">
        <v>2012</v>
      </c>
      <c r="C442" s="45" t="s">
        <v>118</v>
      </c>
      <c r="D442" s="47">
        <v>3</v>
      </c>
      <c r="E442" s="48">
        <v>22144.7</v>
      </c>
      <c r="F442" s="48">
        <v>1216</v>
      </c>
      <c r="G442" s="48">
        <v>23360.7</v>
      </c>
      <c r="H442" s="48">
        <v>124724.3</v>
      </c>
      <c r="I442" s="48">
        <v>12207.3</v>
      </c>
      <c r="J442" s="48">
        <v>136931.6</v>
      </c>
      <c r="K442" s="48">
        <v>19391.8</v>
      </c>
      <c r="L442" s="48">
        <v>2620</v>
      </c>
      <c r="M442" s="48">
        <v>13345.8</v>
      </c>
      <c r="N442" s="48">
        <v>188</v>
      </c>
    </row>
    <row r="443" spans="1:14" ht="10.050000000000001" customHeight="1">
      <c r="A443" s="45" t="s">
        <v>84</v>
      </c>
      <c r="B443" s="46">
        <v>2012</v>
      </c>
      <c r="C443" s="45" t="s">
        <v>118</v>
      </c>
      <c r="D443" s="47">
        <v>4</v>
      </c>
      <c r="E443" s="48">
        <v>10729.8</v>
      </c>
      <c r="F443" s="48">
        <v>141.19999999999999</v>
      </c>
      <c r="G443" s="48">
        <v>10871</v>
      </c>
      <c r="H443" s="48">
        <v>77253.100000000006</v>
      </c>
      <c r="I443" s="48">
        <v>3442.7</v>
      </c>
      <c r="J443" s="48">
        <v>80695.8</v>
      </c>
      <c r="K443" s="48">
        <v>3771.6</v>
      </c>
      <c r="L443" s="48">
        <v>263.60000000000002</v>
      </c>
      <c r="M443" s="48">
        <v>3487.6</v>
      </c>
      <c r="N443" s="48">
        <v>93.7</v>
      </c>
    </row>
    <row r="444" spans="1:14" ht="10.050000000000001" customHeight="1">
      <c r="A444" s="45" t="s">
        <v>89</v>
      </c>
      <c r="B444" s="46">
        <v>2012</v>
      </c>
      <c r="C444" s="45" t="s">
        <v>118</v>
      </c>
      <c r="D444" s="47">
        <v>4</v>
      </c>
      <c r="E444" s="48">
        <v>0</v>
      </c>
      <c r="F444" s="48">
        <v>0</v>
      </c>
      <c r="G444" s="48">
        <v>0</v>
      </c>
      <c r="H444" s="48">
        <v>2998.8</v>
      </c>
      <c r="I444" s="48">
        <v>223.5</v>
      </c>
      <c r="J444" s="48">
        <v>3222.3</v>
      </c>
      <c r="K444" s="48">
        <v>0</v>
      </c>
      <c r="L444" s="48">
        <v>0</v>
      </c>
      <c r="M444" s="48">
        <v>0</v>
      </c>
      <c r="N444" s="48">
        <v>0</v>
      </c>
    </row>
    <row r="445" spans="1:14" ht="10.050000000000001" customHeight="1">
      <c r="A445" s="45" t="s">
        <v>87</v>
      </c>
      <c r="B445" s="46">
        <v>2012</v>
      </c>
      <c r="C445" s="45" t="s">
        <v>118</v>
      </c>
      <c r="D445" s="47">
        <v>4</v>
      </c>
      <c r="E445" s="48">
        <v>20551.099999999999</v>
      </c>
      <c r="F445" s="48">
        <v>814.2</v>
      </c>
      <c r="G445" s="48">
        <v>21365.3</v>
      </c>
      <c r="H445" s="48">
        <v>110424.5</v>
      </c>
      <c r="I445" s="48">
        <v>11010.8</v>
      </c>
      <c r="J445" s="48">
        <v>121435.3</v>
      </c>
      <c r="K445" s="48">
        <v>10137</v>
      </c>
      <c r="L445" s="48">
        <v>3325.7</v>
      </c>
      <c r="M445" s="48">
        <v>12493.3</v>
      </c>
      <c r="N445" s="48">
        <v>164</v>
      </c>
    </row>
    <row r="446" spans="1:14" ht="10.050000000000001" customHeight="1">
      <c r="A446" s="45" t="s">
        <v>84</v>
      </c>
      <c r="B446" s="46">
        <v>2012</v>
      </c>
      <c r="C446" s="45" t="s">
        <v>118</v>
      </c>
      <c r="D446" s="47">
        <v>5</v>
      </c>
      <c r="E446" s="48">
        <v>4555</v>
      </c>
      <c r="F446" s="48">
        <v>9.6</v>
      </c>
      <c r="G446" s="48">
        <v>4564.6000000000004</v>
      </c>
      <c r="H446" s="48">
        <v>53534.8</v>
      </c>
      <c r="I446" s="48">
        <v>3188.1</v>
      </c>
      <c r="J446" s="48">
        <v>56722.9</v>
      </c>
      <c r="K446" s="48">
        <v>1329.6</v>
      </c>
      <c r="L446" s="48">
        <v>150.69999999999999</v>
      </c>
      <c r="M446" s="48">
        <v>2520.1</v>
      </c>
      <c r="N446" s="48">
        <v>99.5</v>
      </c>
    </row>
    <row r="447" spans="1:14" ht="10.050000000000001" customHeight="1">
      <c r="A447" s="45" t="s">
        <v>89</v>
      </c>
      <c r="B447" s="46">
        <v>2012</v>
      </c>
      <c r="C447" s="45" t="s">
        <v>118</v>
      </c>
      <c r="D447" s="47">
        <v>5</v>
      </c>
      <c r="E447" s="48">
        <v>2</v>
      </c>
      <c r="F447" s="48">
        <v>0</v>
      </c>
      <c r="G447" s="48">
        <v>2</v>
      </c>
      <c r="H447" s="48">
        <v>2748.4</v>
      </c>
      <c r="I447" s="48">
        <v>223.5</v>
      </c>
      <c r="J447" s="48">
        <v>2971.9</v>
      </c>
      <c r="K447" s="48">
        <v>0</v>
      </c>
      <c r="L447" s="48">
        <v>0</v>
      </c>
      <c r="M447" s="48">
        <v>0</v>
      </c>
      <c r="N447" s="48">
        <v>0</v>
      </c>
    </row>
    <row r="448" spans="1:14" ht="10.050000000000001" customHeight="1">
      <c r="A448" s="45" t="s">
        <v>87</v>
      </c>
      <c r="B448" s="46">
        <v>2012</v>
      </c>
      <c r="C448" s="45" t="s">
        <v>118</v>
      </c>
      <c r="D448" s="47">
        <v>5</v>
      </c>
      <c r="E448" s="48">
        <v>17979.599999999999</v>
      </c>
      <c r="F448" s="48">
        <v>60.6</v>
      </c>
      <c r="G448" s="48">
        <v>18040.2</v>
      </c>
      <c r="H448" s="48">
        <v>54637.599999999999</v>
      </c>
      <c r="I448" s="48">
        <v>8806.3000000000102</v>
      </c>
      <c r="J448" s="48">
        <v>63443.9</v>
      </c>
      <c r="K448" s="48">
        <v>3094.2</v>
      </c>
      <c r="L448" s="48">
        <v>2492.8000000000002</v>
      </c>
      <c r="M448" s="48">
        <v>8658.7999999999993</v>
      </c>
      <c r="N448" s="48">
        <v>800.3</v>
      </c>
    </row>
    <row r="449" spans="1:14" ht="10.050000000000001" customHeight="1">
      <c r="A449" s="45" t="s">
        <v>84</v>
      </c>
      <c r="B449" s="46">
        <v>2012</v>
      </c>
      <c r="C449" s="45" t="s">
        <v>118</v>
      </c>
      <c r="D449" s="47">
        <v>6</v>
      </c>
      <c r="E449" s="48">
        <v>3037.1</v>
      </c>
      <c r="F449" s="48">
        <v>55</v>
      </c>
      <c r="G449" s="48">
        <v>3092.1</v>
      </c>
      <c r="H449" s="48">
        <v>17269.099999999999</v>
      </c>
      <c r="I449" s="48">
        <v>4621.3999999999996</v>
      </c>
      <c r="J449" s="48">
        <v>21890.5</v>
      </c>
      <c r="K449" s="48">
        <v>168.5</v>
      </c>
      <c r="L449" s="48">
        <v>61.3</v>
      </c>
      <c r="M449" s="48">
        <v>990</v>
      </c>
      <c r="N449" s="48">
        <v>238.9</v>
      </c>
    </row>
    <row r="450" spans="1:14" ht="10.050000000000001" customHeight="1">
      <c r="A450" s="45" t="s">
        <v>89</v>
      </c>
      <c r="B450" s="46">
        <v>2012</v>
      </c>
      <c r="C450" s="45" t="s">
        <v>118</v>
      </c>
      <c r="D450" s="47">
        <v>6</v>
      </c>
      <c r="E450" s="48">
        <v>5.7</v>
      </c>
      <c r="F450" s="48">
        <v>0</v>
      </c>
      <c r="G450" s="48">
        <v>5.7</v>
      </c>
      <c r="H450" s="48">
        <v>2408.8000000000002</v>
      </c>
      <c r="I450" s="48">
        <v>153.1</v>
      </c>
      <c r="J450" s="48">
        <v>2561.9</v>
      </c>
      <c r="K450" s="48">
        <v>23.3</v>
      </c>
      <c r="L450" s="48">
        <v>23.3</v>
      </c>
      <c r="M450" s="48">
        <v>0</v>
      </c>
      <c r="N450" s="48">
        <v>0</v>
      </c>
    </row>
    <row r="451" spans="1:14" ht="10.050000000000001" customHeight="1">
      <c r="A451" s="45" t="s">
        <v>87</v>
      </c>
      <c r="B451" s="46">
        <v>2012</v>
      </c>
      <c r="C451" s="45" t="s">
        <v>118</v>
      </c>
      <c r="D451" s="47">
        <v>6</v>
      </c>
      <c r="E451" s="48">
        <v>7393.3</v>
      </c>
      <c r="F451" s="48">
        <v>86.3</v>
      </c>
      <c r="G451" s="48">
        <v>7479.6</v>
      </c>
      <c r="H451" s="48">
        <v>36905.599999999999</v>
      </c>
      <c r="I451" s="48">
        <v>9706.4</v>
      </c>
      <c r="J451" s="48">
        <v>46612</v>
      </c>
      <c r="K451" s="48">
        <v>761</v>
      </c>
      <c r="L451" s="48">
        <v>543.1</v>
      </c>
      <c r="M451" s="48">
        <v>2496.4</v>
      </c>
      <c r="N451" s="48">
        <v>379.8</v>
      </c>
    </row>
    <row r="452" spans="1:14" ht="10.050000000000001" customHeight="1">
      <c r="A452" s="45" t="s">
        <v>84</v>
      </c>
      <c r="B452" s="46">
        <v>2012</v>
      </c>
      <c r="C452" s="45" t="s">
        <v>119</v>
      </c>
      <c r="D452" s="47">
        <v>7</v>
      </c>
      <c r="E452" s="48">
        <v>2788.5</v>
      </c>
      <c r="F452" s="48">
        <v>0</v>
      </c>
      <c r="G452" s="48">
        <v>2788.5</v>
      </c>
      <c r="H452" s="48">
        <v>12643.9</v>
      </c>
      <c r="I452" s="48">
        <v>4457.3999999999996</v>
      </c>
      <c r="J452" s="48">
        <v>17101.3</v>
      </c>
      <c r="K452" s="48">
        <v>333.8</v>
      </c>
      <c r="L452" s="48">
        <v>248.3</v>
      </c>
      <c r="M452" s="48">
        <v>26</v>
      </c>
      <c r="N452" s="48">
        <v>23.5</v>
      </c>
    </row>
    <row r="453" spans="1:14" ht="10.050000000000001" customHeight="1">
      <c r="A453" s="45" t="s">
        <v>89</v>
      </c>
      <c r="B453" s="46">
        <v>2012</v>
      </c>
      <c r="C453" s="45" t="s">
        <v>119</v>
      </c>
      <c r="D453" s="47">
        <v>7</v>
      </c>
      <c r="E453" s="48">
        <v>26.9</v>
      </c>
      <c r="F453" s="48">
        <v>0</v>
      </c>
      <c r="G453" s="48">
        <v>26.9</v>
      </c>
      <c r="H453" s="48">
        <v>2151.6999999999998</v>
      </c>
      <c r="I453" s="48">
        <v>149.69999999999999</v>
      </c>
      <c r="J453" s="48">
        <v>2301.4</v>
      </c>
      <c r="K453" s="48">
        <v>0</v>
      </c>
      <c r="L453" s="48">
        <v>0</v>
      </c>
      <c r="M453" s="48">
        <v>23.3</v>
      </c>
      <c r="N453" s="48">
        <v>0</v>
      </c>
    </row>
    <row r="454" spans="1:14" ht="10.050000000000001" customHeight="1">
      <c r="A454" s="45" t="s">
        <v>87</v>
      </c>
      <c r="B454" s="46">
        <v>2012</v>
      </c>
      <c r="C454" s="45" t="s">
        <v>119</v>
      </c>
      <c r="D454" s="47">
        <v>7</v>
      </c>
      <c r="E454" s="48">
        <v>167925.5</v>
      </c>
      <c r="F454" s="48">
        <v>2517.4</v>
      </c>
      <c r="G454" s="48">
        <v>170442.9</v>
      </c>
      <c r="H454" s="48">
        <v>186236</v>
      </c>
      <c r="I454" s="48">
        <v>11408.3</v>
      </c>
      <c r="J454" s="48">
        <v>197644.3</v>
      </c>
      <c r="K454" s="48">
        <v>52850.8</v>
      </c>
      <c r="L454" s="48">
        <v>58094</v>
      </c>
      <c r="M454" s="48">
        <v>5855.7</v>
      </c>
      <c r="N454" s="48">
        <v>148.5</v>
      </c>
    </row>
    <row r="455" spans="1:14" ht="10.050000000000001" customHeight="1">
      <c r="A455" s="45" t="s">
        <v>84</v>
      </c>
      <c r="B455" s="46">
        <v>2012</v>
      </c>
      <c r="C455" s="45" t="s">
        <v>119</v>
      </c>
      <c r="D455" s="47">
        <v>8</v>
      </c>
      <c r="E455" s="48">
        <v>90671.8</v>
      </c>
      <c r="F455" s="48">
        <v>516.1</v>
      </c>
      <c r="G455" s="48">
        <v>91187.9</v>
      </c>
      <c r="H455" s="48">
        <v>92623.1</v>
      </c>
      <c r="I455" s="48">
        <v>4816</v>
      </c>
      <c r="J455" s="48">
        <v>97439.1</v>
      </c>
      <c r="K455" s="48">
        <v>11732.6</v>
      </c>
      <c r="L455" s="48">
        <v>12567.2</v>
      </c>
      <c r="M455" s="48">
        <v>1161.7</v>
      </c>
      <c r="N455" s="48">
        <v>6.4</v>
      </c>
    </row>
    <row r="456" spans="1:14" ht="10.050000000000001" customHeight="1">
      <c r="A456" s="45" t="s">
        <v>89</v>
      </c>
      <c r="B456" s="46">
        <v>2012</v>
      </c>
      <c r="C456" s="45" t="s">
        <v>119</v>
      </c>
      <c r="D456" s="47">
        <v>8</v>
      </c>
      <c r="E456" s="48">
        <v>1214.3</v>
      </c>
      <c r="F456" s="48">
        <v>0</v>
      </c>
      <c r="G456" s="48">
        <v>1214.3</v>
      </c>
      <c r="H456" s="48">
        <v>2998.2</v>
      </c>
      <c r="I456" s="48">
        <v>149.69999999999999</v>
      </c>
      <c r="J456" s="48">
        <v>3147.9</v>
      </c>
      <c r="K456" s="48">
        <v>0</v>
      </c>
      <c r="L456" s="48">
        <v>0</v>
      </c>
      <c r="M456" s="48">
        <v>0</v>
      </c>
      <c r="N456" s="48">
        <v>0</v>
      </c>
    </row>
    <row r="457" spans="1:14" ht="10.050000000000001" customHeight="1">
      <c r="A457" s="45" t="s">
        <v>87</v>
      </c>
      <c r="B457" s="46">
        <v>2012</v>
      </c>
      <c r="C457" s="45" t="s">
        <v>119</v>
      </c>
      <c r="D457" s="47">
        <v>8</v>
      </c>
      <c r="E457" s="48">
        <v>109045.1</v>
      </c>
      <c r="F457" s="48">
        <v>4021.2</v>
      </c>
      <c r="G457" s="48">
        <v>113066.3</v>
      </c>
      <c r="H457" s="48">
        <v>259108.1</v>
      </c>
      <c r="I457" s="48">
        <v>13842</v>
      </c>
      <c r="J457" s="48">
        <v>272950.09999999998</v>
      </c>
      <c r="K457" s="48">
        <v>71022.2</v>
      </c>
      <c r="L457" s="48">
        <v>44077.4</v>
      </c>
      <c r="M457" s="48">
        <v>25736.400000000001</v>
      </c>
      <c r="N457" s="48">
        <v>169.9</v>
      </c>
    </row>
    <row r="458" spans="1:14" ht="10.050000000000001" customHeight="1">
      <c r="A458" s="45" t="s">
        <v>84</v>
      </c>
      <c r="B458" s="46">
        <v>2012</v>
      </c>
      <c r="C458" s="45" t="s">
        <v>119</v>
      </c>
      <c r="D458" s="47">
        <v>9</v>
      </c>
      <c r="E458" s="48">
        <v>70992.100000000006</v>
      </c>
      <c r="F458" s="48">
        <v>403.1</v>
      </c>
      <c r="G458" s="48">
        <v>71395.199999999997</v>
      </c>
      <c r="H458" s="48">
        <v>110795.9</v>
      </c>
      <c r="I458" s="48">
        <v>5145.3999999999996</v>
      </c>
      <c r="J458" s="48">
        <v>115941.3</v>
      </c>
      <c r="K458" s="48">
        <v>26111.1</v>
      </c>
      <c r="L458" s="48">
        <v>26286.1</v>
      </c>
      <c r="M458" s="48">
        <v>11787.4</v>
      </c>
      <c r="N458" s="48">
        <v>120.7</v>
      </c>
    </row>
    <row r="459" spans="1:14" ht="10.050000000000001" customHeight="1">
      <c r="A459" s="45" t="s">
        <v>89</v>
      </c>
      <c r="B459" s="46">
        <v>2012</v>
      </c>
      <c r="C459" s="45" t="s">
        <v>119</v>
      </c>
      <c r="D459" s="47">
        <v>9</v>
      </c>
      <c r="E459" s="48">
        <v>729.9</v>
      </c>
      <c r="F459" s="48">
        <v>62.3</v>
      </c>
      <c r="G459" s="48">
        <v>792.2</v>
      </c>
      <c r="H459" s="48">
        <v>3292.6</v>
      </c>
      <c r="I459" s="48">
        <v>197.7</v>
      </c>
      <c r="J459" s="48">
        <v>3490.3</v>
      </c>
      <c r="K459" s="48">
        <v>13.9</v>
      </c>
      <c r="L459" s="48">
        <v>13.9</v>
      </c>
      <c r="M459" s="48">
        <v>0</v>
      </c>
      <c r="N459" s="48">
        <v>0</v>
      </c>
    </row>
    <row r="460" spans="1:14" ht="10.050000000000001" customHeight="1">
      <c r="A460" s="45" t="s">
        <v>87</v>
      </c>
      <c r="B460" s="46">
        <v>2012</v>
      </c>
      <c r="C460" s="45" t="s">
        <v>119</v>
      </c>
      <c r="D460" s="47">
        <v>9</v>
      </c>
      <c r="E460" s="48">
        <v>33301.5</v>
      </c>
      <c r="F460" s="48">
        <v>767.7</v>
      </c>
      <c r="G460" s="48">
        <v>34069.199999999997</v>
      </c>
      <c r="H460" s="48">
        <v>256007.4</v>
      </c>
      <c r="I460" s="48">
        <v>13756.4</v>
      </c>
      <c r="J460" s="48">
        <v>269763.8</v>
      </c>
      <c r="K460" s="48">
        <v>48722.8</v>
      </c>
      <c r="L460" s="48">
        <v>2970.8</v>
      </c>
      <c r="M460" s="48">
        <v>23269.3</v>
      </c>
      <c r="N460" s="48">
        <v>2003.5</v>
      </c>
    </row>
    <row r="461" spans="1:14" ht="10.050000000000001" customHeight="1">
      <c r="A461" s="45" t="s">
        <v>84</v>
      </c>
      <c r="B461" s="46">
        <v>2012</v>
      </c>
      <c r="C461" s="45" t="s">
        <v>119</v>
      </c>
      <c r="D461" s="47">
        <v>10</v>
      </c>
      <c r="E461" s="48">
        <v>17981.400000000001</v>
      </c>
      <c r="F461" s="48">
        <v>1220.5999999999999</v>
      </c>
      <c r="G461" s="48">
        <v>19202</v>
      </c>
      <c r="H461" s="48">
        <v>102504.2</v>
      </c>
      <c r="I461" s="48">
        <v>6193.2</v>
      </c>
      <c r="J461" s="48">
        <v>108697.4</v>
      </c>
      <c r="K461" s="48">
        <v>15875</v>
      </c>
      <c r="L461" s="48">
        <v>1849.7</v>
      </c>
      <c r="M461" s="48">
        <v>11780.8</v>
      </c>
      <c r="N461" s="48">
        <v>305.2</v>
      </c>
    </row>
    <row r="462" spans="1:14" ht="10.050000000000001" customHeight="1">
      <c r="A462" s="45" t="s">
        <v>89</v>
      </c>
      <c r="B462" s="46">
        <v>2012</v>
      </c>
      <c r="C462" s="45" t="s">
        <v>119</v>
      </c>
      <c r="D462" s="47">
        <v>10</v>
      </c>
      <c r="E462" s="48">
        <v>33.4</v>
      </c>
      <c r="F462" s="48">
        <v>0</v>
      </c>
      <c r="G462" s="48">
        <v>33.4</v>
      </c>
      <c r="H462" s="48">
        <v>3039.5</v>
      </c>
      <c r="I462" s="48">
        <v>197.7</v>
      </c>
      <c r="J462" s="48">
        <v>3237.2</v>
      </c>
      <c r="K462" s="48">
        <v>13.9</v>
      </c>
      <c r="L462" s="48">
        <v>0</v>
      </c>
      <c r="M462" s="48">
        <v>0</v>
      </c>
      <c r="N462" s="48">
        <v>0</v>
      </c>
    </row>
    <row r="463" spans="1:14" ht="10.050000000000001" customHeight="1">
      <c r="A463" s="45" t="s">
        <v>87</v>
      </c>
      <c r="B463" s="46">
        <v>2012</v>
      </c>
      <c r="C463" s="45" t="s">
        <v>119</v>
      </c>
      <c r="D463" s="47">
        <v>10</v>
      </c>
      <c r="E463" s="48">
        <v>16739.7</v>
      </c>
      <c r="F463" s="48">
        <v>1455.3</v>
      </c>
      <c r="G463" s="48">
        <v>18195</v>
      </c>
      <c r="H463" s="48">
        <v>236302.6</v>
      </c>
      <c r="I463" s="48">
        <v>14345.9</v>
      </c>
      <c r="J463" s="48">
        <v>250648.5</v>
      </c>
      <c r="K463" s="48">
        <v>38561.699999999997</v>
      </c>
      <c r="L463" s="48">
        <v>1595.1</v>
      </c>
      <c r="M463" s="48">
        <v>11098.1</v>
      </c>
      <c r="N463" s="48">
        <v>657.8</v>
      </c>
    </row>
    <row r="464" spans="1:14" ht="10.050000000000001" customHeight="1">
      <c r="A464" s="45" t="s">
        <v>84</v>
      </c>
      <c r="B464" s="46">
        <v>2012</v>
      </c>
      <c r="C464" s="45" t="s">
        <v>119</v>
      </c>
      <c r="D464" s="47">
        <v>11</v>
      </c>
      <c r="E464" s="48">
        <v>8287.7999999999993</v>
      </c>
      <c r="F464" s="48">
        <v>1871.6</v>
      </c>
      <c r="G464" s="48">
        <v>10159.4</v>
      </c>
      <c r="H464" s="48">
        <v>87790.2</v>
      </c>
      <c r="I464" s="48">
        <v>7159.7</v>
      </c>
      <c r="J464" s="48">
        <v>94949.9</v>
      </c>
      <c r="K464" s="48">
        <v>11563.2</v>
      </c>
      <c r="L464" s="48">
        <v>406.6</v>
      </c>
      <c r="M464" s="48">
        <v>4608.3</v>
      </c>
      <c r="N464" s="48">
        <v>75.400000000000006</v>
      </c>
    </row>
    <row r="465" spans="1:14" ht="10.050000000000001" customHeight="1">
      <c r="A465" s="45" t="s">
        <v>89</v>
      </c>
      <c r="B465" s="46">
        <v>2012</v>
      </c>
      <c r="C465" s="45" t="s">
        <v>119</v>
      </c>
      <c r="D465" s="47">
        <v>11</v>
      </c>
      <c r="E465" s="48">
        <v>51.2</v>
      </c>
      <c r="F465" s="48">
        <v>0</v>
      </c>
      <c r="G465" s="48">
        <v>51.2</v>
      </c>
      <c r="H465" s="48">
        <v>2711.2</v>
      </c>
      <c r="I465" s="48">
        <v>197.5</v>
      </c>
      <c r="J465" s="48">
        <v>2908.7</v>
      </c>
      <c r="K465" s="48">
        <v>6</v>
      </c>
      <c r="L465" s="48">
        <v>24.4</v>
      </c>
      <c r="M465" s="48">
        <v>31.8</v>
      </c>
      <c r="N465" s="48">
        <v>0.5</v>
      </c>
    </row>
    <row r="466" spans="1:14" ht="10.050000000000001" customHeight="1">
      <c r="A466" s="45" t="s">
        <v>87</v>
      </c>
      <c r="B466" s="46">
        <v>2012</v>
      </c>
      <c r="C466" s="45" t="s">
        <v>119</v>
      </c>
      <c r="D466" s="47">
        <v>11</v>
      </c>
      <c r="E466" s="48">
        <v>16986.3</v>
      </c>
      <c r="F466" s="48">
        <v>4062.8</v>
      </c>
      <c r="G466" s="48">
        <v>21049.1</v>
      </c>
      <c r="H466" s="48">
        <v>221035.4</v>
      </c>
      <c r="I466" s="48">
        <v>17176.400000000001</v>
      </c>
      <c r="J466" s="48">
        <v>238211.8</v>
      </c>
      <c r="K466" s="48">
        <v>29206.1</v>
      </c>
      <c r="L466" s="48">
        <v>1173</v>
      </c>
      <c r="M466" s="48">
        <v>10118.6</v>
      </c>
      <c r="N466" s="48">
        <v>406.6</v>
      </c>
    </row>
    <row r="467" spans="1:14" ht="10.050000000000001" customHeight="1">
      <c r="A467" s="45" t="s">
        <v>84</v>
      </c>
      <c r="B467" s="46">
        <v>2012</v>
      </c>
      <c r="C467" s="45" t="s">
        <v>119</v>
      </c>
      <c r="D467" s="47">
        <v>12</v>
      </c>
      <c r="E467" s="48">
        <v>5317.4</v>
      </c>
      <c r="F467" s="48">
        <v>894</v>
      </c>
      <c r="G467" s="48">
        <v>6211.4</v>
      </c>
      <c r="H467" s="48">
        <v>80409.100000000006</v>
      </c>
      <c r="I467" s="48">
        <v>7468.5</v>
      </c>
      <c r="J467" s="48">
        <v>87877.6</v>
      </c>
      <c r="K467" s="48">
        <v>9626</v>
      </c>
      <c r="L467" s="48">
        <v>677.8</v>
      </c>
      <c r="M467" s="48">
        <v>2514</v>
      </c>
      <c r="N467" s="48">
        <v>100.9</v>
      </c>
    </row>
    <row r="468" spans="1:14" ht="10.050000000000001" customHeight="1">
      <c r="A468" s="45" t="s">
        <v>89</v>
      </c>
      <c r="B468" s="46">
        <v>2012</v>
      </c>
      <c r="C468" s="45" t="s">
        <v>119</v>
      </c>
      <c r="D468" s="47">
        <v>12</v>
      </c>
      <c r="E468" s="48">
        <v>61</v>
      </c>
      <c r="F468" s="48">
        <v>0</v>
      </c>
      <c r="G468" s="48">
        <v>61</v>
      </c>
      <c r="H468" s="48">
        <v>2491.8000000000002</v>
      </c>
      <c r="I468" s="48">
        <v>197</v>
      </c>
      <c r="J468" s="48">
        <v>2688.8</v>
      </c>
      <c r="K468" s="48">
        <v>5.9</v>
      </c>
      <c r="L468" s="48">
        <v>0</v>
      </c>
      <c r="M468" s="48">
        <v>0</v>
      </c>
      <c r="N468" s="48">
        <v>0.1</v>
      </c>
    </row>
    <row r="469" spans="1:14" ht="10.050000000000001" customHeight="1">
      <c r="A469" s="45" t="s">
        <v>87</v>
      </c>
      <c r="B469" s="46">
        <v>2012</v>
      </c>
      <c r="C469" s="45" t="s">
        <v>119</v>
      </c>
      <c r="D469" s="47">
        <v>12</v>
      </c>
      <c r="E469" s="48">
        <v>9345.7999999999993</v>
      </c>
      <c r="F469" s="48">
        <v>2402.1999999999998</v>
      </c>
      <c r="G469" s="48">
        <v>11748</v>
      </c>
      <c r="H469" s="48">
        <v>199823.7</v>
      </c>
      <c r="I469" s="48">
        <v>18683.900000000001</v>
      </c>
      <c r="J469" s="48">
        <v>218507.6</v>
      </c>
      <c r="K469" s="48">
        <v>26603.200000000001</v>
      </c>
      <c r="L469" s="48">
        <v>2786.3</v>
      </c>
      <c r="M469" s="48">
        <v>5248.5</v>
      </c>
      <c r="N469" s="48">
        <v>140.9</v>
      </c>
    </row>
    <row r="470" spans="1:14" ht="10.050000000000001" customHeight="1">
      <c r="A470" s="45" t="s">
        <v>84</v>
      </c>
      <c r="B470" s="46">
        <v>2013</v>
      </c>
      <c r="C470" s="45" t="s">
        <v>119</v>
      </c>
      <c r="D470" s="47">
        <v>1</v>
      </c>
      <c r="E470" s="48">
        <v>6763.2</v>
      </c>
      <c r="F470" s="48">
        <v>1058.5999999999999</v>
      </c>
      <c r="G470" s="48">
        <v>7821.8</v>
      </c>
      <c r="H470" s="48">
        <v>62610.5</v>
      </c>
      <c r="I470" s="48">
        <v>8725.6</v>
      </c>
      <c r="J470" s="48">
        <v>71336.100000000006</v>
      </c>
      <c r="K470" s="48">
        <v>8233.5</v>
      </c>
      <c r="L470" s="48">
        <v>602.4</v>
      </c>
      <c r="M470" s="48">
        <v>1935.3</v>
      </c>
      <c r="N470" s="48">
        <v>59.5</v>
      </c>
    </row>
    <row r="471" spans="1:14" ht="10.050000000000001" customHeight="1">
      <c r="A471" s="45" t="s">
        <v>89</v>
      </c>
      <c r="B471" s="46">
        <v>2013</v>
      </c>
      <c r="C471" s="45" t="s">
        <v>119</v>
      </c>
      <c r="D471" s="47">
        <v>1</v>
      </c>
      <c r="E471" s="48">
        <v>0</v>
      </c>
      <c r="F471" s="48">
        <v>42.6</v>
      </c>
      <c r="G471" s="48">
        <v>42.6</v>
      </c>
      <c r="H471" s="48">
        <v>2204.6999999999998</v>
      </c>
      <c r="I471" s="48">
        <v>107.1</v>
      </c>
      <c r="J471" s="48">
        <v>2311.8000000000002</v>
      </c>
      <c r="K471" s="48">
        <v>4.9000000000000004</v>
      </c>
      <c r="L471" s="48">
        <v>0</v>
      </c>
      <c r="M471" s="48">
        <v>0</v>
      </c>
      <c r="N471" s="48">
        <v>1</v>
      </c>
    </row>
    <row r="472" spans="1:14" ht="10.050000000000001" customHeight="1">
      <c r="A472" s="45" t="s">
        <v>87</v>
      </c>
      <c r="B472" s="46">
        <v>2013</v>
      </c>
      <c r="C472" s="45" t="s">
        <v>119</v>
      </c>
      <c r="D472" s="47">
        <v>1</v>
      </c>
      <c r="E472" s="48">
        <v>12554.8</v>
      </c>
      <c r="F472" s="48">
        <v>4395.3</v>
      </c>
      <c r="G472" s="48">
        <v>16950.099999999999</v>
      </c>
      <c r="H472" s="48">
        <v>186425.8</v>
      </c>
      <c r="I472" s="48">
        <v>24407.5</v>
      </c>
      <c r="J472" s="48">
        <v>210833.3</v>
      </c>
      <c r="K472" s="48">
        <v>21308.6</v>
      </c>
      <c r="L472" s="48">
        <v>1362.7</v>
      </c>
      <c r="M472" s="48">
        <v>6311</v>
      </c>
      <c r="N472" s="48">
        <v>346.2</v>
      </c>
    </row>
    <row r="473" spans="1:14" ht="10.050000000000001" customHeight="1">
      <c r="A473" s="45" t="s">
        <v>84</v>
      </c>
      <c r="B473" s="46">
        <v>2013</v>
      </c>
      <c r="C473" s="45" t="s">
        <v>119</v>
      </c>
      <c r="D473" s="47">
        <v>2</v>
      </c>
      <c r="E473" s="48">
        <v>6690.7</v>
      </c>
      <c r="F473" s="48">
        <v>425</v>
      </c>
      <c r="G473" s="48">
        <v>7115.7</v>
      </c>
      <c r="H473" s="48">
        <v>57838.7</v>
      </c>
      <c r="I473" s="48">
        <v>7701.6</v>
      </c>
      <c r="J473" s="48">
        <v>65540.3</v>
      </c>
      <c r="K473" s="48">
        <v>6269.5</v>
      </c>
      <c r="L473" s="48">
        <v>491.2</v>
      </c>
      <c r="M473" s="48">
        <v>2373.5</v>
      </c>
      <c r="N473" s="48">
        <v>81.8</v>
      </c>
    </row>
    <row r="474" spans="1:14" ht="10.050000000000001" customHeight="1">
      <c r="A474" s="45" t="s">
        <v>89</v>
      </c>
      <c r="B474" s="46">
        <v>2013</v>
      </c>
      <c r="C474" s="45" t="s">
        <v>119</v>
      </c>
      <c r="D474" s="47">
        <v>2</v>
      </c>
      <c r="E474" s="48">
        <v>0</v>
      </c>
      <c r="F474" s="48">
        <v>0</v>
      </c>
      <c r="G474" s="48">
        <v>0</v>
      </c>
      <c r="H474" s="48">
        <v>1866.2</v>
      </c>
      <c r="I474" s="48">
        <v>79.8</v>
      </c>
      <c r="J474" s="48">
        <v>1946</v>
      </c>
      <c r="K474" s="48">
        <v>0</v>
      </c>
      <c r="L474" s="48">
        <v>0</v>
      </c>
      <c r="M474" s="48">
        <v>0</v>
      </c>
      <c r="N474" s="48">
        <v>4.9000000000000004</v>
      </c>
    </row>
    <row r="475" spans="1:14" ht="10.050000000000001" customHeight="1">
      <c r="A475" s="45" t="s">
        <v>87</v>
      </c>
      <c r="B475" s="46">
        <v>2013</v>
      </c>
      <c r="C475" s="45" t="s">
        <v>119</v>
      </c>
      <c r="D475" s="47">
        <v>2</v>
      </c>
      <c r="E475" s="48">
        <v>10156.4</v>
      </c>
      <c r="F475" s="48">
        <v>3887.2</v>
      </c>
      <c r="G475" s="48">
        <v>14043.6</v>
      </c>
      <c r="H475" s="48">
        <v>168087.5</v>
      </c>
      <c r="I475" s="48">
        <v>22165</v>
      </c>
      <c r="J475" s="48">
        <v>190252.5</v>
      </c>
      <c r="K475" s="48">
        <v>18024.8</v>
      </c>
      <c r="L475" s="48">
        <v>1166.7</v>
      </c>
      <c r="M475" s="48">
        <v>4238.3</v>
      </c>
      <c r="N475" s="48">
        <v>212.2</v>
      </c>
    </row>
    <row r="476" spans="1:14" ht="10.050000000000001" customHeight="1">
      <c r="A476" s="45" t="s">
        <v>84</v>
      </c>
      <c r="B476" s="46">
        <v>2013</v>
      </c>
      <c r="C476" s="45" t="s">
        <v>119</v>
      </c>
      <c r="D476" s="47">
        <v>3</v>
      </c>
      <c r="E476" s="48">
        <v>5424.4</v>
      </c>
      <c r="F476" s="48">
        <v>127.1</v>
      </c>
      <c r="G476" s="48">
        <v>5551.5</v>
      </c>
      <c r="H476" s="48">
        <v>45765.7</v>
      </c>
      <c r="I476" s="48">
        <v>6237.3</v>
      </c>
      <c r="J476" s="48">
        <v>52003</v>
      </c>
      <c r="K476" s="48">
        <v>3550.8</v>
      </c>
      <c r="L476" s="48">
        <v>214.1</v>
      </c>
      <c r="M476" s="48">
        <v>2918.6</v>
      </c>
      <c r="N476" s="48">
        <v>27.6</v>
      </c>
    </row>
    <row r="477" spans="1:14" ht="10.050000000000001" customHeight="1">
      <c r="A477" s="45" t="s">
        <v>89</v>
      </c>
      <c r="B477" s="46">
        <v>2013</v>
      </c>
      <c r="C477" s="45" t="s">
        <v>119</v>
      </c>
      <c r="D477" s="47">
        <v>3</v>
      </c>
      <c r="E477" s="48">
        <v>12.4</v>
      </c>
      <c r="F477" s="48">
        <v>11.5</v>
      </c>
      <c r="G477" s="48">
        <v>23.9</v>
      </c>
      <c r="H477" s="48">
        <v>1515</v>
      </c>
      <c r="I477" s="48">
        <v>56.6</v>
      </c>
      <c r="J477" s="48">
        <v>1571.6</v>
      </c>
      <c r="K477" s="48">
        <v>0</v>
      </c>
      <c r="L477" s="48">
        <v>0</v>
      </c>
      <c r="M477" s="48">
        <v>0</v>
      </c>
      <c r="N477" s="48">
        <v>0</v>
      </c>
    </row>
    <row r="478" spans="1:14" ht="10.050000000000001" customHeight="1">
      <c r="A478" s="45" t="s">
        <v>87</v>
      </c>
      <c r="B478" s="46">
        <v>2013</v>
      </c>
      <c r="C478" s="45" t="s">
        <v>119</v>
      </c>
      <c r="D478" s="47">
        <v>3</v>
      </c>
      <c r="E478" s="48">
        <v>11979.9</v>
      </c>
      <c r="F478" s="48">
        <v>357.6</v>
      </c>
      <c r="G478" s="48">
        <v>12337.5</v>
      </c>
      <c r="H478" s="48">
        <v>149149.4</v>
      </c>
      <c r="I478" s="48">
        <v>19037.8</v>
      </c>
      <c r="J478" s="48">
        <v>168187.2</v>
      </c>
      <c r="K478" s="48">
        <v>14563.4</v>
      </c>
      <c r="L478" s="48">
        <v>2692.3</v>
      </c>
      <c r="M478" s="48">
        <v>5992.1</v>
      </c>
      <c r="N478" s="48">
        <v>161.80000000000001</v>
      </c>
    </row>
    <row r="479" spans="1:14" ht="10.050000000000001" customHeight="1">
      <c r="A479" s="45" t="s">
        <v>84</v>
      </c>
      <c r="B479" s="46">
        <v>2013</v>
      </c>
      <c r="C479" s="45" t="s">
        <v>119</v>
      </c>
      <c r="D479" s="47">
        <v>4</v>
      </c>
      <c r="E479" s="48">
        <v>4059.8</v>
      </c>
      <c r="F479" s="48">
        <v>0</v>
      </c>
      <c r="G479" s="48">
        <v>4059.8</v>
      </c>
      <c r="H479" s="48">
        <v>37510.9</v>
      </c>
      <c r="I479" s="48">
        <v>5405.5</v>
      </c>
      <c r="J479" s="48">
        <v>42916.4</v>
      </c>
      <c r="K479" s="48">
        <v>1986.5</v>
      </c>
      <c r="L479" s="48">
        <v>348.3</v>
      </c>
      <c r="M479" s="48">
        <v>1819.9</v>
      </c>
      <c r="N479" s="48">
        <v>98.6</v>
      </c>
    </row>
    <row r="480" spans="1:14" ht="10.050000000000001" customHeight="1">
      <c r="A480" s="45" t="s">
        <v>89</v>
      </c>
      <c r="B480" s="46">
        <v>2013</v>
      </c>
      <c r="C480" s="45" t="s">
        <v>119</v>
      </c>
      <c r="D480" s="47">
        <v>4</v>
      </c>
      <c r="E480" s="48">
        <v>4</v>
      </c>
      <c r="F480" s="48">
        <v>0</v>
      </c>
      <c r="G480" s="48">
        <v>4</v>
      </c>
      <c r="H480" s="48">
        <v>1158.5999999999999</v>
      </c>
      <c r="I480" s="48">
        <v>53.7</v>
      </c>
      <c r="J480" s="48">
        <v>1212.3</v>
      </c>
      <c r="K480" s="48">
        <v>0</v>
      </c>
      <c r="L480" s="48">
        <v>0</v>
      </c>
      <c r="M480" s="48">
        <v>0</v>
      </c>
      <c r="N480" s="48">
        <v>0</v>
      </c>
    </row>
    <row r="481" spans="1:14" ht="10.050000000000001" customHeight="1">
      <c r="A481" s="45" t="s">
        <v>87</v>
      </c>
      <c r="B481" s="46">
        <v>2013</v>
      </c>
      <c r="C481" s="45" t="s">
        <v>119</v>
      </c>
      <c r="D481" s="47">
        <v>4</v>
      </c>
      <c r="E481" s="48">
        <v>11595.5</v>
      </c>
      <c r="F481" s="48">
        <v>98.5</v>
      </c>
      <c r="G481" s="48">
        <v>11694</v>
      </c>
      <c r="H481" s="48">
        <v>116654.6</v>
      </c>
      <c r="I481" s="48">
        <v>16728</v>
      </c>
      <c r="J481" s="48">
        <v>133382.6</v>
      </c>
      <c r="K481" s="48">
        <v>7637.7</v>
      </c>
      <c r="L481" s="48">
        <v>1201.2</v>
      </c>
      <c r="M481" s="48">
        <v>5857.6</v>
      </c>
      <c r="N481" s="48">
        <v>2269.1</v>
      </c>
    </row>
    <row r="482" spans="1:14" ht="10.050000000000001" customHeight="1">
      <c r="A482" s="45" t="s">
        <v>84</v>
      </c>
      <c r="B482" s="46">
        <v>2013</v>
      </c>
      <c r="C482" s="45" t="s">
        <v>119</v>
      </c>
      <c r="D482" s="47">
        <v>5</v>
      </c>
      <c r="E482" s="48">
        <v>3018.9</v>
      </c>
      <c r="F482" s="48">
        <v>50.9</v>
      </c>
      <c r="G482" s="48">
        <v>3069.8</v>
      </c>
      <c r="H482" s="48">
        <v>28447.599999999999</v>
      </c>
      <c r="I482" s="48">
        <v>3930</v>
      </c>
      <c r="J482" s="48">
        <v>32377.599999999999</v>
      </c>
      <c r="K482" s="48">
        <v>607.79999999999995</v>
      </c>
      <c r="L482" s="48">
        <v>83.9</v>
      </c>
      <c r="M482" s="48">
        <v>1418.1</v>
      </c>
      <c r="N482" s="48">
        <v>25.6</v>
      </c>
    </row>
    <row r="483" spans="1:14" ht="10.050000000000001" customHeight="1">
      <c r="A483" s="45" t="s">
        <v>89</v>
      </c>
      <c r="B483" s="46">
        <v>2013</v>
      </c>
      <c r="C483" s="45" t="s">
        <v>119</v>
      </c>
      <c r="D483" s="47">
        <v>5</v>
      </c>
      <c r="E483" s="48">
        <v>5.4</v>
      </c>
      <c r="F483" s="48">
        <v>0</v>
      </c>
      <c r="G483" s="48">
        <v>5.4</v>
      </c>
      <c r="H483" s="48">
        <v>863.1</v>
      </c>
      <c r="I483" s="48">
        <v>53.5</v>
      </c>
      <c r="J483" s="48">
        <v>916.6</v>
      </c>
      <c r="K483" s="48">
        <v>0</v>
      </c>
      <c r="L483" s="48">
        <v>0</v>
      </c>
      <c r="M483" s="48">
        <v>0</v>
      </c>
      <c r="N483" s="48">
        <v>0</v>
      </c>
    </row>
    <row r="484" spans="1:14" ht="10.050000000000001" customHeight="1">
      <c r="A484" s="45" t="s">
        <v>87</v>
      </c>
      <c r="B484" s="46">
        <v>2013</v>
      </c>
      <c r="C484" s="45" t="s">
        <v>119</v>
      </c>
      <c r="D484" s="47">
        <v>5</v>
      </c>
      <c r="E484" s="48">
        <v>10691.3</v>
      </c>
      <c r="F484" s="48">
        <v>139.4</v>
      </c>
      <c r="G484" s="48">
        <v>10830.7</v>
      </c>
      <c r="H484" s="48">
        <v>72230.7</v>
      </c>
      <c r="I484" s="48">
        <v>13340.3</v>
      </c>
      <c r="J484" s="48">
        <v>85571</v>
      </c>
      <c r="K484" s="48">
        <v>2505.4</v>
      </c>
      <c r="L484" s="48">
        <v>1097.4000000000001</v>
      </c>
      <c r="M484" s="48">
        <v>6141.4</v>
      </c>
      <c r="N484" s="48">
        <v>64.3</v>
      </c>
    </row>
    <row r="485" spans="1:14" ht="10.050000000000001" customHeight="1">
      <c r="A485" s="45" t="s">
        <v>84</v>
      </c>
      <c r="B485" s="46">
        <v>2013</v>
      </c>
      <c r="C485" s="45" t="s">
        <v>119</v>
      </c>
      <c r="D485" s="47">
        <v>6</v>
      </c>
      <c r="E485" s="48">
        <v>2209.4</v>
      </c>
      <c r="F485" s="48">
        <v>608.9</v>
      </c>
      <c r="G485" s="48">
        <v>2818.3</v>
      </c>
      <c r="H485" s="48">
        <v>8589</v>
      </c>
      <c r="I485" s="48">
        <v>3782.8</v>
      </c>
      <c r="J485" s="48">
        <v>12371.8</v>
      </c>
      <c r="K485" s="48">
        <v>152.4</v>
      </c>
      <c r="L485" s="48">
        <v>18</v>
      </c>
      <c r="M485" s="48">
        <v>451.5</v>
      </c>
      <c r="N485" s="48">
        <v>21.9</v>
      </c>
    </row>
    <row r="486" spans="1:14" ht="10.050000000000001" customHeight="1">
      <c r="A486" s="45" t="s">
        <v>89</v>
      </c>
      <c r="B486" s="46">
        <v>2013</v>
      </c>
      <c r="C486" s="45" t="s">
        <v>119</v>
      </c>
      <c r="D486" s="47">
        <v>6</v>
      </c>
      <c r="E486" s="48">
        <v>25.6</v>
      </c>
      <c r="F486" s="48">
        <v>0</v>
      </c>
      <c r="G486" s="48">
        <v>25.6</v>
      </c>
      <c r="H486" s="48">
        <v>640.5</v>
      </c>
      <c r="I486" s="48">
        <v>47</v>
      </c>
      <c r="J486" s="48">
        <v>687.5</v>
      </c>
      <c r="K486" s="48">
        <v>0</v>
      </c>
      <c r="L486" s="48">
        <v>0</v>
      </c>
      <c r="M486" s="48">
        <v>0</v>
      </c>
      <c r="N486" s="48">
        <v>0</v>
      </c>
    </row>
    <row r="487" spans="1:14" ht="10.050000000000001" customHeight="1">
      <c r="A487" s="45" t="s">
        <v>87</v>
      </c>
      <c r="B487" s="46">
        <v>2013</v>
      </c>
      <c r="C487" s="45" t="s">
        <v>119</v>
      </c>
      <c r="D487" s="47">
        <v>6</v>
      </c>
      <c r="E487" s="48">
        <v>6593.2</v>
      </c>
      <c r="F487" s="48">
        <v>153.69999999999999</v>
      </c>
      <c r="G487" s="48">
        <v>6746.9</v>
      </c>
      <c r="H487" s="48">
        <v>44766.3</v>
      </c>
      <c r="I487" s="48">
        <v>12422.6</v>
      </c>
      <c r="J487" s="48">
        <v>57188.9</v>
      </c>
      <c r="K487" s="48">
        <v>807.7</v>
      </c>
      <c r="L487" s="48">
        <v>1175.3</v>
      </c>
      <c r="M487" s="48">
        <v>2186.8000000000002</v>
      </c>
      <c r="N487" s="48">
        <v>804.6</v>
      </c>
    </row>
    <row r="488" spans="1:14" ht="10.050000000000001" customHeight="1">
      <c r="A488" s="45" t="s">
        <v>84</v>
      </c>
      <c r="B488" s="46">
        <v>2013</v>
      </c>
      <c r="C488" s="45" t="s">
        <v>120</v>
      </c>
      <c r="D488" s="47">
        <v>7</v>
      </c>
      <c r="E488" s="48">
        <v>3027.4</v>
      </c>
      <c r="F488" s="48">
        <v>27.3</v>
      </c>
      <c r="G488" s="48">
        <v>3054.7</v>
      </c>
      <c r="H488" s="48">
        <v>8016.7</v>
      </c>
      <c r="I488" s="48">
        <v>3820.5</v>
      </c>
      <c r="J488" s="48">
        <v>11837.2</v>
      </c>
      <c r="K488" s="48">
        <v>540.29999999999995</v>
      </c>
      <c r="L488" s="48">
        <v>946.3</v>
      </c>
      <c r="M488" s="48">
        <v>540.70000000000005</v>
      </c>
      <c r="N488" s="48">
        <v>17.600000000000001</v>
      </c>
    </row>
    <row r="489" spans="1:14" ht="10.050000000000001" customHeight="1">
      <c r="A489" s="45" t="s">
        <v>89</v>
      </c>
      <c r="B489" s="46">
        <v>2013</v>
      </c>
      <c r="C489" s="45" t="s">
        <v>120</v>
      </c>
      <c r="D489" s="47">
        <v>7</v>
      </c>
      <c r="E489" s="48">
        <v>0</v>
      </c>
      <c r="F489" s="48">
        <v>0</v>
      </c>
      <c r="G489" s="48">
        <v>0</v>
      </c>
      <c r="H489" s="48">
        <v>342.5</v>
      </c>
      <c r="I489" s="48">
        <v>47</v>
      </c>
      <c r="J489" s="48">
        <v>389.5</v>
      </c>
      <c r="K489" s="48">
        <v>0</v>
      </c>
      <c r="L489" s="48">
        <v>0</v>
      </c>
      <c r="M489" s="48">
        <v>0</v>
      </c>
      <c r="N489" s="48">
        <v>0</v>
      </c>
    </row>
    <row r="490" spans="1:14" ht="10.050000000000001" customHeight="1">
      <c r="A490" s="45" t="s">
        <v>87</v>
      </c>
      <c r="B490" s="46">
        <v>2013</v>
      </c>
      <c r="C490" s="45" t="s">
        <v>120</v>
      </c>
      <c r="D490" s="47">
        <v>7</v>
      </c>
      <c r="E490" s="48">
        <v>99522.5</v>
      </c>
      <c r="F490" s="48">
        <v>2575.8000000000002</v>
      </c>
      <c r="G490" s="48">
        <v>102098.3</v>
      </c>
      <c r="H490" s="48">
        <v>105880.9</v>
      </c>
      <c r="I490" s="48">
        <v>14097.8</v>
      </c>
      <c r="J490" s="48">
        <v>119978.7</v>
      </c>
      <c r="K490" s="48">
        <v>21996.2</v>
      </c>
      <c r="L490" s="48">
        <v>31420.9</v>
      </c>
      <c r="M490" s="48">
        <v>9815.9</v>
      </c>
      <c r="N490" s="48">
        <v>289.89999999999998</v>
      </c>
    </row>
    <row r="491" spans="1:14" ht="10.050000000000001" customHeight="1">
      <c r="A491" s="45" t="s">
        <v>84</v>
      </c>
      <c r="B491" s="46">
        <v>2013</v>
      </c>
      <c r="C491" s="45" t="s">
        <v>120</v>
      </c>
      <c r="D491" s="47">
        <v>8</v>
      </c>
      <c r="E491" s="48">
        <v>68213.5</v>
      </c>
      <c r="F491" s="48">
        <v>510.8</v>
      </c>
      <c r="G491" s="48">
        <v>68724.3</v>
      </c>
      <c r="H491" s="48">
        <v>70093.8</v>
      </c>
      <c r="I491" s="48">
        <v>4192.8</v>
      </c>
      <c r="J491" s="48">
        <v>74286.600000000006</v>
      </c>
      <c r="K491" s="48">
        <v>16260.5</v>
      </c>
      <c r="L491" s="48">
        <v>16763.599999999999</v>
      </c>
      <c r="M491" s="48">
        <v>959.1</v>
      </c>
      <c r="N491" s="48">
        <v>84.3</v>
      </c>
    </row>
    <row r="492" spans="1:14" ht="10.050000000000001" customHeight="1">
      <c r="A492" s="45" t="s">
        <v>89</v>
      </c>
      <c r="B492" s="46">
        <v>2013</v>
      </c>
      <c r="C492" s="45" t="s">
        <v>120</v>
      </c>
      <c r="D492" s="47">
        <v>8</v>
      </c>
      <c r="E492" s="48">
        <v>1678.7</v>
      </c>
      <c r="F492" s="48">
        <v>0</v>
      </c>
      <c r="G492" s="48">
        <v>1678.7</v>
      </c>
      <c r="H492" s="48">
        <v>1747.5</v>
      </c>
      <c r="I492" s="48">
        <v>47</v>
      </c>
      <c r="J492" s="48">
        <v>1794.5</v>
      </c>
      <c r="K492" s="48">
        <v>45.9</v>
      </c>
      <c r="L492" s="48">
        <v>45.9</v>
      </c>
      <c r="M492" s="48">
        <v>0</v>
      </c>
      <c r="N492" s="48">
        <v>0</v>
      </c>
    </row>
    <row r="493" spans="1:14" ht="10.050000000000001" customHeight="1">
      <c r="A493" s="45" t="s">
        <v>87</v>
      </c>
      <c r="B493" s="46">
        <v>2013</v>
      </c>
      <c r="C493" s="45" t="s">
        <v>120</v>
      </c>
      <c r="D493" s="47">
        <v>8</v>
      </c>
      <c r="E493" s="48">
        <v>136153</v>
      </c>
      <c r="F493" s="48">
        <v>3345.4</v>
      </c>
      <c r="G493" s="48">
        <v>139498.4</v>
      </c>
      <c r="H493" s="48">
        <v>213130.5</v>
      </c>
      <c r="I493" s="48">
        <v>16437.900000000001</v>
      </c>
      <c r="J493" s="48">
        <v>229568.4</v>
      </c>
      <c r="K493" s="48">
        <v>65593.100000000006</v>
      </c>
      <c r="L493" s="48">
        <v>57664.5</v>
      </c>
      <c r="M493" s="48">
        <v>13945.2</v>
      </c>
      <c r="N493" s="48">
        <v>122.5</v>
      </c>
    </row>
    <row r="494" spans="1:14" ht="10.050000000000001" customHeight="1">
      <c r="A494" s="45" t="s">
        <v>84</v>
      </c>
      <c r="B494" s="46">
        <v>2013</v>
      </c>
      <c r="C494" s="45" t="s">
        <v>120</v>
      </c>
      <c r="D494" s="47">
        <v>9</v>
      </c>
      <c r="E494" s="48">
        <v>56909.3</v>
      </c>
      <c r="F494" s="48">
        <v>704</v>
      </c>
      <c r="G494" s="48">
        <v>57613.3</v>
      </c>
      <c r="H494" s="48">
        <v>91961.1</v>
      </c>
      <c r="I494" s="48">
        <v>4508.6000000000004</v>
      </c>
      <c r="J494" s="48">
        <v>96469.7</v>
      </c>
      <c r="K494" s="48">
        <v>30216.3</v>
      </c>
      <c r="L494" s="48">
        <v>29649.200000000001</v>
      </c>
      <c r="M494" s="48">
        <v>15584.9</v>
      </c>
      <c r="N494" s="48">
        <v>134.5</v>
      </c>
    </row>
    <row r="495" spans="1:14" ht="10.050000000000001" customHeight="1">
      <c r="A495" s="45" t="s">
        <v>89</v>
      </c>
      <c r="B495" s="46">
        <v>2013</v>
      </c>
      <c r="C495" s="45" t="s">
        <v>120</v>
      </c>
      <c r="D495" s="47">
        <v>9</v>
      </c>
      <c r="E495" s="48">
        <v>906.3</v>
      </c>
      <c r="F495" s="48">
        <v>70.599999999999994</v>
      </c>
      <c r="G495" s="48">
        <v>976.9</v>
      </c>
      <c r="H495" s="48">
        <v>2308.1999999999998</v>
      </c>
      <c r="I495" s="48">
        <v>77.2</v>
      </c>
      <c r="J495" s="48">
        <v>2385.4</v>
      </c>
      <c r="K495" s="48">
        <v>31.7</v>
      </c>
      <c r="L495" s="48">
        <v>31.7</v>
      </c>
      <c r="M495" s="48">
        <v>45.9</v>
      </c>
      <c r="N495" s="48">
        <v>0</v>
      </c>
    </row>
    <row r="496" spans="1:14" ht="10.050000000000001" customHeight="1">
      <c r="A496" s="45" t="s">
        <v>87</v>
      </c>
      <c r="B496" s="46">
        <v>2013</v>
      </c>
      <c r="C496" s="45" t="s">
        <v>120</v>
      </c>
      <c r="D496" s="47">
        <v>9</v>
      </c>
      <c r="E496" s="48">
        <v>28235.5</v>
      </c>
      <c r="F496" s="48">
        <v>1381</v>
      </c>
      <c r="G496" s="48">
        <v>29616.5</v>
      </c>
      <c r="H496" s="48">
        <v>204631</v>
      </c>
      <c r="I496" s="48">
        <v>17153.3</v>
      </c>
      <c r="J496" s="48">
        <v>221784.3</v>
      </c>
      <c r="K496" s="48">
        <v>52114.9</v>
      </c>
      <c r="L496" s="48">
        <v>6511.7</v>
      </c>
      <c r="M496" s="48">
        <v>19482.5</v>
      </c>
      <c r="N496" s="48">
        <v>507.9</v>
      </c>
    </row>
    <row r="497" spans="1:14" ht="10.050000000000001" customHeight="1">
      <c r="A497" s="45" t="s">
        <v>84</v>
      </c>
      <c r="B497" s="46">
        <v>2013</v>
      </c>
      <c r="C497" s="45" t="s">
        <v>120</v>
      </c>
      <c r="D497" s="47">
        <v>10</v>
      </c>
      <c r="E497" s="48">
        <v>13926.9</v>
      </c>
      <c r="F497" s="48">
        <v>2277.6999999999998</v>
      </c>
      <c r="G497" s="48">
        <v>16204.6</v>
      </c>
      <c r="H497" s="48">
        <v>83309.7</v>
      </c>
      <c r="I497" s="48">
        <v>6063.7</v>
      </c>
      <c r="J497" s="48">
        <v>89373.4</v>
      </c>
      <c r="K497" s="48">
        <v>22456</v>
      </c>
      <c r="L497" s="48">
        <v>2501.6</v>
      </c>
      <c r="M497" s="48">
        <v>10145.1</v>
      </c>
      <c r="N497" s="48">
        <v>90.8</v>
      </c>
    </row>
    <row r="498" spans="1:14" ht="10.050000000000001" customHeight="1">
      <c r="A498" s="45" t="s">
        <v>89</v>
      </c>
      <c r="B498" s="46">
        <v>2013</v>
      </c>
      <c r="C498" s="45" t="s">
        <v>120</v>
      </c>
      <c r="D498" s="47">
        <v>10</v>
      </c>
      <c r="E498" s="48">
        <v>64.8</v>
      </c>
      <c r="F498" s="48">
        <v>42</v>
      </c>
      <c r="G498" s="48">
        <v>106.8</v>
      </c>
      <c r="H498" s="48">
        <v>2086.1</v>
      </c>
      <c r="I498" s="48">
        <v>119.2</v>
      </c>
      <c r="J498" s="48">
        <v>2205.3000000000002</v>
      </c>
      <c r="K498" s="48">
        <v>0</v>
      </c>
      <c r="L498" s="48">
        <v>0</v>
      </c>
      <c r="M498" s="48">
        <v>31.7</v>
      </c>
      <c r="N498" s="48">
        <v>0</v>
      </c>
    </row>
    <row r="499" spans="1:14" ht="10.050000000000001" customHeight="1">
      <c r="A499" s="45" t="s">
        <v>87</v>
      </c>
      <c r="B499" s="46">
        <v>2013</v>
      </c>
      <c r="C499" s="45" t="s">
        <v>120</v>
      </c>
      <c r="D499" s="47">
        <v>10</v>
      </c>
      <c r="E499" s="48">
        <v>13449.4</v>
      </c>
      <c r="F499" s="48">
        <v>2266.3000000000002</v>
      </c>
      <c r="G499" s="48">
        <v>15715.7</v>
      </c>
      <c r="H499" s="48">
        <v>174439.3</v>
      </c>
      <c r="I499" s="48">
        <v>17472.8</v>
      </c>
      <c r="J499" s="48">
        <v>191912.1</v>
      </c>
      <c r="K499" s="48">
        <v>45067.6</v>
      </c>
      <c r="L499" s="48">
        <v>1700.5</v>
      </c>
      <c r="M499" s="48">
        <v>8556.1</v>
      </c>
      <c r="N499" s="48">
        <v>191.1</v>
      </c>
    </row>
    <row r="500" spans="1:14" ht="10.050000000000001" customHeight="1">
      <c r="A500" s="45" t="s">
        <v>84</v>
      </c>
      <c r="B500" s="46">
        <v>2013</v>
      </c>
      <c r="C500" s="45" t="s">
        <v>120</v>
      </c>
      <c r="D500" s="47">
        <v>11</v>
      </c>
      <c r="E500" s="48">
        <v>6714.2</v>
      </c>
      <c r="F500" s="48">
        <v>1564</v>
      </c>
      <c r="G500" s="48">
        <v>8278.2000000000007</v>
      </c>
      <c r="H500" s="48">
        <v>82338.2</v>
      </c>
      <c r="I500" s="48">
        <v>6474.2</v>
      </c>
      <c r="J500" s="48">
        <v>88812.4</v>
      </c>
      <c r="K500" s="48">
        <v>19437.3</v>
      </c>
      <c r="L500" s="48">
        <v>723.6</v>
      </c>
      <c r="M500" s="48">
        <v>3612.2</v>
      </c>
      <c r="N500" s="48">
        <v>130.30000000000001</v>
      </c>
    </row>
    <row r="501" spans="1:14" ht="10.050000000000001" customHeight="1">
      <c r="A501" s="45" t="s">
        <v>89</v>
      </c>
      <c r="B501" s="46">
        <v>2013</v>
      </c>
      <c r="C501" s="45" t="s">
        <v>120</v>
      </c>
      <c r="D501" s="47">
        <v>11</v>
      </c>
      <c r="E501" s="48">
        <v>34.1</v>
      </c>
      <c r="F501" s="48">
        <v>42.8</v>
      </c>
      <c r="G501" s="48">
        <v>76.900000000000006</v>
      </c>
      <c r="H501" s="48">
        <v>1844.2</v>
      </c>
      <c r="I501" s="48">
        <v>162</v>
      </c>
      <c r="J501" s="48">
        <v>2006.2</v>
      </c>
      <c r="K501" s="48">
        <v>0</v>
      </c>
      <c r="L501" s="48">
        <v>25.4</v>
      </c>
      <c r="M501" s="48">
        <v>25.3</v>
      </c>
      <c r="N501" s="48">
        <v>0.1</v>
      </c>
    </row>
    <row r="502" spans="1:14" ht="10.050000000000001" customHeight="1">
      <c r="A502" s="45" t="s">
        <v>87</v>
      </c>
      <c r="B502" s="46">
        <v>2013</v>
      </c>
      <c r="C502" s="45" t="s">
        <v>120</v>
      </c>
      <c r="D502" s="47">
        <v>11</v>
      </c>
      <c r="E502" s="48">
        <v>14151</v>
      </c>
      <c r="F502" s="48">
        <v>3951.2</v>
      </c>
      <c r="G502" s="48">
        <v>18102.2</v>
      </c>
      <c r="H502" s="48">
        <v>146777.79999999999</v>
      </c>
      <c r="I502" s="48">
        <v>18707.599999999999</v>
      </c>
      <c r="J502" s="48">
        <v>165485.4</v>
      </c>
      <c r="K502" s="48">
        <v>36132.300000000003</v>
      </c>
      <c r="L502" s="48">
        <v>1313.4</v>
      </c>
      <c r="M502" s="48">
        <v>9945.7000000000007</v>
      </c>
      <c r="N502" s="48">
        <v>303.2</v>
      </c>
    </row>
    <row r="503" spans="1:14" ht="10.050000000000001" customHeight="1">
      <c r="A503" s="45" t="s">
        <v>84</v>
      </c>
      <c r="B503" s="46">
        <v>2013</v>
      </c>
      <c r="C503" s="45" t="s">
        <v>120</v>
      </c>
      <c r="D503" s="47">
        <v>12</v>
      </c>
      <c r="E503" s="48">
        <v>6307.2</v>
      </c>
      <c r="F503" s="48">
        <v>661.4</v>
      </c>
      <c r="G503" s="48">
        <v>6968.6</v>
      </c>
      <c r="H503" s="48">
        <v>76878</v>
      </c>
      <c r="I503" s="48">
        <v>5943</v>
      </c>
      <c r="J503" s="48">
        <v>82821</v>
      </c>
      <c r="K503" s="48">
        <v>16859.2</v>
      </c>
      <c r="L503" s="48">
        <v>605.6</v>
      </c>
      <c r="M503" s="48">
        <v>2695.8</v>
      </c>
      <c r="N503" s="48">
        <v>80.099999999999994</v>
      </c>
    </row>
    <row r="504" spans="1:14" ht="10.050000000000001" customHeight="1">
      <c r="A504" s="45" t="s">
        <v>89</v>
      </c>
      <c r="B504" s="46">
        <v>2013</v>
      </c>
      <c r="C504" s="45" t="s">
        <v>120</v>
      </c>
      <c r="D504" s="47">
        <v>12</v>
      </c>
      <c r="E504" s="48">
        <v>26.8</v>
      </c>
      <c r="F504" s="48">
        <v>61.6</v>
      </c>
      <c r="G504" s="48">
        <v>88.4</v>
      </c>
      <c r="H504" s="48">
        <v>1627.4</v>
      </c>
      <c r="I504" s="48">
        <v>159</v>
      </c>
      <c r="J504" s="48">
        <v>1786.4</v>
      </c>
      <c r="K504" s="48">
        <v>0</v>
      </c>
      <c r="L504" s="48">
        <v>14.7</v>
      </c>
      <c r="M504" s="48">
        <v>0</v>
      </c>
      <c r="N504" s="48">
        <v>14.7</v>
      </c>
    </row>
    <row r="505" spans="1:14" ht="10.050000000000001" customHeight="1">
      <c r="A505" s="45" t="s">
        <v>87</v>
      </c>
      <c r="B505" s="46">
        <v>2013</v>
      </c>
      <c r="C505" s="45" t="s">
        <v>120</v>
      </c>
      <c r="D505" s="47">
        <v>12</v>
      </c>
      <c r="E505" s="48">
        <v>12109.7</v>
      </c>
      <c r="F505" s="48">
        <v>2633.9</v>
      </c>
      <c r="G505" s="48">
        <v>14743.6</v>
      </c>
      <c r="H505" s="48">
        <v>127461.6</v>
      </c>
      <c r="I505" s="48">
        <v>19395.400000000001</v>
      </c>
      <c r="J505" s="48">
        <v>146857</v>
      </c>
      <c r="K505" s="48">
        <v>30652.400000000001</v>
      </c>
      <c r="L505" s="48">
        <v>1557.7</v>
      </c>
      <c r="M505" s="48">
        <v>6855.3</v>
      </c>
      <c r="N505" s="48">
        <v>182.4</v>
      </c>
    </row>
    <row r="506" spans="1:14" ht="10.050000000000001" customHeight="1">
      <c r="A506" s="45" t="s">
        <v>84</v>
      </c>
      <c r="B506" s="46">
        <v>2014</v>
      </c>
      <c r="C506" s="45" t="s">
        <v>120</v>
      </c>
      <c r="D506" s="47">
        <v>1</v>
      </c>
      <c r="E506" s="48">
        <v>7571.6</v>
      </c>
      <c r="F506" s="48">
        <v>531.29999999999995</v>
      </c>
      <c r="G506" s="48">
        <v>8102.9</v>
      </c>
      <c r="H506" s="48">
        <v>71915.7</v>
      </c>
      <c r="I506" s="48">
        <v>2113</v>
      </c>
      <c r="J506" s="48">
        <v>74028.7</v>
      </c>
      <c r="K506" s="48">
        <v>13756.8</v>
      </c>
      <c r="L506" s="48">
        <v>728.8</v>
      </c>
      <c r="M506" s="48">
        <v>3599.2</v>
      </c>
      <c r="N506" s="48">
        <v>231.9</v>
      </c>
    </row>
    <row r="507" spans="1:14" ht="10.050000000000001" customHeight="1">
      <c r="A507" s="45" t="s">
        <v>89</v>
      </c>
      <c r="B507" s="46">
        <v>2014</v>
      </c>
      <c r="C507" s="45" t="s">
        <v>120</v>
      </c>
      <c r="D507" s="47">
        <v>1</v>
      </c>
      <c r="E507" s="48">
        <v>26.4</v>
      </c>
      <c r="F507" s="48">
        <v>0</v>
      </c>
      <c r="G507" s="48">
        <v>26.4</v>
      </c>
      <c r="H507" s="48">
        <v>1417.5</v>
      </c>
      <c r="I507" s="48">
        <v>127.1</v>
      </c>
      <c r="J507" s="48">
        <v>1544.6</v>
      </c>
      <c r="K507" s="48">
        <v>0</v>
      </c>
      <c r="L507" s="48">
        <v>0</v>
      </c>
      <c r="M507" s="48">
        <v>0</v>
      </c>
      <c r="N507" s="48">
        <v>0</v>
      </c>
    </row>
    <row r="508" spans="1:14" ht="10.050000000000001" customHeight="1">
      <c r="A508" s="45" t="s">
        <v>87</v>
      </c>
      <c r="B508" s="46">
        <v>2014</v>
      </c>
      <c r="C508" s="45" t="s">
        <v>120</v>
      </c>
      <c r="D508" s="47">
        <v>1</v>
      </c>
      <c r="E508" s="48">
        <v>16122</v>
      </c>
      <c r="F508" s="48">
        <v>2702.5</v>
      </c>
      <c r="G508" s="48">
        <v>18824.5</v>
      </c>
      <c r="H508" s="48">
        <v>115976.1</v>
      </c>
      <c r="I508" s="48">
        <v>9707.3000000000102</v>
      </c>
      <c r="J508" s="48">
        <v>125683.4</v>
      </c>
      <c r="K508" s="48">
        <v>23106.799999999999</v>
      </c>
      <c r="L508" s="48">
        <v>2160</v>
      </c>
      <c r="M508" s="48">
        <v>9568.9</v>
      </c>
      <c r="N508" s="48">
        <v>143</v>
      </c>
    </row>
    <row r="509" spans="1:14" ht="10.050000000000001" customHeight="1">
      <c r="A509" s="45" t="s">
        <v>84</v>
      </c>
      <c r="B509" s="46">
        <v>2014</v>
      </c>
      <c r="C509" s="45" t="s">
        <v>120</v>
      </c>
      <c r="D509" s="47">
        <v>2</v>
      </c>
      <c r="E509" s="48">
        <v>9938.2999999999993</v>
      </c>
      <c r="F509" s="48">
        <v>15</v>
      </c>
      <c r="G509" s="48">
        <v>9953.2999999999993</v>
      </c>
      <c r="H509" s="48">
        <v>66346</v>
      </c>
      <c r="I509" s="48">
        <v>1064</v>
      </c>
      <c r="J509" s="48">
        <v>67410</v>
      </c>
      <c r="K509" s="48">
        <v>10283.9</v>
      </c>
      <c r="L509" s="48">
        <v>804.2</v>
      </c>
      <c r="M509" s="48">
        <v>4238.1000000000004</v>
      </c>
      <c r="N509" s="48">
        <v>38.799999999999997</v>
      </c>
    </row>
    <row r="510" spans="1:14" ht="10.050000000000001" customHeight="1">
      <c r="A510" s="45" t="s">
        <v>89</v>
      </c>
      <c r="B510" s="46">
        <v>2014</v>
      </c>
      <c r="C510" s="45" t="s">
        <v>120</v>
      </c>
      <c r="D510" s="47">
        <v>2</v>
      </c>
      <c r="E510" s="48">
        <v>24.1</v>
      </c>
      <c r="F510" s="48">
        <v>0</v>
      </c>
      <c r="G510" s="48">
        <v>24.1</v>
      </c>
      <c r="H510" s="48">
        <v>1098</v>
      </c>
      <c r="I510" s="48">
        <v>62</v>
      </c>
      <c r="J510" s="48">
        <v>1160</v>
      </c>
      <c r="K510" s="48">
        <v>0</v>
      </c>
      <c r="L510" s="48">
        <v>0</v>
      </c>
      <c r="M510" s="48">
        <v>0</v>
      </c>
      <c r="N510" s="48">
        <v>0</v>
      </c>
    </row>
    <row r="511" spans="1:14" ht="10.050000000000001" customHeight="1">
      <c r="A511" s="45" t="s">
        <v>87</v>
      </c>
      <c r="B511" s="46">
        <v>2014</v>
      </c>
      <c r="C511" s="45" t="s">
        <v>120</v>
      </c>
      <c r="D511" s="47">
        <v>2</v>
      </c>
      <c r="E511" s="48">
        <v>14538.1</v>
      </c>
      <c r="F511" s="48">
        <v>2341.6</v>
      </c>
      <c r="G511" s="48">
        <v>16879.7</v>
      </c>
      <c r="H511" s="48">
        <v>104302.3</v>
      </c>
      <c r="I511" s="48">
        <v>5442</v>
      </c>
      <c r="J511" s="48">
        <v>109744.3</v>
      </c>
      <c r="K511" s="48">
        <v>16331.6</v>
      </c>
      <c r="L511" s="48">
        <v>1754.1</v>
      </c>
      <c r="M511" s="48">
        <v>8044.6</v>
      </c>
      <c r="N511" s="48">
        <v>478.7</v>
      </c>
    </row>
    <row r="512" spans="1:14" ht="10.050000000000001" customHeight="1">
      <c r="A512" s="45" t="s">
        <v>84</v>
      </c>
      <c r="B512" s="46">
        <v>2014</v>
      </c>
      <c r="C512" s="45" t="s">
        <v>120</v>
      </c>
      <c r="D512" s="47">
        <v>3</v>
      </c>
      <c r="E512" s="48">
        <v>9426.1</v>
      </c>
      <c r="F512" s="48">
        <v>0</v>
      </c>
      <c r="G512" s="48">
        <v>9426.1</v>
      </c>
      <c r="H512" s="48">
        <v>50305.7</v>
      </c>
      <c r="I512" s="48">
        <v>869.1</v>
      </c>
      <c r="J512" s="48">
        <v>51174.8</v>
      </c>
      <c r="K512" s="48">
        <v>5505.3</v>
      </c>
      <c r="L512" s="48">
        <v>615.6</v>
      </c>
      <c r="M512" s="48">
        <v>5273.9</v>
      </c>
      <c r="N512" s="48">
        <v>135.80000000000001</v>
      </c>
    </row>
    <row r="513" spans="1:14" ht="10.050000000000001" customHeight="1">
      <c r="A513" s="45" t="s">
        <v>89</v>
      </c>
      <c r="B513" s="46">
        <v>2014</v>
      </c>
      <c r="C513" s="45" t="s">
        <v>120</v>
      </c>
      <c r="D513" s="47">
        <v>3</v>
      </c>
      <c r="E513" s="48">
        <v>9.8000000000000007</v>
      </c>
      <c r="F513" s="48">
        <v>0</v>
      </c>
      <c r="G513" s="48">
        <v>9.8000000000000007</v>
      </c>
      <c r="H513" s="48">
        <v>935.6</v>
      </c>
      <c r="I513" s="48">
        <v>48.8</v>
      </c>
      <c r="J513" s="48">
        <v>984.4</v>
      </c>
      <c r="K513" s="48">
        <v>0</v>
      </c>
      <c r="L513" s="48">
        <v>0</v>
      </c>
      <c r="M513" s="48">
        <v>0</v>
      </c>
      <c r="N513" s="48">
        <v>0</v>
      </c>
    </row>
    <row r="514" spans="1:14" ht="10.050000000000001" customHeight="1">
      <c r="A514" s="45" t="s">
        <v>87</v>
      </c>
      <c r="B514" s="46">
        <v>2014</v>
      </c>
      <c r="C514" s="45" t="s">
        <v>120</v>
      </c>
      <c r="D514" s="47">
        <v>3</v>
      </c>
      <c r="E514" s="48">
        <v>12681.3</v>
      </c>
      <c r="F514" s="48">
        <v>570</v>
      </c>
      <c r="G514" s="48">
        <v>13251.3</v>
      </c>
      <c r="H514" s="48">
        <v>88536.1</v>
      </c>
      <c r="I514" s="48">
        <v>4269.8</v>
      </c>
      <c r="J514" s="48">
        <v>92805.9</v>
      </c>
      <c r="K514" s="48">
        <v>9331.6</v>
      </c>
      <c r="L514" s="48">
        <v>788.8</v>
      </c>
      <c r="M514" s="48">
        <v>7656.9</v>
      </c>
      <c r="N514" s="48">
        <v>137.80000000000001</v>
      </c>
    </row>
    <row r="515" spans="1:14" ht="10.050000000000001" customHeight="1">
      <c r="A515" s="45" t="s">
        <v>84</v>
      </c>
      <c r="B515" s="46">
        <v>2014</v>
      </c>
      <c r="C515" s="45" t="s">
        <v>120</v>
      </c>
      <c r="D515" s="47">
        <v>4</v>
      </c>
      <c r="E515" s="48">
        <v>6156.1</v>
      </c>
      <c r="F515" s="48">
        <v>82.8</v>
      </c>
      <c r="G515" s="48">
        <v>6238.9</v>
      </c>
      <c r="H515" s="48">
        <v>49413.3</v>
      </c>
      <c r="I515" s="48">
        <v>599</v>
      </c>
      <c r="J515" s="48">
        <v>50012.3</v>
      </c>
      <c r="K515" s="48">
        <v>2599.6</v>
      </c>
      <c r="L515" s="48">
        <v>476.9</v>
      </c>
      <c r="M515" s="48">
        <v>2981.5</v>
      </c>
      <c r="N515" s="48">
        <v>385.7</v>
      </c>
    </row>
    <row r="516" spans="1:14" ht="10.050000000000001" customHeight="1">
      <c r="A516" s="45" t="s">
        <v>89</v>
      </c>
      <c r="B516" s="46">
        <v>2014</v>
      </c>
      <c r="C516" s="45" t="s">
        <v>120</v>
      </c>
      <c r="D516" s="47">
        <v>4</v>
      </c>
      <c r="E516" s="48">
        <v>0</v>
      </c>
      <c r="F516" s="48">
        <v>0</v>
      </c>
      <c r="G516" s="48">
        <v>0</v>
      </c>
      <c r="H516" s="48">
        <v>730.7</v>
      </c>
      <c r="I516" s="48">
        <v>48.8</v>
      </c>
      <c r="J516" s="48">
        <v>779.5</v>
      </c>
      <c r="K516" s="48">
        <v>0</v>
      </c>
      <c r="L516" s="48">
        <v>0</v>
      </c>
      <c r="M516" s="48">
        <v>0</v>
      </c>
      <c r="N516" s="48">
        <v>0</v>
      </c>
    </row>
    <row r="517" spans="1:14" ht="10.050000000000001" customHeight="1">
      <c r="A517" s="45" t="s">
        <v>87</v>
      </c>
      <c r="B517" s="46">
        <v>2014</v>
      </c>
      <c r="C517" s="45" t="s">
        <v>120</v>
      </c>
      <c r="D517" s="47">
        <v>4</v>
      </c>
      <c r="E517" s="48">
        <v>11309.9</v>
      </c>
      <c r="F517" s="48">
        <v>271.39999999999998</v>
      </c>
      <c r="G517" s="48">
        <v>11581.3</v>
      </c>
      <c r="H517" s="48">
        <v>71218.899999999994</v>
      </c>
      <c r="I517" s="48">
        <v>3202.2</v>
      </c>
      <c r="J517" s="48">
        <v>74421.100000000006</v>
      </c>
      <c r="K517" s="48">
        <v>4754.8999999999996</v>
      </c>
      <c r="L517" s="48">
        <v>761.6</v>
      </c>
      <c r="M517" s="48">
        <v>5075.5</v>
      </c>
      <c r="N517" s="48">
        <v>262.89999999999998</v>
      </c>
    </row>
    <row r="518" spans="1:14" ht="10.050000000000001" customHeight="1">
      <c r="A518" s="45" t="s">
        <v>84</v>
      </c>
      <c r="B518" s="46">
        <v>2014</v>
      </c>
      <c r="C518" s="45" t="s">
        <v>120</v>
      </c>
      <c r="D518" s="47">
        <v>5</v>
      </c>
      <c r="E518" s="48">
        <v>3798.7</v>
      </c>
      <c r="F518" s="48">
        <v>61.7</v>
      </c>
      <c r="G518" s="48">
        <v>3860.4</v>
      </c>
      <c r="H518" s="48">
        <v>26941.8</v>
      </c>
      <c r="I518" s="48">
        <v>636.4</v>
      </c>
      <c r="J518" s="48">
        <v>27578.2</v>
      </c>
      <c r="K518" s="48">
        <v>700.7</v>
      </c>
      <c r="L518" s="48">
        <v>135.4</v>
      </c>
      <c r="M518" s="48">
        <v>2018.6</v>
      </c>
      <c r="N518" s="48">
        <v>15.8</v>
      </c>
    </row>
    <row r="519" spans="1:14" ht="10.050000000000001" customHeight="1">
      <c r="A519" s="45" t="s">
        <v>89</v>
      </c>
      <c r="B519" s="46">
        <v>2014</v>
      </c>
      <c r="C519" s="45" t="s">
        <v>120</v>
      </c>
      <c r="D519" s="47">
        <v>5</v>
      </c>
      <c r="E519" s="48">
        <v>0</v>
      </c>
      <c r="F519" s="48">
        <v>0</v>
      </c>
      <c r="G519" s="48">
        <v>0</v>
      </c>
      <c r="H519" s="48">
        <v>541.5</v>
      </c>
      <c r="I519" s="48">
        <v>47.7</v>
      </c>
      <c r="J519" s="48">
        <v>589.20000000000005</v>
      </c>
      <c r="K519" s="48">
        <v>0</v>
      </c>
      <c r="L519" s="48">
        <v>0</v>
      </c>
      <c r="M519" s="48">
        <v>0</v>
      </c>
      <c r="N519" s="48">
        <v>0</v>
      </c>
    </row>
    <row r="520" spans="1:14" ht="10.050000000000001" customHeight="1">
      <c r="A520" s="45" t="s">
        <v>87</v>
      </c>
      <c r="B520" s="46">
        <v>2014</v>
      </c>
      <c r="C520" s="45" t="s">
        <v>120</v>
      </c>
      <c r="D520" s="47">
        <v>5</v>
      </c>
      <c r="E520" s="48">
        <v>7156.6</v>
      </c>
      <c r="F520" s="48">
        <v>0</v>
      </c>
      <c r="G520" s="48">
        <v>7156.6</v>
      </c>
      <c r="H520" s="48">
        <v>58153.8</v>
      </c>
      <c r="I520" s="48">
        <v>2766.6</v>
      </c>
      <c r="J520" s="48">
        <v>60920.4</v>
      </c>
      <c r="K520" s="48">
        <v>1568.1</v>
      </c>
      <c r="L520" s="48">
        <v>984.9</v>
      </c>
      <c r="M520" s="48">
        <v>4050.7</v>
      </c>
      <c r="N520" s="48">
        <v>121.1</v>
      </c>
    </row>
    <row r="521" spans="1:14" ht="10.050000000000001" customHeight="1">
      <c r="A521" s="45" t="s">
        <v>84</v>
      </c>
      <c r="B521" s="46">
        <v>2014</v>
      </c>
      <c r="C521" s="45" t="s">
        <v>120</v>
      </c>
      <c r="D521" s="47">
        <v>6</v>
      </c>
      <c r="E521" s="48">
        <v>3038.8</v>
      </c>
      <c r="F521" s="48">
        <v>74.3</v>
      </c>
      <c r="G521" s="48">
        <v>3113.1</v>
      </c>
      <c r="H521" s="48">
        <v>11957</v>
      </c>
      <c r="I521" s="48">
        <v>431.6</v>
      </c>
      <c r="J521" s="48">
        <v>12388.6</v>
      </c>
      <c r="K521" s="48">
        <v>148.30000000000001</v>
      </c>
      <c r="L521" s="48">
        <v>289.89999999999998</v>
      </c>
      <c r="M521" s="48">
        <v>670.9</v>
      </c>
      <c r="N521" s="48">
        <v>178.4</v>
      </c>
    </row>
    <row r="522" spans="1:14" ht="10.050000000000001" customHeight="1">
      <c r="A522" s="45" t="s">
        <v>89</v>
      </c>
      <c r="B522" s="46">
        <v>2014</v>
      </c>
      <c r="C522" s="45" t="s">
        <v>120</v>
      </c>
      <c r="D522" s="47">
        <v>6</v>
      </c>
      <c r="E522" s="48">
        <v>71.900000000000006</v>
      </c>
      <c r="F522" s="48">
        <v>28.1</v>
      </c>
      <c r="G522" s="48">
        <v>100</v>
      </c>
      <c r="H522" s="48">
        <v>382.7</v>
      </c>
      <c r="I522" s="48">
        <v>45.4</v>
      </c>
      <c r="J522" s="48">
        <v>428.1</v>
      </c>
      <c r="K522" s="48">
        <v>0</v>
      </c>
      <c r="L522" s="48">
        <v>0</v>
      </c>
      <c r="M522" s="48">
        <v>0</v>
      </c>
      <c r="N522" s="48">
        <v>0</v>
      </c>
    </row>
    <row r="523" spans="1:14" ht="10.050000000000001" customHeight="1">
      <c r="A523" s="45" t="s">
        <v>87</v>
      </c>
      <c r="B523" s="46">
        <v>2014</v>
      </c>
      <c r="C523" s="45" t="s">
        <v>120</v>
      </c>
      <c r="D523" s="47">
        <v>6</v>
      </c>
      <c r="E523" s="48">
        <v>4223.5</v>
      </c>
      <c r="F523" s="48">
        <v>6.8</v>
      </c>
      <c r="G523" s="48">
        <v>4230.3</v>
      </c>
      <c r="H523" s="48">
        <v>33528</v>
      </c>
      <c r="I523" s="48">
        <v>2494.1</v>
      </c>
      <c r="J523" s="48">
        <v>36022.1</v>
      </c>
      <c r="K523" s="48">
        <v>1094.8</v>
      </c>
      <c r="L523" s="48">
        <v>787.9</v>
      </c>
      <c r="M523" s="48">
        <v>1187.2</v>
      </c>
      <c r="N523" s="48">
        <v>74</v>
      </c>
    </row>
    <row r="524" spans="1:14" ht="10.050000000000001" customHeight="1">
      <c r="A524" s="45" t="s">
        <v>84</v>
      </c>
      <c r="B524" s="46">
        <v>2014</v>
      </c>
      <c r="C524" s="45" t="s">
        <v>121</v>
      </c>
      <c r="D524" s="47">
        <v>7</v>
      </c>
      <c r="E524" s="48">
        <v>6764.1</v>
      </c>
      <c r="F524" s="48">
        <v>97</v>
      </c>
      <c r="G524" s="48">
        <v>6861.1</v>
      </c>
      <c r="H524" s="48">
        <v>14564</v>
      </c>
      <c r="I524" s="48">
        <v>453.5</v>
      </c>
      <c r="J524" s="48">
        <v>15017.5</v>
      </c>
      <c r="K524" s="48">
        <v>1253.4000000000001</v>
      </c>
      <c r="L524" s="48">
        <v>1180</v>
      </c>
      <c r="M524" s="48">
        <v>72.7</v>
      </c>
      <c r="N524" s="48">
        <v>-4.9000000000000004</v>
      </c>
    </row>
    <row r="525" spans="1:14" ht="10.050000000000001" customHeight="1">
      <c r="A525" s="45" t="s">
        <v>89</v>
      </c>
      <c r="B525" s="46">
        <v>2014</v>
      </c>
      <c r="C525" s="45" t="s">
        <v>121</v>
      </c>
      <c r="D525" s="47">
        <v>7</v>
      </c>
      <c r="E525" s="48">
        <v>39.1</v>
      </c>
      <c r="F525" s="48">
        <v>0</v>
      </c>
      <c r="G525" s="48">
        <v>39.1</v>
      </c>
      <c r="H525" s="48">
        <v>308.89999999999998</v>
      </c>
      <c r="I525" s="48">
        <v>45.4</v>
      </c>
      <c r="J525" s="48">
        <v>354.3</v>
      </c>
      <c r="K525" s="48">
        <v>0</v>
      </c>
      <c r="L525" s="48">
        <v>15.3</v>
      </c>
      <c r="M525" s="48">
        <v>15.3</v>
      </c>
      <c r="N525" s="48">
        <v>0</v>
      </c>
    </row>
    <row r="526" spans="1:14" ht="10.050000000000001" customHeight="1">
      <c r="A526" s="45" t="s">
        <v>87</v>
      </c>
      <c r="B526" s="46">
        <v>2014</v>
      </c>
      <c r="C526" s="45" t="s">
        <v>121</v>
      </c>
      <c r="D526" s="47">
        <v>7</v>
      </c>
      <c r="E526" s="48">
        <v>182159.6</v>
      </c>
      <c r="F526" s="48">
        <v>5215.5</v>
      </c>
      <c r="G526" s="48">
        <v>187375.1</v>
      </c>
      <c r="H526" s="48">
        <v>197596.3</v>
      </c>
      <c r="I526" s="48">
        <v>6706.3</v>
      </c>
      <c r="J526" s="48">
        <v>204302.6</v>
      </c>
      <c r="K526" s="48">
        <v>56842.9</v>
      </c>
      <c r="L526" s="48">
        <v>63871.5</v>
      </c>
      <c r="M526" s="48">
        <v>7993.6</v>
      </c>
      <c r="N526" s="48">
        <v>130</v>
      </c>
    </row>
    <row r="527" spans="1:14" ht="10.050000000000001" customHeight="1">
      <c r="A527" s="45" t="s">
        <v>84</v>
      </c>
      <c r="B527" s="46">
        <v>2014</v>
      </c>
      <c r="C527" s="45" t="s">
        <v>121</v>
      </c>
      <c r="D527" s="47">
        <v>8</v>
      </c>
      <c r="E527" s="48">
        <v>70824.100000000006</v>
      </c>
      <c r="F527" s="48">
        <v>1499.8</v>
      </c>
      <c r="G527" s="48">
        <v>72323.899999999994</v>
      </c>
      <c r="H527" s="48">
        <v>80483.8</v>
      </c>
      <c r="I527" s="48">
        <v>1146</v>
      </c>
      <c r="J527" s="48">
        <v>81629.8</v>
      </c>
      <c r="K527" s="48">
        <v>13721.7</v>
      </c>
      <c r="L527" s="48">
        <v>13644.1</v>
      </c>
      <c r="M527" s="48">
        <v>1107.7</v>
      </c>
      <c r="N527" s="48">
        <v>45.6</v>
      </c>
    </row>
    <row r="528" spans="1:14" ht="10.050000000000001" customHeight="1">
      <c r="A528" s="45" t="s">
        <v>89</v>
      </c>
      <c r="B528" s="46">
        <v>2014</v>
      </c>
      <c r="C528" s="45" t="s">
        <v>121</v>
      </c>
      <c r="D528" s="47">
        <v>8</v>
      </c>
      <c r="E528" s="48">
        <v>3186.3</v>
      </c>
      <c r="F528" s="48">
        <v>0</v>
      </c>
      <c r="G528" s="48">
        <v>3186.3</v>
      </c>
      <c r="H528" s="48">
        <v>3395.8</v>
      </c>
      <c r="I528" s="48">
        <v>45.4</v>
      </c>
      <c r="J528" s="48">
        <v>3441.2</v>
      </c>
      <c r="K528" s="48">
        <v>96</v>
      </c>
      <c r="L528" s="48">
        <v>511.4</v>
      </c>
      <c r="M528" s="48">
        <v>414.6</v>
      </c>
      <c r="N528" s="48">
        <v>0.8</v>
      </c>
    </row>
    <row r="529" spans="1:14" ht="10.050000000000001" customHeight="1">
      <c r="A529" s="45" t="s">
        <v>87</v>
      </c>
      <c r="B529" s="46">
        <v>2014</v>
      </c>
      <c r="C529" s="45" t="s">
        <v>121</v>
      </c>
      <c r="D529" s="47">
        <v>8</v>
      </c>
      <c r="E529" s="48">
        <v>53878.6</v>
      </c>
      <c r="F529" s="48">
        <v>1517.3</v>
      </c>
      <c r="G529" s="48">
        <v>55395.9</v>
      </c>
      <c r="H529" s="48">
        <v>225022.7</v>
      </c>
      <c r="I529" s="48">
        <v>6618.4</v>
      </c>
      <c r="J529" s="48">
        <v>231641.1</v>
      </c>
      <c r="K529" s="48">
        <v>64457.4</v>
      </c>
      <c r="L529" s="48">
        <v>25539</v>
      </c>
      <c r="M529" s="48">
        <v>17745.400000000001</v>
      </c>
      <c r="N529" s="48">
        <v>178.5</v>
      </c>
    </row>
    <row r="530" spans="1:14" ht="10.050000000000001" customHeight="1">
      <c r="A530" s="45" t="s">
        <v>84</v>
      </c>
      <c r="B530" s="46">
        <v>2014</v>
      </c>
      <c r="C530" s="45" t="s">
        <v>121</v>
      </c>
      <c r="D530" s="47">
        <v>9</v>
      </c>
      <c r="E530" s="48">
        <v>62652.1</v>
      </c>
      <c r="F530" s="48">
        <v>1430.1</v>
      </c>
      <c r="G530" s="48">
        <v>64082.2</v>
      </c>
      <c r="H530" s="48">
        <v>109504</v>
      </c>
      <c r="I530" s="48">
        <v>1693.5</v>
      </c>
      <c r="J530" s="48">
        <v>111197.5</v>
      </c>
      <c r="K530" s="48">
        <v>29442.5</v>
      </c>
      <c r="L530" s="48">
        <v>29145.1</v>
      </c>
      <c r="M530" s="48">
        <v>13301.1</v>
      </c>
      <c r="N530" s="48">
        <v>145.80000000000001</v>
      </c>
    </row>
    <row r="531" spans="1:14" ht="10.050000000000001" customHeight="1">
      <c r="A531" s="45" t="s">
        <v>89</v>
      </c>
      <c r="B531" s="46">
        <v>2014</v>
      </c>
      <c r="C531" s="45" t="s">
        <v>121</v>
      </c>
      <c r="D531" s="47">
        <v>9</v>
      </c>
      <c r="E531" s="48">
        <v>2676.8</v>
      </c>
      <c r="F531" s="48">
        <v>101.7</v>
      </c>
      <c r="G531" s="48">
        <v>2778.5</v>
      </c>
      <c r="H531" s="48">
        <v>5892.4</v>
      </c>
      <c r="I531" s="48">
        <v>147.1</v>
      </c>
      <c r="J531" s="48">
        <v>6039.5</v>
      </c>
      <c r="K531" s="48">
        <v>125</v>
      </c>
      <c r="L531" s="48">
        <v>159.30000000000001</v>
      </c>
      <c r="M531" s="48">
        <v>128.19999999999999</v>
      </c>
      <c r="N531" s="48">
        <v>2.1</v>
      </c>
    </row>
    <row r="532" spans="1:14" ht="10.050000000000001" customHeight="1">
      <c r="A532" s="45" t="s">
        <v>87</v>
      </c>
      <c r="B532" s="46">
        <v>2014</v>
      </c>
      <c r="C532" s="45" t="s">
        <v>121</v>
      </c>
      <c r="D532" s="47">
        <v>9</v>
      </c>
      <c r="E532" s="48">
        <v>22320.9</v>
      </c>
      <c r="F532" s="48">
        <v>1491.6</v>
      </c>
      <c r="G532" s="48">
        <v>23812.5</v>
      </c>
      <c r="H532" s="48">
        <v>217860.7</v>
      </c>
      <c r="I532" s="48">
        <v>7486.3</v>
      </c>
      <c r="J532" s="48">
        <v>225347</v>
      </c>
      <c r="K532" s="48">
        <v>50916</v>
      </c>
      <c r="L532" s="48">
        <v>2509.4</v>
      </c>
      <c r="M532" s="48">
        <v>15699.3</v>
      </c>
      <c r="N532" s="48">
        <v>351.5</v>
      </c>
    </row>
    <row r="533" spans="1:14" ht="10.050000000000001" customHeight="1">
      <c r="A533" s="45" t="s">
        <v>84</v>
      </c>
      <c r="B533" s="46">
        <v>2014</v>
      </c>
      <c r="C533" s="45" t="s">
        <v>121</v>
      </c>
      <c r="D533" s="47">
        <v>10</v>
      </c>
      <c r="E533" s="48">
        <v>13918.7</v>
      </c>
      <c r="F533" s="48">
        <v>2409.8000000000002</v>
      </c>
      <c r="G533" s="48">
        <v>16328.5</v>
      </c>
      <c r="H533" s="48">
        <v>103391.4</v>
      </c>
      <c r="I533" s="48">
        <v>2716.9</v>
      </c>
      <c r="J533" s="48">
        <v>106108.3</v>
      </c>
      <c r="K533" s="48">
        <v>23108.2</v>
      </c>
      <c r="L533" s="48">
        <v>2758</v>
      </c>
      <c r="M533" s="48">
        <v>9021.7999999999993</v>
      </c>
      <c r="N533" s="48">
        <v>70.599999999999994</v>
      </c>
    </row>
    <row r="534" spans="1:14" ht="10.050000000000001" customHeight="1">
      <c r="A534" s="45" t="s">
        <v>89</v>
      </c>
      <c r="B534" s="46">
        <v>2014</v>
      </c>
      <c r="C534" s="45" t="s">
        <v>121</v>
      </c>
      <c r="D534" s="47">
        <v>10</v>
      </c>
      <c r="E534" s="48">
        <v>223</v>
      </c>
      <c r="F534" s="48">
        <v>18.7</v>
      </c>
      <c r="G534" s="48">
        <v>241.7</v>
      </c>
      <c r="H534" s="48">
        <v>5843.5</v>
      </c>
      <c r="I534" s="48">
        <v>165.8</v>
      </c>
      <c r="J534" s="48">
        <v>6009.3</v>
      </c>
      <c r="K534" s="48">
        <v>55</v>
      </c>
      <c r="L534" s="48">
        <v>2.2999999999999998</v>
      </c>
      <c r="M534" s="48">
        <v>72.3</v>
      </c>
      <c r="N534" s="48">
        <v>0</v>
      </c>
    </row>
    <row r="535" spans="1:14" ht="10.050000000000001" customHeight="1">
      <c r="A535" s="45" t="s">
        <v>87</v>
      </c>
      <c r="B535" s="46">
        <v>2014</v>
      </c>
      <c r="C535" s="45" t="s">
        <v>121</v>
      </c>
      <c r="D535" s="47">
        <v>10</v>
      </c>
      <c r="E535" s="48">
        <v>14752.3</v>
      </c>
      <c r="F535" s="48">
        <v>3096.7</v>
      </c>
      <c r="G535" s="48">
        <v>17849</v>
      </c>
      <c r="H535" s="48">
        <v>201080.3</v>
      </c>
      <c r="I535" s="48">
        <v>7921.8</v>
      </c>
      <c r="J535" s="48">
        <v>209002.1</v>
      </c>
      <c r="K535" s="48">
        <v>43784.6</v>
      </c>
      <c r="L535" s="48">
        <v>1502.9</v>
      </c>
      <c r="M535" s="48">
        <v>8542.9000000000106</v>
      </c>
      <c r="N535" s="48">
        <v>91.9</v>
      </c>
    </row>
    <row r="536" spans="1:14" ht="10.050000000000001" customHeight="1">
      <c r="A536" s="45" t="s">
        <v>84</v>
      </c>
      <c r="B536" s="46">
        <v>2014</v>
      </c>
      <c r="C536" s="45" t="s">
        <v>121</v>
      </c>
      <c r="D536" s="47">
        <v>11</v>
      </c>
      <c r="E536" s="48">
        <v>7226.3</v>
      </c>
      <c r="F536" s="48">
        <v>1691.8</v>
      </c>
      <c r="G536" s="48">
        <v>8918.1</v>
      </c>
      <c r="H536" s="48">
        <v>105265</v>
      </c>
      <c r="I536" s="48">
        <v>3373.3</v>
      </c>
      <c r="J536" s="48">
        <v>108638.3</v>
      </c>
      <c r="K536" s="48">
        <v>19279.900000000001</v>
      </c>
      <c r="L536" s="48">
        <v>970.7</v>
      </c>
      <c r="M536" s="48">
        <v>4663.8999999999996</v>
      </c>
      <c r="N536" s="48">
        <v>135.19999999999999</v>
      </c>
    </row>
    <row r="537" spans="1:14" ht="10.050000000000001" customHeight="1">
      <c r="A537" s="45" t="s">
        <v>89</v>
      </c>
      <c r="B537" s="46">
        <v>2014</v>
      </c>
      <c r="C537" s="45" t="s">
        <v>121</v>
      </c>
      <c r="D537" s="47">
        <v>11</v>
      </c>
      <c r="E537" s="48">
        <v>24.8</v>
      </c>
      <c r="F537" s="48">
        <v>171</v>
      </c>
      <c r="G537" s="48">
        <v>195.8</v>
      </c>
      <c r="H537" s="48">
        <v>5532.5</v>
      </c>
      <c r="I537" s="48">
        <v>337.6</v>
      </c>
      <c r="J537" s="48">
        <v>5870.1</v>
      </c>
      <c r="K537" s="48">
        <v>57.3</v>
      </c>
      <c r="L537" s="48">
        <v>2.2999999999999998</v>
      </c>
      <c r="M537" s="48">
        <v>0</v>
      </c>
      <c r="N537" s="48">
        <v>0</v>
      </c>
    </row>
    <row r="538" spans="1:14" ht="10.050000000000001" customHeight="1">
      <c r="A538" s="45" t="s">
        <v>87</v>
      </c>
      <c r="B538" s="46">
        <v>2014</v>
      </c>
      <c r="C538" s="45" t="s">
        <v>121</v>
      </c>
      <c r="D538" s="47">
        <v>11</v>
      </c>
      <c r="E538" s="48">
        <v>12013</v>
      </c>
      <c r="F538" s="48">
        <v>3784.2</v>
      </c>
      <c r="G538" s="48">
        <v>15797.2</v>
      </c>
      <c r="H538" s="48">
        <v>187142.5</v>
      </c>
      <c r="I538" s="48">
        <v>9218.4</v>
      </c>
      <c r="J538" s="48">
        <v>196360.9</v>
      </c>
      <c r="K538" s="48">
        <v>37077.9</v>
      </c>
      <c r="L538" s="48">
        <v>883.8</v>
      </c>
      <c r="M538" s="48">
        <v>6964.5</v>
      </c>
      <c r="N538" s="48">
        <v>626.29999999999995</v>
      </c>
    </row>
    <row r="539" spans="1:14" ht="10.050000000000001" customHeight="1">
      <c r="A539" s="45" t="s">
        <v>84</v>
      </c>
      <c r="B539" s="46">
        <v>2014</v>
      </c>
      <c r="C539" s="45" t="s">
        <v>121</v>
      </c>
      <c r="D539" s="47">
        <v>12</v>
      </c>
      <c r="E539" s="48">
        <v>7474.3</v>
      </c>
      <c r="F539" s="48">
        <v>926</v>
      </c>
      <c r="G539" s="48">
        <v>8400.2999999999993</v>
      </c>
      <c r="H539" s="48">
        <v>98215</v>
      </c>
      <c r="I539" s="48">
        <v>3497</v>
      </c>
      <c r="J539" s="48">
        <v>101712</v>
      </c>
      <c r="K539" s="48">
        <v>15422.2</v>
      </c>
      <c r="L539" s="48">
        <v>741.5</v>
      </c>
      <c r="M539" s="48">
        <v>4498.7</v>
      </c>
      <c r="N539" s="48">
        <v>100.7</v>
      </c>
    </row>
    <row r="540" spans="1:14" ht="10.050000000000001" customHeight="1">
      <c r="A540" s="45" t="s">
        <v>89</v>
      </c>
      <c r="B540" s="46">
        <v>2014</v>
      </c>
      <c r="C540" s="45" t="s">
        <v>121</v>
      </c>
      <c r="D540" s="47">
        <v>12</v>
      </c>
      <c r="E540" s="48">
        <v>19.3</v>
      </c>
      <c r="F540" s="48">
        <v>31.3</v>
      </c>
      <c r="G540" s="48">
        <v>50.6</v>
      </c>
      <c r="H540" s="48">
        <v>5315.5</v>
      </c>
      <c r="I540" s="48">
        <v>368.9</v>
      </c>
      <c r="J540" s="48">
        <v>5684.4</v>
      </c>
      <c r="K540" s="48">
        <v>57.1</v>
      </c>
      <c r="L540" s="48">
        <v>0</v>
      </c>
      <c r="M540" s="48">
        <v>0</v>
      </c>
      <c r="N540" s="48">
        <v>0.2</v>
      </c>
    </row>
    <row r="541" spans="1:14" ht="10.050000000000001" customHeight="1">
      <c r="A541" s="45" t="s">
        <v>87</v>
      </c>
      <c r="B541" s="46">
        <v>2014</v>
      </c>
      <c r="C541" s="45" t="s">
        <v>121</v>
      </c>
      <c r="D541" s="47">
        <v>12</v>
      </c>
      <c r="E541" s="48">
        <v>10396.299999999999</v>
      </c>
      <c r="F541" s="48">
        <v>4058.3</v>
      </c>
      <c r="G541" s="48">
        <v>14454.6</v>
      </c>
      <c r="H541" s="48">
        <v>174663.5</v>
      </c>
      <c r="I541" s="48">
        <v>10155.799999999999</v>
      </c>
      <c r="J541" s="48">
        <v>184819.3</v>
      </c>
      <c r="K541" s="48">
        <v>31659.5</v>
      </c>
      <c r="L541" s="48">
        <v>1536</v>
      </c>
      <c r="M541" s="48">
        <v>6657.1</v>
      </c>
      <c r="N541" s="48">
        <v>297.39999999999998</v>
      </c>
    </row>
    <row r="542" spans="1:14" ht="10.050000000000001" customHeight="1">
      <c r="A542" s="45" t="s">
        <v>84</v>
      </c>
      <c r="B542" s="46">
        <v>2015</v>
      </c>
      <c r="C542" s="45" t="s">
        <v>121</v>
      </c>
      <c r="D542" s="47">
        <v>1</v>
      </c>
      <c r="E542" s="48">
        <v>7847.2</v>
      </c>
      <c r="F542" s="48">
        <v>745.3</v>
      </c>
      <c r="G542" s="48">
        <v>8592.5</v>
      </c>
      <c r="H542" s="48">
        <v>101058.3</v>
      </c>
      <c r="I542" s="48">
        <v>2750.1</v>
      </c>
      <c r="J542" s="48">
        <v>103808.4</v>
      </c>
      <c r="K542" s="48">
        <v>11826.3</v>
      </c>
      <c r="L542" s="48">
        <v>621.1</v>
      </c>
      <c r="M542" s="48">
        <v>4124.2</v>
      </c>
      <c r="N542" s="48">
        <v>92.8</v>
      </c>
    </row>
    <row r="543" spans="1:14" ht="10.050000000000001" customHeight="1">
      <c r="A543" s="45" t="s">
        <v>89</v>
      </c>
      <c r="B543" s="46">
        <v>2015</v>
      </c>
      <c r="C543" s="45" t="s">
        <v>121</v>
      </c>
      <c r="D543" s="47">
        <v>1</v>
      </c>
      <c r="E543" s="48">
        <v>2.2999999999999998</v>
      </c>
      <c r="F543" s="48">
        <v>47.6</v>
      </c>
      <c r="G543" s="48">
        <v>49.9</v>
      </c>
      <c r="H543" s="48">
        <v>5066.7</v>
      </c>
      <c r="I543" s="48">
        <v>377</v>
      </c>
      <c r="J543" s="48">
        <v>5443.7</v>
      </c>
      <c r="K543" s="48">
        <v>54.6</v>
      </c>
      <c r="L543" s="48">
        <v>0</v>
      </c>
      <c r="M543" s="48">
        <v>2.2999999999999998</v>
      </c>
      <c r="N543" s="48">
        <v>0.2</v>
      </c>
    </row>
    <row r="544" spans="1:14" ht="10.050000000000001" customHeight="1">
      <c r="A544" s="45" t="s">
        <v>87</v>
      </c>
      <c r="B544" s="46">
        <v>2015</v>
      </c>
      <c r="C544" s="45" t="s">
        <v>121</v>
      </c>
      <c r="D544" s="47">
        <v>1</v>
      </c>
      <c r="E544" s="48">
        <v>15187.4</v>
      </c>
      <c r="F544" s="48">
        <v>2923.7</v>
      </c>
      <c r="G544" s="48">
        <v>18111.099999999999</v>
      </c>
      <c r="H544" s="48">
        <v>161386.70000000001</v>
      </c>
      <c r="I544" s="48">
        <v>7537.1</v>
      </c>
      <c r="J544" s="48">
        <v>168923.8</v>
      </c>
      <c r="K544" s="48">
        <v>24818.3</v>
      </c>
      <c r="L544" s="48">
        <v>2531.6</v>
      </c>
      <c r="M544" s="48">
        <v>8707.2999999999993</v>
      </c>
      <c r="N544" s="48">
        <v>507</v>
      </c>
    </row>
    <row r="545" spans="1:14" ht="10.050000000000001" customHeight="1">
      <c r="A545" s="45" t="s">
        <v>84</v>
      </c>
      <c r="B545" s="46">
        <v>2015</v>
      </c>
      <c r="C545" s="45" t="s">
        <v>121</v>
      </c>
      <c r="D545" s="47">
        <v>2</v>
      </c>
      <c r="E545" s="48">
        <v>5316.1</v>
      </c>
      <c r="F545" s="48">
        <v>242.7</v>
      </c>
      <c r="G545" s="48">
        <v>5558.8</v>
      </c>
      <c r="H545" s="48">
        <v>83574.399999999994</v>
      </c>
      <c r="I545" s="48">
        <v>1457.5</v>
      </c>
      <c r="J545" s="48">
        <v>85031.9</v>
      </c>
      <c r="K545" s="48">
        <v>9079.2999999999993</v>
      </c>
      <c r="L545" s="48">
        <v>649.20000000000005</v>
      </c>
      <c r="M545" s="48">
        <v>3292.5</v>
      </c>
      <c r="N545" s="48">
        <v>103.5</v>
      </c>
    </row>
    <row r="546" spans="1:14" ht="10.050000000000001" customHeight="1">
      <c r="A546" s="45" t="s">
        <v>89</v>
      </c>
      <c r="B546" s="46">
        <v>2015</v>
      </c>
      <c r="C546" s="45" t="s">
        <v>121</v>
      </c>
      <c r="D546" s="47">
        <v>2</v>
      </c>
      <c r="E546" s="48">
        <v>33.200000000000003</v>
      </c>
      <c r="F546" s="48">
        <v>0</v>
      </c>
      <c r="G546" s="48">
        <v>33.200000000000003</v>
      </c>
      <c r="H546" s="48">
        <v>4825.8999999999996</v>
      </c>
      <c r="I546" s="48">
        <v>366.4</v>
      </c>
      <c r="J546" s="48">
        <v>5192.3</v>
      </c>
      <c r="K546" s="48">
        <v>54.2</v>
      </c>
      <c r="L546" s="48">
        <v>0</v>
      </c>
      <c r="M546" s="48">
        <v>0</v>
      </c>
      <c r="N546" s="48">
        <v>0.4</v>
      </c>
    </row>
    <row r="547" spans="1:14" ht="10.050000000000001" customHeight="1">
      <c r="A547" s="45" t="s">
        <v>87</v>
      </c>
      <c r="B547" s="46">
        <v>2015</v>
      </c>
      <c r="C547" s="45" t="s">
        <v>121</v>
      </c>
      <c r="D547" s="47">
        <v>2</v>
      </c>
      <c r="E547" s="48">
        <v>12232.2</v>
      </c>
      <c r="F547" s="48">
        <v>347.3</v>
      </c>
      <c r="G547" s="48">
        <v>12579.5</v>
      </c>
      <c r="H547" s="48">
        <v>148638.20000000001</v>
      </c>
      <c r="I547" s="48">
        <v>4229.5</v>
      </c>
      <c r="J547" s="48">
        <v>152867.70000000001</v>
      </c>
      <c r="K547" s="48">
        <v>19433.900000000001</v>
      </c>
      <c r="L547" s="48">
        <v>1705.7</v>
      </c>
      <c r="M547" s="48">
        <v>6841</v>
      </c>
      <c r="N547" s="48">
        <v>249</v>
      </c>
    </row>
    <row r="548" spans="1:14" ht="10.050000000000001" customHeight="1">
      <c r="A548" s="45" t="s">
        <v>84</v>
      </c>
      <c r="B548" s="46">
        <v>2015</v>
      </c>
      <c r="C548" s="45" t="s">
        <v>121</v>
      </c>
      <c r="D548" s="47">
        <v>3</v>
      </c>
      <c r="E548" s="48">
        <v>6488.9</v>
      </c>
      <c r="F548" s="48">
        <v>65.2</v>
      </c>
      <c r="G548" s="48">
        <v>6554.1</v>
      </c>
      <c r="H548" s="48">
        <v>83890.3</v>
      </c>
      <c r="I548" s="48">
        <v>1280.9000000000001</v>
      </c>
      <c r="J548" s="48">
        <v>85171.199999999997</v>
      </c>
      <c r="K548" s="48">
        <v>5344.5</v>
      </c>
      <c r="L548" s="48">
        <v>412.8</v>
      </c>
      <c r="M548" s="48">
        <v>4013.9</v>
      </c>
      <c r="N548" s="48">
        <v>133.6</v>
      </c>
    </row>
    <row r="549" spans="1:14" ht="10.050000000000001" customHeight="1">
      <c r="A549" s="45" t="s">
        <v>89</v>
      </c>
      <c r="B549" s="46">
        <v>2015</v>
      </c>
      <c r="C549" s="45" t="s">
        <v>121</v>
      </c>
      <c r="D549" s="47">
        <v>3</v>
      </c>
      <c r="E549" s="48">
        <v>23.8</v>
      </c>
      <c r="F549" s="48">
        <v>-47.6</v>
      </c>
      <c r="G549" s="48">
        <v>-23.8</v>
      </c>
      <c r="H549" s="48">
        <v>4641.5</v>
      </c>
      <c r="I549" s="48">
        <v>303.3</v>
      </c>
      <c r="J549" s="48">
        <v>4944.8</v>
      </c>
      <c r="K549" s="48">
        <v>54</v>
      </c>
      <c r="L549" s="48">
        <v>0</v>
      </c>
      <c r="M549" s="48">
        <v>0</v>
      </c>
      <c r="N549" s="48">
        <v>0.2</v>
      </c>
    </row>
    <row r="550" spans="1:14" ht="10.050000000000001" customHeight="1">
      <c r="A550" s="45" t="s">
        <v>87</v>
      </c>
      <c r="B550" s="46">
        <v>2015</v>
      </c>
      <c r="C550" s="45" t="s">
        <v>121</v>
      </c>
      <c r="D550" s="47">
        <v>3</v>
      </c>
      <c r="E550" s="48">
        <v>13914.7</v>
      </c>
      <c r="F550" s="48">
        <v>104.2</v>
      </c>
      <c r="G550" s="48">
        <v>14018.9</v>
      </c>
      <c r="H550" s="48">
        <v>131296.6</v>
      </c>
      <c r="I550" s="48">
        <v>2898.6</v>
      </c>
      <c r="J550" s="48">
        <v>134195.20000000001</v>
      </c>
      <c r="K550" s="48">
        <v>12342.7</v>
      </c>
      <c r="L550" s="48">
        <v>1198.2</v>
      </c>
      <c r="M550" s="48">
        <v>7728.7</v>
      </c>
      <c r="N550" s="48">
        <v>560.5</v>
      </c>
    </row>
    <row r="551" spans="1:14" ht="10.050000000000001" customHeight="1">
      <c r="A551" s="45" t="s">
        <v>84</v>
      </c>
      <c r="B551" s="46">
        <v>2015</v>
      </c>
      <c r="C551" s="45" t="s">
        <v>121</v>
      </c>
      <c r="D551" s="47">
        <v>4</v>
      </c>
      <c r="E551" s="48">
        <v>4328.6000000000004</v>
      </c>
      <c r="F551" s="48">
        <v>0</v>
      </c>
      <c r="G551" s="48">
        <v>4328.6000000000004</v>
      </c>
      <c r="H551" s="48">
        <v>80778.399999999994</v>
      </c>
      <c r="I551" s="48">
        <v>810</v>
      </c>
      <c r="J551" s="48">
        <v>81588.399999999994</v>
      </c>
      <c r="K551" s="48">
        <v>3067.5</v>
      </c>
      <c r="L551" s="48">
        <v>234.3</v>
      </c>
      <c r="M551" s="48">
        <v>2399.8000000000002</v>
      </c>
      <c r="N551" s="48">
        <v>121.9</v>
      </c>
    </row>
    <row r="552" spans="1:14" ht="10.050000000000001" customHeight="1">
      <c r="A552" s="45" t="s">
        <v>89</v>
      </c>
      <c r="B552" s="46">
        <v>2015</v>
      </c>
      <c r="C552" s="45" t="s">
        <v>121</v>
      </c>
      <c r="D552" s="47">
        <v>4</v>
      </c>
      <c r="E552" s="48">
        <v>42.4</v>
      </c>
      <c r="F552" s="48">
        <v>0</v>
      </c>
      <c r="G552" s="48">
        <v>42.4</v>
      </c>
      <c r="H552" s="48">
        <v>4380.3</v>
      </c>
      <c r="I552" s="48">
        <v>303.2</v>
      </c>
      <c r="J552" s="48">
        <v>4683.5</v>
      </c>
      <c r="K552" s="48">
        <v>53.8</v>
      </c>
      <c r="L552" s="48">
        <v>0</v>
      </c>
      <c r="M552" s="48">
        <v>0</v>
      </c>
      <c r="N552" s="48">
        <v>0.2</v>
      </c>
    </row>
    <row r="553" spans="1:14" ht="10.050000000000001" customHeight="1">
      <c r="A553" s="45" t="s">
        <v>87</v>
      </c>
      <c r="B553" s="46">
        <v>2015</v>
      </c>
      <c r="C553" s="45" t="s">
        <v>121</v>
      </c>
      <c r="D553" s="47">
        <v>4</v>
      </c>
      <c r="E553" s="48">
        <v>11298.3</v>
      </c>
      <c r="F553" s="48">
        <v>74.099999999999994</v>
      </c>
      <c r="G553" s="48">
        <v>11372.4</v>
      </c>
      <c r="H553" s="48">
        <v>109503.3</v>
      </c>
      <c r="I553" s="48">
        <v>2274.6</v>
      </c>
      <c r="J553" s="48">
        <v>111777.9</v>
      </c>
      <c r="K553" s="48">
        <v>7271.2</v>
      </c>
      <c r="L553" s="48">
        <v>1395.7</v>
      </c>
      <c r="M553" s="48">
        <v>6238.2</v>
      </c>
      <c r="N553" s="48">
        <v>230.6</v>
      </c>
    </row>
    <row r="554" spans="1:14" ht="10.050000000000001" customHeight="1">
      <c r="A554" s="45" t="s">
        <v>84</v>
      </c>
      <c r="B554" s="46">
        <v>2015</v>
      </c>
      <c r="C554" s="45" t="s">
        <v>121</v>
      </c>
      <c r="D554" s="47">
        <v>5</v>
      </c>
      <c r="E554" s="48">
        <v>3657.2</v>
      </c>
      <c r="F554" s="48">
        <v>7.4</v>
      </c>
      <c r="G554" s="48">
        <v>3664.6</v>
      </c>
      <c r="H554" s="48">
        <v>69766</v>
      </c>
      <c r="I554" s="48">
        <v>579.6</v>
      </c>
      <c r="J554" s="48">
        <v>70345.600000000006</v>
      </c>
      <c r="K554" s="48">
        <v>1196</v>
      </c>
      <c r="L554" s="48">
        <v>482.3</v>
      </c>
      <c r="M554" s="48">
        <v>2167.3000000000002</v>
      </c>
      <c r="N554" s="48">
        <v>186.3</v>
      </c>
    </row>
    <row r="555" spans="1:14" ht="10.050000000000001" customHeight="1">
      <c r="A555" s="45" t="s">
        <v>89</v>
      </c>
      <c r="B555" s="46">
        <v>2015</v>
      </c>
      <c r="C555" s="45" t="s">
        <v>121</v>
      </c>
      <c r="D555" s="47">
        <v>5</v>
      </c>
      <c r="E555" s="48">
        <v>23.4</v>
      </c>
      <c r="F555" s="48">
        <v>0</v>
      </c>
      <c r="G555" s="48">
        <v>23.4</v>
      </c>
      <c r="H555" s="48">
        <v>4189.7</v>
      </c>
      <c r="I555" s="48">
        <v>303.2</v>
      </c>
      <c r="J555" s="48">
        <v>4492.8999999999996</v>
      </c>
      <c r="K555" s="48">
        <v>62.3</v>
      </c>
      <c r="L555" s="48">
        <v>8.6</v>
      </c>
      <c r="M555" s="48">
        <v>0</v>
      </c>
      <c r="N555" s="48">
        <v>0.1</v>
      </c>
    </row>
    <row r="556" spans="1:14" ht="10.050000000000001" customHeight="1">
      <c r="A556" s="45" t="s">
        <v>87</v>
      </c>
      <c r="B556" s="46">
        <v>2015</v>
      </c>
      <c r="C556" s="45" t="s">
        <v>121</v>
      </c>
      <c r="D556" s="47">
        <v>5</v>
      </c>
      <c r="E556" s="48">
        <v>7778.7</v>
      </c>
      <c r="F556" s="48">
        <v>0</v>
      </c>
      <c r="G556" s="48">
        <v>7778.7</v>
      </c>
      <c r="H556" s="48">
        <v>91233.399999999907</v>
      </c>
      <c r="I556" s="48">
        <v>1891.6</v>
      </c>
      <c r="J556" s="48">
        <v>93124.999999999898</v>
      </c>
      <c r="K556" s="48">
        <v>3129.2</v>
      </c>
      <c r="L556" s="48">
        <v>566.4</v>
      </c>
      <c r="M556" s="48">
        <v>4226.7</v>
      </c>
      <c r="N556" s="48">
        <v>481.8</v>
      </c>
    </row>
    <row r="557" spans="1:14" ht="10.050000000000001" customHeight="1">
      <c r="A557" s="45" t="s">
        <v>84</v>
      </c>
      <c r="B557" s="46">
        <v>2015</v>
      </c>
      <c r="C557" s="45" t="s">
        <v>121</v>
      </c>
      <c r="D557" s="47">
        <v>6</v>
      </c>
      <c r="E557" s="48">
        <v>2494.3000000000002</v>
      </c>
      <c r="F557" s="48">
        <v>159.19999999999999</v>
      </c>
      <c r="G557" s="48">
        <v>2653.5</v>
      </c>
      <c r="H557" s="48">
        <v>33484.400000000001</v>
      </c>
      <c r="I557" s="48">
        <v>231.8</v>
      </c>
      <c r="J557" s="48">
        <v>33716.199999999997</v>
      </c>
      <c r="K557" s="48">
        <v>393.5</v>
      </c>
      <c r="L557" s="48">
        <v>136.1</v>
      </c>
      <c r="M557" s="48">
        <v>620</v>
      </c>
      <c r="N557" s="48">
        <v>412.8</v>
      </c>
    </row>
    <row r="558" spans="1:14" ht="10.050000000000001" customHeight="1">
      <c r="A558" s="45" t="s">
        <v>89</v>
      </c>
      <c r="B558" s="46">
        <v>2015</v>
      </c>
      <c r="C558" s="45" t="s">
        <v>121</v>
      </c>
      <c r="D558" s="47">
        <v>6</v>
      </c>
      <c r="E558" s="48">
        <v>141.30000000000001</v>
      </c>
      <c r="F558" s="48">
        <v>13.9</v>
      </c>
      <c r="G558" s="48">
        <v>155.19999999999999</v>
      </c>
      <c r="H558" s="48">
        <v>3414.4</v>
      </c>
      <c r="I558" s="48">
        <v>302.60000000000002</v>
      </c>
      <c r="J558" s="48">
        <v>3717</v>
      </c>
      <c r="K558" s="48">
        <v>3.1</v>
      </c>
      <c r="L558" s="48">
        <v>0</v>
      </c>
      <c r="M558" s="48">
        <v>58.6</v>
      </c>
      <c r="N558" s="48">
        <v>0.6</v>
      </c>
    </row>
    <row r="559" spans="1:14" ht="10.050000000000001" customHeight="1">
      <c r="A559" s="45" t="s">
        <v>87</v>
      </c>
      <c r="B559" s="46">
        <v>2015</v>
      </c>
      <c r="C559" s="45" t="s">
        <v>121</v>
      </c>
      <c r="D559" s="47">
        <v>6</v>
      </c>
      <c r="E559" s="48">
        <v>6785.4</v>
      </c>
      <c r="F559" s="48">
        <v>132</v>
      </c>
      <c r="G559" s="48">
        <v>6917.4</v>
      </c>
      <c r="H559" s="48">
        <v>55900</v>
      </c>
      <c r="I559" s="48">
        <v>1142.0999999999999</v>
      </c>
      <c r="J559" s="48">
        <v>57042.1</v>
      </c>
      <c r="K559" s="48">
        <v>2160.6999999999998</v>
      </c>
      <c r="L559" s="48">
        <v>2374.9</v>
      </c>
      <c r="M559" s="48">
        <v>3110.9</v>
      </c>
      <c r="N559" s="48">
        <v>232.6</v>
      </c>
    </row>
    <row r="560" spans="1:14" ht="10.050000000000001" customHeight="1">
      <c r="A560" s="45" t="s">
        <v>84</v>
      </c>
      <c r="B560" s="46">
        <v>2015</v>
      </c>
      <c r="C560" s="45" t="s">
        <v>122</v>
      </c>
      <c r="D560" s="47">
        <v>7</v>
      </c>
      <c r="E560" s="48">
        <v>28596.2</v>
      </c>
      <c r="F560" s="48">
        <v>390.2</v>
      </c>
      <c r="G560" s="48">
        <v>28986.400000000001</v>
      </c>
      <c r="H560" s="48">
        <v>56628.5</v>
      </c>
      <c r="I560" s="48">
        <v>538.4</v>
      </c>
      <c r="J560" s="48">
        <v>57166.9</v>
      </c>
      <c r="K560" s="48">
        <v>4469.2</v>
      </c>
      <c r="L560" s="48">
        <v>4646.6000000000004</v>
      </c>
      <c r="M560" s="48">
        <v>346.7</v>
      </c>
      <c r="N560" s="48">
        <v>110.3</v>
      </c>
    </row>
    <row r="561" spans="1:14" ht="10.050000000000001" customHeight="1">
      <c r="A561" s="45" t="s">
        <v>89</v>
      </c>
      <c r="B561" s="46">
        <v>2015</v>
      </c>
      <c r="C561" s="45" t="s">
        <v>122</v>
      </c>
      <c r="D561" s="47">
        <v>7</v>
      </c>
      <c r="E561" s="48">
        <v>2238.5</v>
      </c>
      <c r="F561" s="48">
        <v>0</v>
      </c>
      <c r="G561" s="48">
        <v>2238.5</v>
      </c>
      <c r="H561" s="48">
        <v>5509.8</v>
      </c>
      <c r="I561" s="48">
        <v>277.2</v>
      </c>
      <c r="J561" s="48">
        <v>5787</v>
      </c>
      <c r="K561" s="48">
        <v>0</v>
      </c>
      <c r="L561" s="48">
        <v>742.4</v>
      </c>
      <c r="M561" s="48">
        <v>736</v>
      </c>
      <c r="N561" s="48">
        <v>9.5</v>
      </c>
    </row>
    <row r="562" spans="1:14" ht="10.050000000000001" customHeight="1">
      <c r="A562" s="45" t="s">
        <v>87</v>
      </c>
      <c r="B562" s="46">
        <v>2015</v>
      </c>
      <c r="C562" s="45" t="s">
        <v>122</v>
      </c>
      <c r="D562" s="47">
        <v>7</v>
      </c>
      <c r="E562" s="48">
        <v>274368.40000000002</v>
      </c>
      <c r="F562" s="48">
        <v>7798.6</v>
      </c>
      <c r="G562" s="48">
        <v>282167</v>
      </c>
      <c r="H562" s="48">
        <v>283668.7</v>
      </c>
      <c r="I562" s="48">
        <v>8243.2999999999993</v>
      </c>
      <c r="J562" s="48">
        <v>291912</v>
      </c>
      <c r="K562" s="48">
        <v>84764.6</v>
      </c>
      <c r="L562" s="48">
        <v>110782.2</v>
      </c>
      <c r="M562" s="48">
        <v>23554.3</v>
      </c>
      <c r="N562" s="48">
        <v>243.6</v>
      </c>
    </row>
    <row r="563" spans="1:14" ht="10.050000000000001" customHeight="1">
      <c r="A563" s="45" t="s">
        <v>84</v>
      </c>
      <c r="B563" s="46">
        <v>2015</v>
      </c>
      <c r="C563" s="45" t="s">
        <v>122</v>
      </c>
      <c r="D563" s="47">
        <v>8</v>
      </c>
      <c r="E563" s="48">
        <v>50340.4</v>
      </c>
      <c r="F563" s="48">
        <v>1058.0999999999999</v>
      </c>
      <c r="G563" s="48">
        <v>51398.5</v>
      </c>
      <c r="H563" s="48">
        <v>100980.9</v>
      </c>
      <c r="I563" s="48">
        <v>1040.5</v>
      </c>
      <c r="J563" s="48">
        <v>102021.4</v>
      </c>
      <c r="K563" s="48">
        <v>35269.699999999997</v>
      </c>
      <c r="L563" s="48">
        <v>36564.699999999997</v>
      </c>
      <c r="M563" s="48">
        <v>5699.9</v>
      </c>
      <c r="N563" s="48">
        <v>73.2</v>
      </c>
    </row>
    <row r="564" spans="1:14" ht="10.050000000000001" customHeight="1">
      <c r="A564" s="45" t="s">
        <v>89</v>
      </c>
      <c r="B564" s="46">
        <v>2015</v>
      </c>
      <c r="C564" s="45" t="s">
        <v>122</v>
      </c>
      <c r="D564" s="47">
        <v>8</v>
      </c>
      <c r="E564" s="48">
        <v>7798.9</v>
      </c>
      <c r="F564" s="48">
        <v>1.5</v>
      </c>
      <c r="G564" s="48">
        <v>7800.4</v>
      </c>
      <c r="H564" s="48">
        <v>13078.1</v>
      </c>
      <c r="I564" s="48">
        <v>278.7</v>
      </c>
      <c r="J564" s="48">
        <v>13356.8</v>
      </c>
      <c r="K564" s="48">
        <v>131.4</v>
      </c>
      <c r="L564" s="48">
        <v>552.29999999999995</v>
      </c>
      <c r="M564" s="48">
        <v>418.7</v>
      </c>
      <c r="N564" s="48">
        <v>2.2000000000000002</v>
      </c>
    </row>
    <row r="565" spans="1:14" ht="10.050000000000001" customHeight="1">
      <c r="A565" s="45" t="s">
        <v>87</v>
      </c>
      <c r="B565" s="46">
        <v>2015</v>
      </c>
      <c r="C565" s="45" t="s">
        <v>122</v>
      </c>
      <c r="D565" s="47">
        <v>8</v>
      </c>
      <c r="E565" s="48">
        <v>45731.4</v>
      </c>
      <c r="F565" s="48">
        <v>2716.8</v>
      </c>
      <c r="G565" s="48">
        <v>48448.2</v>
      </c>
      <c r="H565" s="48">
        <v>257814.7</v>
      </c>
      <c r="I565" s="48">
        <v>7277.5</v>
      </c>
      <c r="J565" s="48">
        <v>265092.2</v>
      </c>
      <c r="K565" s="48">
        <v>78420.899999999994</v>
      </c>
      <c r="L565" s="48">
        <v>16229.3</v>
      </c>
      <c r="M565" s="48">
        <v>22307.599999999999</v>
      </c>
      <c r="N565" s="48">
        <v>249.9</v>
      </c>
    </row>
    <row r="566" spans="1:14" ht="10.050000000000001" customHeight="1">
      <c r="A566" s="45" t="s">
        <v>84</v>
      </c>
      <c r="B566" s="46">
        <v>2015</v>
      </c>
      <c r="C566" s="45" t="s">
        <v>122</v>
      </c>
      <c r="D566" s="47">
        <v>9</v>
      </c>
      <c r="E566" s="48">
        <v>32000.5</v>
      </c>
      <c r="F566" s="48">
        <v>2171.8000000000002</v>
      </c>
      <c r="G566" s="48">
        <v>34172.300000000003</v>
      </c>
      <c r="H566" s="48">
        <v>114441.5</v>
      </c>
      <c r="I566" s="48">
        <v>2151.5</v>
      </c>
      <c r="J566" s="48">
        <v>116593</v>
      </c>
      <c r="K566" s="48">
        <v>44973.2</v>
      </c>
      <c r="L566" s="48">
        <v>26859.4</v>
      </c>
      <c r="M566" s="48">
        <v>16860.900000000001</v>
      </c>
      <c r="N566" s="48">
        <v>295</v>
      </c>
    </row>
    <row r="567" spans="1:14" ht="10.050000000000001" customHeight="1">
      <c r="A567" s="45" t="s">
        <v>89</v>
      </c>
      <c r="B567" s="46">
        <v>2015</v>
      </c>
      <c r="C567" s="45" t="s">
        <v>122</v>
      </c>
      <c r="D567" s="47">
        <v>9</v>
      </c>
      <c r="E567" s="48">
        <v>1612.2</v>
      </c>
      <c r="F567" s="48">
        <v>373</v>
      </c>
      <c r="G567" s="48">
        <v>1985.2</v>
      </c>
      <c r="H567" s="48">
        <v>14107.1</v>
      </c>
      <c r="I567" s="48">
        <v>604.20000000000005</v>
      </c>
      <c r="J567" s="48">
        <v>14711.3</v>
      </c>
      <c r="K567" s="48">
        <v>100.4</v>
      </c>
      <c r="L567" s="48">
        <v>27.1</v>
      </c>
      <c r="M567" s="48">
        <v>58.1</v>
      </c>
      <c r="N567" s="48">
        <v>0</v>
      </c>
    </row>
    <row r="568" spans="1:14" ht="10.050000000000001" customHeight="1">
      <c r="A568" s="45" t="s">
        <v>87</v>
      </c>
      <c r="B568" s="46">
        <v>2015</v>
      </c>
      <c r="C568" s="45" t="s">
        <v>122</v>
      </c>
      <c r="D568" s="47">
        <v>9</v>
      </c>
      <c r="E568" s="48">
        <v>25513.1</v>
      </c>
      <c r="F568" s="48">
        <v>3269.5</v>
      </c>
      <c r="G568" s="48">
        <v>28782.6</v>
      </c>
      <c r="H568" s="48">
        <v>252537.3</v>
      </c>
      <c r="I568" s="48">
        <v>8622.6</v>
      </c>
      <c r="J568" s="48">
        <v>261159.9</v>
      </c>
      <c r="K568" s="48">
        <v>62663.199999999997</v>
      </c>
      <c r="L568" s="48">
        <v>3295.9</v>
      </c>
      <c r="M568" s="48">
        <v>18101.599999999999</v>
      </c>
      <c r="N568" s="48">
        <v>932.6</v>
      </c>
    </row>
    <row r="569" spans="1:14" ht="10.050000000000001" customHeight="1">
      <c r="A569" s="45" t="s">
        <v>84</v>
      </c>
      <c r="B569" s="46">
        <v>2015</v>
      </c>
      <c r="C569" s="45" t="s">
        <v>122</v>
      </c>
      <c r="D569" s="47">
        <v>10</v>
      </c>
      <c r="E569" s="48">
        <v>9946.9000000000106</v>
      </c>
      <c r="F569" s="48">
        <v>1712.5</v>
      </c>
      <c r="G569" s="48">
        <v>11659.4</v>
      </c>
      <c r="H569" s="48">
        <v>116498.9</v>
      </c>
      <c r="I569" s="48">
        <v>2485.5</v>
      </c>
      <c r="J569" s="48">
        <v>118984.4</v>
      </c>
      <c r="K569" s="48">
        <v>39891.300000000003</v>
      </c>
      <c r="L569" s="48">
        <v>899.9</v>
      </c>
      <c r="M569" s="48">
        <v>5809</v>
      </c>
      <c r="N569" s="48">
        <v>173</v>
      </c>
    </row>
    <row r="570" spans="1:14" ht="10.050000000000001" customHeight="1">
      <c r="A570" s="45" t="s">
        <v>89</v>
      </c>
      <c r="B570" s="46">
        <v>2015</v>
      </c>
      <c r="C570" s="45" t="s">
        <v>122</v>
      </c>
      <c r="D570" s="47">
        <v>10</v>
      </c>
      <c r="E570" s="48">
        <v>88.3</v>
      </c>
      <c r="F570" s="48">
        <v>13.1</v>
      </c>
      <c r="G570" s="48">
        <v>101.4</v>
      </c>
      <c r="H570" s="48">
        <v>14047.5</v>
      </c>
      <c r="I570" s="48">
        <v>617.29999999999995</v>
      </c>
      <c r="J570" s="48">
        <v>14664.8</v>
      </c>
      <c r="K570" s="48">
        <v>92.9</v>
      </c>
      <c r="L570" s="48">
        <v>0</v>
      </c>
      <c r="M570" s="48">
        <v>7.5</v>
      </c>
      <c r="N570" s="48">
        <v>0</v>
      </c>
    </row>
    <row r="571" spans="1:14" ht="10.050000000000001" customHeight="1">
      <c r="A571" s="45" t="s">
        <v>87</v>
      </c>
      <c r="B571" s="46">
        <v>2015</v>
      </c>
      <c r="C571" s="45" t="s">
        <v>122</v>
      </c>
      <c r="D571" s="47">
        <v>10</v>
      </c>
      <c r="E571" s="48">
        <v>14728.6</v>
      </c>
      <c r="F571" s="48">
        <v>2703.9</v>
      </c>
      <c r="G571" s="48">
        <v>17432.5</v>
      </c>
      <c r="H571" s="48">
        <v>240123.1</v>
      </c>
      <c r="I571" s="48">
        <v>8625</v>
      </c>
      <c r="J571" s="48">
        <v>248748.1</v>
      </c>
      <c r="K571" s="48">
        <v>54276.3</v>
      </c>
      <c r="L571" s="48">
        <v>1212.5999999999999</v>
      </c>
      <c r="M571" s="48">
        <v>9446.7999999999993</v>
      </c>
      <c r="N571" s="48">
        <v>170.1</v>
      </c>
    </row>
    <row r="572" spans="1:14" ht="10.050000000000001" customHeight="1">
      <c r="A572" s="45" t="s">
        <v>84</v>
      </c>
      <c r="B572" s="46">
        <v>2015</v>
      </c>
      <c r="C572" s="45" t="s">
        <v>122</v>
      </c>
      <c r="D572" s="47">
        <v>11</v>
      </c>
      <c r="E572" s="48">
        <v>7050.5</v>
      </c>
      <c r="F572" s="48">
        <v>2114.3000000000002</v>
      </c>
      <c r="G572" s="48">
        <v>9164.7999999999993</v>
      </c>
      <c r="H572" s="48">
        <v>114677.8</v>
      </c>
      <c r="I572" s="48">
        <v>3218.1</v>
      </c>
      <c r="J572" s="48">
        <v>117895.9</v>
      </c>
      <c r="K572" s="48">
        <v>38455.4</v>
      </c>
      <c r="L572" s="48">
        <v>3239.3</v>
      </c>
      <c r="M572" s="48">
        <v>4523</v>
      </c>
      <c r="N572" s="48">
        <v>152.4</v>
      </c>
    </row>
    <row r="573" spans="1:14" ht="10.050000000000001" customHeight="1">
      <c r="A573" s="45" t="s">
        <v>89</v>
      </c>
      <c r="B573" s="46">
        <v>2015</v>
      </c>
      <c r="C573" s="45" t="s">
        <v>122</v>
      </c>
      <c r="D573" s="47">
        <v>11</v>
      </c>
      <c r="E573" s="48">
        <v>31.7</v>
      </c>
      <c r="F573" s="48">
        <v>43.5</v>
      </c>
      <c r="G573" s="48">
        <v>75.2</v>
      </c>
      <c r="H573" s="48">
        <v>13896.6</v>
      </c>
      <c r="I573" s="48">
        <v>660.5</v>
      </c>
      <c r="J573" s="48">
        <v>14557.1</v>
      </c>
      <c r="K573" s="48">
        <v>76.7</v>
      </c>
      <c r="L573" s="48">
        <v>0</v>
      </c>
      <c r="M573" s="48">
        <v>16.2</v>
      </c>
      <c r="N573" s="48">
        <v>0</v>
      </c>
    </row>
    <row r="574" spans="1:14" ht="10.050000000000001" customHeight="1">
      <c r="A574" s="45" t="s">
        <v>87</v>
      </c>
      <c r="B574" s="46">
        <v>2015</v>
      </c>
      <c r="C574" s="45" t="s">
        <v>122</v>
      </c>
      <c r="D574" s="47">
        <v>11</v>
      </c>
      <c r="E574" s="48">
        <v>20278.3</v>
      </c>
      <c r="F574" s="48">
        <v>4992.3</v>
      </c>
      <c r="G574" s="48">
        <v>25270.6</v>
      </c>
      <c r="H574" s="48">
        <v>221613.1</v>
      </c>
      <c r="I574" s="48">
        <v>10538.7</v>
      </c>
      <c r="J574" s="48">
        <v>232151.8</v>
      </c>
      <c r="K574" s="48">
        <v>44822.9</v>
      </c>
      <c r="L574" s="48">
        <v>2150</v>
      </c>
      <c r="M574" s="48">
        <v>11304.8</v>
      </c>
      <c r="N574" s="48">
        <v>298.5</v>
      </c>
    </row>
    <row r="575" spans="1:14" ht="10.050000000000001" customHeight="1">
      <c r="A575" s="45" t="s">
        <v>84</v>
      </c>
      <c r="B575" s="46">
        <v>2015</v>
      </c>
      <c r="C575" s="45" t="s">
        <v>122</v>
      </c>
      <c r="D575" s="47">
        <v>12</v>
      </c>
      <c r="E575" s="48">
        <v>5485</v>
      </c>
      <c r="F575" s="48">
        <v>115.4</v>
      </c>
      <c r="G575" s="48">
        <v>5600.4</v>
      </c>
      <c r="H575" s="48">
        <v>109748.1</v>
      </c>
      <c r="I575" s="48">
        <v>3242.1</v>
      </c>
      <c r="J575" s="48">
        <v>112990.2</v>
      </c>
      <c r="K575" s="48">
        <v>35277.199999999997</v>
      </c>
      <c r="L575" s="48">
        <v>658.1</v>
      </c>
      <c r="M575" s="48">
        <v>3537.8</v>
      </c>
      <c r="N575" s="48">
        <v>307</v>
      </c>
    </row>
    <row r="576" spans="1:14" ht="10.050000000000001" customHeight="1">
      <c r="A576" s="45" t="s">
        <v>89</v>
      </c>
      <c r="B576" s="46">
        <v>2015</v>
      </c>
      <c r="C576" s="45" t="s">
        <v>122</v>
      </c>
      <c r="D576" s="47">
        <v>12</v>
      </c>
      <c r="E576" s="48">
        <v>31.3</v>
      </c>
      <c r="F576" s="48">
        <v>43.8</v>
      </c>
      <c r="G576" s="48">
        <v>75.099999999999994</v>
      </c>
      <c r="H576" s="48">
        <v>13654</v>
      </c>
      <c r="I576" s="48">
        <v>683.4</v>
      </c>
      <c r="J576" s="48">
        <v>14337.4</v>
      </c>
      <c r="K576" s="48">
        <v>76.599999999999994</v>
      </c>
      <c r="L576" s="48">
        <v>18.100000000000001</v>
      </c>
      <c r="M576" s="48">
        <v>18.100000000000001</v>
      </c>
      <c r="N576" s="48">
        <v>0.1</v>
      </c>
    </row>
    <row r="577" spans="1:14" ht="10.050000000000001" customHeight="1">
      <c r="A577" s="45" t="s">
        <v>87</v>
      </c>
      <c r="B577" s="46">
        <v>2015</v>
      </c>
      <c r="C577" s="45" t="s">
        <v>122</v>
      </c>
      <c r="D577" s="47">
        <v>12</v>
      </c>
      <c r="E577" s="48">
        <v>12504.4</v>
      </c>
      <c r="F577" s="48">
        <v>4271.8</v>
      </c>
      <c r="G577" s="48">
        <v>16776.2</v>
      </c>
      <c r="H577" s="48">
        <v>217196.6</v>
      </c>
      <c r="I577" s="48">
        <v>12237.9</v>
      </c>
      <c r="J577" s="48">
        <v>229434.5</v>
      </c>
      <c r="K577" s="48">
        <v>38620</v>
      </c>
      <c r="L577" s="48">
        <v>2102.6</v>
      </c>
      <c r="M577" s="48">
        <v>8012.7</v>
      </c>
      <c r="N577" s="48">
        <v>292.60000000000002</v>
      </c>
    </row>
    <row r="578" spans="1:14" ht="10.050000000000001" customHeight="1">
      <c r="A578" s="45" t="s">
        <v>84</v>
      </c>
      <c r="B578" s="46">
        <v>2016</v>
      </c>
      <c r="C578" s="45" t="s">
        <v>122</v>
      </c>
      <c r="D578" s="47">
        <v>1</v>
      </c>
      <c r="E578" s="48">
        <v>7405.1</v>
      </c>
      <c r="F578" s="48">
        <v>727</v>
      </c>
      <c r="G578" s="48">
        <v>8132.1</v>
      </c>
      <c r="H578" s="48">
        <v>107881.3</v>
      </c>
      <c r="I578" s="48">
        <v>1747.6</v>
      </c>
      <c r="J578" s="48">
        <v>109628.9</v>
      </c>
      <c r="K578" s="48">
        <v>30078.9</v>
      </c>
      <c r="L578" s="48">
        <v>219.4</v>
      </c>
      <c r="M578" s="48">
        <v>5206.1000000000004</v>
      </c>
      <c r="N578" s="48">
        <v>211.5</v>
      </c>
    </row>
    <row r="579" spans="1:14" ht="10.050000000000001" customHeight="1">
      <c r="A579" s="45" t="s">
        <v>89</v>
      </c>
      <c r="B579" s="46">
        <v>2016</v>
      </c>
      <c r="C579" s="45" t="s">
        <v>122</v>
      </c>
      <c r="D579" s="47">
        <v>1</v>
      </c>
      <c r="E579" s="48">
        <v>0</v>
      </c>
      <c r="F579" s="48">
        <v>4</v>
      </c>
      <c r="G579" s="48">
        <v>4</v>
      </c>
      <c r="H579" s="48">
        <v>13462.1</v>
      </c>
      <c r="I579" s="48">
        <v>613.79999999999995</v>
      </c>
      <c r="J579" s="48">
        <v>14075.9</v>
      </c>
      <c r="K579" s="48">
        <v>76.599999999999994</v>
      </c>
      <c r="L579" s="48">
        <v>0</v>
      </c>
      <c r="M579" s="48">
        <v>0</v>
      </c>
      <c r="N579" s="48">
        <v>0</v>
      </c>
    </row>
    <row r="580" spans="1:14" ht="10.050000000000001" customHeight="1">
      <c r="A580" s="45" t="s">
        <v>87</v>
      </c>
      <c r="B580" s="46">
        <v>2016</v>
      </c>
      <c r="C580" s="45" t="s">
        <v>122</v>
      </c>
      <c r="D580" s="47">
        <v>1</v>
      </c>
      <c r="E580" s="48">
        <v>16723.900000000001</v>
      </c>
      <c r="F580" s="48">
        <v>4346.8999999999996</v>
      </c>
      <c r="G580" s="48">
        <v>21070.799999999999</v>
      </c>
      <c r="H580" s="48">
        <v>215901.4</v>
      </c>
      <c r="I580" s="48">
        <v>10293.1</v>
      </c>
      <c r="J580" s="48">
        <v>226194.5</v>
      </c>
      <c r="K580" s="48">
        <v>30762.799999999999</v>
      </c>
      <c r="L580" s="48">
        <v>2818.3</v>
      </c>
      <c r="M580" s="48">
        <v>10368.4</v>
      </c>
      <c r="N580" s="48">
        <v>307.3</v>
      </c>
    </row>
    <row r="581" spans="1:14" ht="10.050000000000001" customHeight="1">
      <c r="A581" s="45" t="s">
        <v>84</v>
      </c>
      <c r="B581" s="46">
        <v>2016</v>
      </c>
      <c r="C581" s="45" t="s">
        <v>122</v>
      </c>
      <c r="D581" s="47">
        <v>2</v>
      </c>
      <c r="E581" s="48">
        <v>7625.8</v>
      </c>
      <c r="F581" s="48">
        <v>399.2</v>
      </c>
      <c r="G581" s="48">
        <v>8025</v>
      </c>
      <c r="H581" s="48">
        <v>107469.4</v>
      </c>
      <c r="I581" s="48">
        <v>1568</v>
      </c>
      <c r="J581" s="48">
        <v>109037.4</v>
      </c>
      <c r="K581" s="48">
        <v>25767</v>
      </c>
      <c r="L581" s="48">
        <v>1224.8</v>
      </c>
      <c r="M581" s="48">
        <v>5353.6</v>
      </c>
      <c r="N581" s="48">
        <v>187.1</v>
      </c>
    </row>
    <row r="582" spans="1:14" ht="10.050000000000001" customHeight="1">
      <c r="A582" s="45" t="s">
        <v>89</v>
      </c>
      <c r="B582" s="46">
        <v>2016</v>
      </c>
      <c r="C582" s="45" t="s">
        <v>122</v>
      </c>
      <c r="D582" s="47">
        <v>2</v>
      </c>
      <c r="E582" s="48">
        <v>1.1000000000000001</v>
      </c>
      <c r="F582" s="48">
        <v>0</v>
      </c>
      <c r="G582" s="48">
        <v>1.1000000000000001</v>
      </c>
      <c r="H582" s="48">
        <v>12854.6</v>
      </c>
      <c r="I582" s="48">
        <v>572.29999999999995</v>
      </c>
      <c r="J582" s="48">
        <v>13426.9</v>
      </c>
      <c r="K582" s="48">
        <v>76.5</v>
      </c>
      <c r="L582" s="48">
        <v>7.4</v>
      </c>
      <c r="M582" s="48">
        <v>1.1000000000000001</v>
      </c>
      <c r="N582" s="48">
        <v>6.5</v>
      </c>
    </row>
    <row r="583" spans="1:14" ht="10.050000000000001" customHeight="1">
      <c r="A583" s="45" t="s">
        <v>87</v>
      </c>
      <c r="B583" s="46">
        <v>2016</v>
      </c>
      <c r="C583" s="45" t="s">
        <v>122</v>
      </c>
      <c r="D583" s="47">
        <v>2</v>
      </c>
      <c r="E583" s="48">
        <v>16569.900000000001</v>
      </c>
      <c r="F583" s="48">
        <v>999.7</v>
      </c>
      <c r="G583" s="48">
        <v>17569.599999999999</v>
      </c>
      <c r="H583" s="48">
        <v>163320.5</v>
      </c>
      <c r="I583" s="48">
        <v>7632.1</v>
      </c>
      <c r="J583" s="48">
        <v>170952.6</v>
      </c>
      <c r="K583" s="48">
        <v>22422.2</v>
      </c>
      <c r="L583" s="48">
        <v>1317.6</v>
      </c>
      <c r="M583" s="48">
        <v>9273.9</v>
      </c>
      <c r="N583" s="48">
        <v>384.3</v>
      </c>
    </row>
    <row r="584" spans="1:14" ht="10.050000000000001" customHeight="1">
      <c r="A584" s="45" t="s">
        <v>84</v>
      </c>
      <c r="B584" s="46">
        <v>2016</v>
      </c>
      <c r="C584" s="45" t="s">
        <v>122</v>
      </c>
      <c r="D584" s="47">
        <v>3</v>
      </c>
      <c r="E584" s="48">
        <v>9635.3000000000102</v>
      </c>
      <c r="F584" s="48">
        <v>267.89999999999998</v>
      </c>
      <c r="G584" s="48">
        <v>9903.2000000000007</v>
      </c>
      <c r="H584" s="48">
        <v>103889.8</v>
      </c>
      <c r="I584" s="48">
        <v>1644.3</v>
      </c>
      <c r="J584" s="48">
        <v>105534.1</v>
      </c>
      <c r="K584" s="48">
        <v>19082.8</v>
      </c>
      <c r="L584" s="48">
        <v>605.9</v>
      </c>
      <c r="M584" s="48">
        <v>7174.3</v>
      </c>
      <c r="N584" s="48">
        <v>114.5</v>
      </c>
    </row>
    <row r="585" spans="1:14" ht="10.050000000000001" customHeight="1">
      <c r="A585" s="45" t="s">
        <v>89</v>
      </c>
      <c r="B585" s="46">
        <v>2016</v>
      </c>
      <c r="C585" s="45" t="s">
        <v>122</v>
      </c>
      <c r="D585" s="47">
        <v>3</v>
      </c>
      <c r="E585" s="48">
        <v>5.4</v>
      </c>
      <c r="F585" s="48">
        <v>0</v>
      </c>
      <c r="G585" s="48">
        <v>5.4</v>
      </c>
      <c r="H585" s="48">
        <v>12472.4</v>
      </c>
      <c r="I585" s="48">
        <v>566.5</v>
      </c>
      <c r="J585" s="48">
        <v>13038.9</v>
      </c>
      <c r="K585" s="48">
        <v>99.9</v>
      </c>
      <c r="L585" s="48">
        <v>29.4</v>
      </c>
      <c r="M585" s="48">
        <v>0</v>
      </c>
      <c r="N585" s="48">
        <v>6</v>
      </c>
    </row>
    <row r="586" spans="1:14" ht="10.050000000000001" customHeight="1">
      <c r="A586" s="45" t="s">
        <v>87</v>
      </c>
      <c r="B586" s="46">
        <v>2016</v>
      </c>
      <c r="C586" s="45" t="s">
        <v>122</v>
      </c>
      <c r="D586" s="47">
        <v>3</v>
      </c>
      <c r="E586" s="48">
        <v>16091.6</v>
      </c>
      <c r="F586" s="48">
        <v>768.7</v>
      </c>
      <c r="G586" s="48">
        <v>16860.3</v>
      </c>
      <c r="H586" s="48">
        <v>150640.5</v>
      </c>
      <c r="I586" s="48">
        <v>6245.9</v>
      </c>
      <c r="J586" s="48">
        <v>156886.39999999999</v>
      </c>
      <c r="K586" s="48">
        <v>14169.8</v>
      </c>
      <c r="L586" s="48">
        <v>1276</v>
      </c>
      <c r="M586" s="48">
        <v>9020.4</v>
      </c>
      <c r="N586" s="48">
        <v>507</v>
      </c>
    </row>
    <row r="587" spans="1:14" ht="10.050000000000001" customHeight="1">
      <c r="A587" s="45" t="s">
        <v>84</v>
      </c>
      <c r="B587" s="46">
        <v>2016</v>
      </c>
      <c r="C587" s="45" t="s">
        <v>122</v>
      </c>
      <c r="D587" s="47">
        <v>4</v>
      </c>
      <c r="E587" s="48">
        <v>11098.7</v>
      </c>
      <c r="F587" s="48">
        <v>106.8</v>
      </c>
      <c r="G587" s="48">
        <v>11205.5</v>
      </c>
      <c r="H587" s="48">
        <v>101480.8</v>
      </c>
      <c r="I587" s="48">
        <v>1357</v>
      </c>
      <c r="J587" s="48">
        <v>102837.8</v>
      </c>
      <c r="K587" s="48">
        <v>10360.200000000001</v>
      </c>
      <c r="L587" s="48">
        <v>740.2</v>
      </c>
      <c r="M587" s="48">
        <v>9262</v>
      </c>
      <c r="N587" s="48">
        <v>200.7</v>
      </c>
    </row>
    <row r="588" spans="1:14" ht="10.050000000000001" customHeight="1">
      <c r="A588" s="45" t="s">
        <v>89</v>
      </c>
      <c r="B588" s="46">
        <v>2016</v>
      </c>
      <c r="C588" s="45" t="s">
        <v>122</v>
      </c>
      <c r="D588" s="47">
        <v>4</v>
      </c>
      <c r="E588" s="48">
        <v>19.899999999999999</v>
      </c>
      <c r="F588" s="48">
        <v>0</v>
      </c>
      <c r="G588" s="48">
        <v>19.899999999999999</v>
      </c>
      <c r="H588" s="48">
        <v>11918.5</v>
      </c>
      <c r="I588" s="48">
        <v>566.6</v>
      </c>
      <c r="J588" s="48">
        <v>12485.1</v>
      </c>
      <c r="K588" s="48">
        <v>87.1</v>
      </c>
      <c r="L588" s="48">
        <v>6.6</v>
      </c>
      <c r="M588" s="48">
        <v>9</v>
      </c>
      <c r="N588" s="48">
        <v>10.4</v>
      </c>
    </row>
    <row r="589" spans="1:14" ht="10.050000000000001" customHeight="1">
      <c r="A589" s="45" t="s">
        <v>87</v>
      </c>
      <c r="B589" s="46">
        <v>2016</v>
      </c>
      <c r="C589" s="45" t="s">
        <v>122</v>
      </c>
      <c r="D589" s="47">
        <v>4</v>
      </c>
      <c r="E589" s="48">
        <v>14606.9</v>
      </c>
      <c r="F589" s="48">
        <v>36.700000000000003</v>
      </c>
      <c r="G589" s="48">
        <v>14643.6</v>
      </c>
      <c r="H589" s="48">
        <v>116690.7</v>
      </c>
      <c r="I589" s="48">
        <v>4988.2</v>
      </c>
      <c r="J589" s="48">
        <v>121678.9</v>
      </c>
      <c r="K589" s="48">
        <v>8790.5000000000091</v>
      </c>
      <c r="L589" s="48">
        <v>1565.7</v>
      </c>
      <c r="M589" s="48">
        <v>6689.7</v>
      </c>
      <c r="N589" s="48">
        <v>255.4</v>
      </c>
    </row>
    <row r="590" spans="1:14" ht="10.050000000000001" customHeight="1">
      <c r="A590" s="45" t="s">
        <v>84</v>
      </c>
      <c r="B590" s="46">
        <v>2016</v>
      </c>
      <c r="C590" s="45" t="s">
        <v>122</v>
      </c>
      <c r="D590" s="47">
        <v>5</v>
      </c>
      <c r="E590" s="48">
        <v>6913.1</v>
      </c>
      <c r="F590" s="48">
        <v>24.4</v>
      </c>
      <c r="G590" s="48">
        <v>6937.5</v>
      </c>
      <c r="H590" s="48">
        <v>94984.9</v>
      </c>
      <c r="I590" s="48">
        <v>916</v>
      </c>
      <c r="J590" s="48">
        <v>95900.9</v>
      </c>
      <c r="K590" s="48">
        <v>5536.7</v>
      </c>
      <c r="L590" s="48">
        <v>377.5</v>
      </c>
      <c r="M590" s="48">
        <v>4901.7</v>
      </c>
      <c r="N590" s="48">
        <v>295.2</v>
      </c>
    </row>
    <row r="591" spans="1:14" ht="10.050000000000001" customHeight="1">
      <c r="A591" s="45" t="s">
        <v>89</v>
      </c>
      <c r="B591" s="46">
        <v>2016</v>
      </c>
      <c r="C591" s="45" t="s">
        <v>122</v>
      </c>
      <c r="D591" s="47">
        <v>5</v>
      </c>
      <c r="E591" s="48">
        <v>30</v>
      </c>
      <c r="F591" s="48">
        <v>0</v>
      </c>
      <c r="G591" s="48">
        <v>30</v>
      </c>
      <c r="H591" s="48">
        <v>11480.2</v>
      </c>
      <c r="I591" s="48">
        <v>489.1</v>
      </c>
      <c r="J591" s="48">
        <v>11969.3</v>
      </c>
      <c r="K591" s="48">
        <v>57.5</v>
      </c>
      <c r="L591" s="48">
        <v>0.5</v>
      </c>
      <c r="M591" s="48">
        <v>30</v>
      </c>
      <c r="N591" s="48">
        <v>0.1</v>
      </c>
    </row>
    <row r="592" spans="1:14" ht="10.050000000000001" customHeight="1">
      <c r="A592" s="45" t="s">
        <v>87</v>
      </c>
      <c r="B592" s="46">
        <v>2016</v>
      </c>
      <c r="C592" s="45" t="s">
        <v>122</v>
      </c>
      <c r="D592" s="47">
        <v>5</v>
      </c>
      <c r="E592" s="48">
        <v>10460.799999999999</v>
      </c>
      <c r="F592" s="48">
        <v>0</v>
      </c>
      <c r="G592" s="48">
        <v>10460.799999999999</v>
      </c>
      <c r="H592" s="48">
        <v>94407.8</v>
      </c>
      <c r="I592" s="48">
        <v>4396</v>
      </c>
      <c r="J592" s="48">
        <v>98803.8</v>
      </c>
      <c r="K592" s="48">
        <v>3169</v>
      </c>
      <c r="L592" s="48">
        <v>857.6</v>
      </c>
      <c r="M592" s="48">
        <v>6161.6</v>
      </c>
      <c r="N592" s="48">
        <v>317.39999999999998</v>
      </c>
    </row>
    <row r="593" spans="1:14" ht="10.050000000000001" customHeight="1">
      <c r="A593" s="45" t="s">
        <v>84</v>
      </c>
      <c r="B593" s="46">
        <v>2016</v>
      </c>
      <c r="C593" s="45" t="s">
        <v>122</v>
      </c>
      <c r="D593" s="47">
        <v>6</v>
      </c>
      <c r="E593" s="48">
        <v>6325.3</v>
      </c>
      <c r="F593" s="48">
        <v>415.3</v>
      </c>
      <c r="G593" s="48">
        <v>6740.6</v>
      </c>
      <c r="H593" s="48">
        <v>58863</v>
      </c>
      <c r="I593" s="48">
        <v>505</v>
      </c>
      <c r="J593" s="48">
        <v>59368</v>
      </c>
      <c r="K593" s="48">
        <v>1635.3</v>
      </c>
      <c r="L593" s="48">
        <v>228.4</v>
      </c>
      <c r="M593" s="48">
        <v>3931.4</v>
      </c>
      <c r="N593" s="48">
        <v>198.1</v>
      </c>
    </row>
    <row r="594" spans="1:14" ht="10.050000000000001" customHeight="1">
      <c r="A594" s="45" t="s">
        <v>89</v>
      </c>
      <c r="B594" s="46">
        <v>2016</v>
      </c>
      <c r="C594" s="45" t="s">
        <v>122</v>
      </c>
      <c r="D594" s="47">
        <v>6</v>
      </c>
      <c r="E594" s="48">
        <v>121</v>
      </c>
      <c r="F594" s="48">
        <v>38.799999999999997</v>
      </c>
      <c r="G594" s="48">
        <v>159.80000000000001</v>
      </c>
      <c r="H594" s="48">
        <v>11295.5</v>
      </c>
      <c r="I594" s="48">
        <v>481.5</v>
      </c>
      <c r="J594" s="48">
        <v>11777</v>
      </c>
      <c r="K594" s="48">
        <v>44</v>
      </c>
      <c r="L594" s="48">
        <v>0</v>
      </c>
      <c r="M594" s="48">
        <v>0</v>
      </c>
      <c r="N594" s="48">
        <v>13.5</v>
      </c>
    </row>
    <row r="595" spans="1:14" ht="10.050000000000001" customHeight="1">
      <c r="A595" s="45" t="s">
        <v>87</v>
      </c>
      <c r="B595" s="46">
        <v>2016</v>
      </c>
      <c r="C595" s="45" t="s">
        <v>122</v>
      </c>
      <c r="D595" s="47">
        <v>6</v>
      </c>
      <c r="E595" s="48">
        <v>5552.1</v>
      </c>
      <c r="F595" s="48">
        <v>945.1</v>
      </c>
      <c r="G595" s="48">
        <v>6497.2</v>
      </c>
      <c r="H595" s="48">
        <v>60183.9</v>
      </c>
      <c r="I595" s="48">
        <v>4041.8</v>
      </c>
      <c r="J595" s="48">
        <v>64225.7</v>
      </c>
      <c r="K595" s="48">
        <v>1580.4</v>
      </c>
      <c r="L595" s="48">
        <v>1240.7</v>
      </c>
      <c r="M595" s="48">
        <v>2465.1999999999998</v>
      </c>
      <c r="N595" s="48">
        <v>364.4</v>
      </c>
    </row>
    <row r="596" spans="1:14" ht="10.050000000000001" customHeight="1">
      <c r="A596" s="45" t="s">
        <v>84</v>
      </c>
      <c r="B596" s="46">
        <v>2016</v>
      </c>
      <c r="C596" s="45" t="s">
        <v>123</v>
      </c>
      <c r="D596" s="47">
        <v>7</v>
      </c>
      <c r="E596" s="48">
        <v>10524.4</v>
      </c>
      <c r="F596" s="48">
        <v>87.2</v>
      </c>
      <c r="G596" s="48">
        <v>10611.6</v>
      </c>
      <c r="H596" s="48">
        <v>53201.7</v>
      </c>
      <c r="I596" s="48">
        <v>523</v>
      </c>
      <c r="J596" s="48">
        <v>53724.7</v>
      </c>
      <c r="K596" s="48">
        <v>3808.6</v>
      </c>
      <c r="L596" s="48">
        <v>2783.5</v>
      </c>
      <c r="M596" s="48">
        <v>322.8</v>
      </c>
      <c r="N596" s="48">
        <v>287.8</v>
      </c>
    </row>
    <row r="597" spans="1:14" ht="10.050000000000001" customHeight="1">
      <c r="A597" s="45" t="s">
        <v>89</v>
      </c>
      <c r="B597" s="46">
        <v>2016</v>
      </c>
      <c r="C597" s="45" t="s">
        <v>123</v>
      </c>
      <c r="D597" s="47">
        <v>7</v>
      </c>
      <c r="E597" s="48">
        <v>17.7</v>
      </c>
      <c r="F597" s="48">
        <v>0</v>
      </c>
      <c r="G597" s="48">
        <v>17.7</v>
      </c>
      <c r="H597" s="48">
        <v>10897.9</v>
      </c>
      <c r="I597" s="48">
        <v>481.5</v>
      </c>
      <c r="J597" s="48">
        <v>11379.4</v>
      </c>
      <c r="K597" s="48">
        <v>42.3</v>
      </c>
      <c r="L597" s="48">
        <v>0</v>
      </c>
      <c r="M597" s="48">
        <v>0</v>
      </c>
      <c r="N597" s="48">
        <v>1.7</v>
      </c>
    </row>
    <row r="598" spans="1:14" ht="10.050000000000001" customHeight="1">
      <c r="A598" s="45" t="s">
        <v>87</v>
      </c>
      <c r="B598" s="46">
        <v>2016</v>
      </c>
      <c r="C598" s="45" t="s">
        <v>123</v>
      </c>
      <c r="D598" s="47">
        <v>7</v>
      </c>
      <c r="E598" s="48">
        <v>152291</v>
      </c>
      <c r="F598" s="48">
        <v>5020.3999999999996</v>
      </c>
      <c r="G598" s="48">
        <v>157311.4</v>
      </c>
      <c r="H598" s="48">
        <v>149073.1</v>
      </c>
      <c r="I598" s="48">
        <v>8205.7999999999993</v>
      </c>
      <c r="J598" s="48">
        <v>157278.9</v>
      </c>
      <c r="K598" s="48">
        <v>42348.4</v>
      </c>
      <c r="L598" s="48">
        <v>51556.7</v>
      </c>
      <c r="M598" s="48">
        <v>10697.2</v>
      </c>
      <c r="N598" s="48">
        <v>91.4</v>
      </c>
    </row>
    <row r="599" spans="1:14" ht="10.050000000000001" customHeight="1">
      <c r="A599" s="45" t="s">
        <v>84</v>
      </c>
      <c r="B599" s="46">
        <v>2016</v>
      </c>
      <c r="C599" s="45" t="s">
        <v>123</v>
      </c>
      <c r="D599" s="47">
        <v>8</v>
      </c>
      <c r="E599" s="48">
        <v>42075.5</v>
      </c>
      <c r="F599" s="48">
        <v>702.4</v>
      </c>
      <c r="G599" s="48">
        <v>42777.9</v>
      </c>
      <c r="H599" s="48">
        <v>73216.100000000006</v>
      </c>
      <c r="I599" s="48">
        <v>1161.5999999999999</v>
      </c>
      <c r="J599" s="48">
        <v>74377.7</v>
      </c>
      <c r="K599" s="48">
        <v>20103.8</v>
      </c>
      <c r="L599" s="48">
        <v>18108.099999999999</v>
      </c>
      <c r="M599" s="48">
        <v>1629.3</v>
      </c>
      <c r="N599" s="48">
        <v>134.4</v>
      </c>
    </row>
    <row r="600" spans="1:14" ht="10.050000000000001" customHeight="1">
      <c r="A600" s="45" t="s">
        <v>89</v>
      </c>
      <c r="B600" s="46">
        <v>2016</v>
      </c>
      <c r="C600" s="45" t="s">
        <v>123</v>
      </c>
      <c r="D600" s="47">
        <v>8</v>
      </c>
      <c r="E600" s="48">
        <v>9401.2000000000007</v>
      </c>
      <c r="F600" s="48">
        <v>0</v>
      </c>
      <c r="G600" s="48">
        <v>9401.2000000000007</v>
      </c>
      <c r="H600" s="48">
        <v>19871</v>
      </c>
      <c r="I600" s="48">
        <v>48.2</v>
      </c>
      <c r="J600" s="48">
        <v>19919.2</v>
      </c>
      <c r="K600" s="48">
        <v>316.7</v>
      </c>
      <c r="L600" s="48">
        <v>1526.3</v>
      </c>
      <c r="M600" s="48">
        <v>1246.2</v>
      </c>
      <c r="N600" s="48">
        <v>5.7</v>
      </c>
    </row>
    <row r="601" spans="1:14" ht="10.050000000000001" customHeight="1">
      <c r="A601" s="45" t="s">
        <v>87</v>
      </c>
      <c r="B601" s="46">
        <v>2016</v>
      </c>
      <c r="C601" s="45" t="s">
        <v>123</v>
      </c>
      <c r="D601" s="47">
        <v>8</v>
      </c>
      <c r="E601" s="48">
        <v>107738.1</v>
      </c>
      <c r="F601" s="48">
        <v>4114.3</v>
      </c>
      <c r="G601" s="48">
        <v>111852.4</v>
      </c>
      <c r="H601" s="48">
        <v>145535.6</v>
      </c>
      <c r="I601" s="48">
        <v>9968.9</v>
      </c>
      <c r="J601" s="48">
        <v>155504.5</v>
      </c>
      <c r="K601" s="48">
        <v>61904.1</v>
      </c>
      <c r="L601" s="48">
        <v>50821.2</v>
      </c>
      <c r="M601" s="48">
        <v>30424.9</v>
      </c>
      <c r="N601" s="48">
        <v>1989.3</v>
      </c>
    </row>
    <row r="602" spans="1:14" ht="10.050000000000001" customHeight="1">
      <c r="A602" s="45" t="s">
        <v>84</v>
      </c>
      <c r="B602" s="46">
        <v>2016</v>
      </c>
      <c r="C602" s="45" t="s">
        <v>123</v>
      </c>
      <c r="D602" s="47">
        <v>9</v>
      </c>
      <c r="E602" s="48">
        <v>44682.8</v>
      </c>
      <c r="F602" s="48">
        <v>1557.8</v>
      </c>
      <c r="G602" s="48">
        <v>46240.6</v>
      </c>
      <c r="H602" s="48">
        <v>110321.2</v>
      </c>
      <c r="I602" s="48">
        <v>2089</v>
      </c>
      <c r="J602" s="48">
        <v>112410.2</v>
      </c>
      <c r="K602" s="48">
        <v>29898.5</v>
      </c>
      <c r="L602" s="48">
        <v>27827.9</v>
      </c>
      <c r="M602" s="48">
        <v>17477.7</v>
      </c>
      <c r="N602" s="48">
        <v>555.70000000000005</v>
      </c>
    </row>
    <row r="603" spans="1:14" ht="10.050000000000001" customHeight="1">
      <c r="A603" s="45" t="s">
        <v>89</v>
      </c>
      <c r="B603" s="46">
        <v>2016</v>
      </c>
      <c r="C603" s="45" t="s">
        <v>123</v>
      </c>
      <c r="D603" s="47">
        <v>9</v>
      </c>
      <c r="E603" s="48">
        <v>2172.6999999999998</v>
      </c>
      <c r="F603" s="48">
        <v>169.6</v>
      </c>
      <c r="G603" s="48">
        <v>2342.3000000000002</v>
      </c>
      <c r="H603" s="48">
        <v>21624.9</v>
      </c>
      <c r="I603" s="48">
        <v>137.30000000000001</v>
      </c>
      <c r="J603" s="48">
        <v>21762.2</v>
      </c>
      <c r="K603" s="48">
        <v>281.8</v>
      </c>
      <c r="L603" s="48">
        <v>176.9</v>
      </c>
      <c r="M603" s="48">
        <v>174.1</v>
      </c>
      <c r="N603" s="48">
        <v>37.799999999999997</v>
      </c>
    </row>
    <row r="604" spans="1:14" ht="10.050000000000001" customHeight="1">
      <c r="A604" s="45" t="s">
        <v>87</v>
      </c>
      <c r="B604" s="46">
        <v>2016</v>
      </c>
      <c r="C604" s="45" t="s">
        <v>123</v>
      </c>
      <c r="D604" s="47">
        <v>9</v>
      </c>
      <c r="E604" s="48">
        <v>31254.5</v>
      </c>
      <c r="F604" s="48">
        <v>2308.9</v>
      </c>
      <c r="G604" s="48">
        <v>33563.4</v>
      </c>
      <c r="H604" s="48">
        <v>177864.2</v>
      </c>
      <c r="I604" s="48">
        <v>10795.4</v>
      </c>
      <c r="J604" s="48">
        <v>188659.6</v>
      </c>
      <c r="K604" s="48">
        <v>42638.9</v>
      </c>
      <c r="L604" s="48">
        <v>3083.9</v>
      </c>
      <c r="M604" s="48">
        <v>20383</v>
      </c>
      <c r="N604" s="48">
        <v>1966.3</v>
      </c>
    </row>
    <row r="605" spans="1:14" ht="10.050000000000001" customHeight="1">
      <c r="A605" s="45" t="s">
        <v>84</v>
      </c>
      <c r="B605" s="46">
        <v>2016</v>
      </c>
      <c r="C605" s="45" t="s">
        <v>123</v>
      </c>
      <c r="D605" s="47">
        <v>10</v>
      </c>
      <c r="E605" s="48">
        <v>11614.6</v>
      </c>
      <c r="F605" s="48">
        <v>2068.9</v>
      </c>
      <c r="G605" s="48">
        <v>13683.5</v>
      </c>
      <c r="H605" s="48">
        <v>111681.8</v>
      </c>
      <c r="I605" s="48">
        <v>3174.1</v>
      </c>
      <c r="J605" s="48">
        <v>114855.9</v>
      </c>
      <c r="K605" s="48">
        <v>22735</v>
      </c>
      <c r="L605" s="48">
        <v>1336.6</v>
      </c>
      <c r="M605" s="48">
        <v>8312.2999999999993</v>
      </c>
      <c r="N605" s="48">
        <v>186.6</v>
      </c>
    </row>
    <row r="606" spans="1:14" ht="10.050000000000001" customHeight="1">
      <c r="A606" s="45" t="s">
        <v>89</v>
      </c>
      <c r="B606" s="46">
        <v>2016</v>
      </c>
      <c r="C606" s="45" t="s">
        <v>123</v>
      </c>
      <c r="D606" s="47">
        <v>10</v>
      </c>
      <c r="E606" s="48">
        <v>131.19999999999999</v>
      </c>
      <c r="F606" s="48">
        <v>47.4</v>
      </c>
      <c r="G606" s="48">
        <v>178.6</v>
      </c>
      <c r="H606" s="48">
        <v>21357.8</v>
      </c>
      <c r="I606" s="48">
        <v>184.6</v>
      </c>
      <c r="J606" s="48">
        <v>21542.400000000001</v>
      </c>
      <c r="K606" s="48">
        <v>260.89999999999998</v>
      </c>
      <c r="L606" s="48">
        <v>1.2</v>
      </c>
      <c r="M606" s="48">
        <v>1.2</v>
      </c>
      <c r="N606" s="48">
        <v>20.9</v>
      </c>
    </row>
    <row r="607" spans="1:14" ht="10.050000000000001" customHeight="1">
      <c r="A607" s="45" t="s">
        <v>87</v>
      </c>
      <c r="B607" s="46">
        <v>2016</v>
      </c>
      <c r="C607" s="45" t="s">
        <v>123</v>
      </c>
      <c r="D607" s="47">
        <v>10</v>
      </c>
      <c r="E607" s="48">
        <v>23081.200000000001</v>
      </c>
      <c r="F607" s="48">
        <v>2311.5</v>
      </c>
      <c r="G607" s="48">
        <v>25392.7</v>
      </c>
      <c r="H607" s="48">
        <v>168376.2</v>
      </c>
      <c r="I607" s="48">
        <v>10270.1</v>
      </c>
      <c r="J607" s="48">
        <v>178646.3</v>
      </c>
      <c r="K607" s="48">
        <v>36590.6</v>
      </c>
      <c r="L607" s="48">
        <v>902.7</v>
      </c>
      <c r="M607" s="48">
        <v>6590.5</v>
      </c>
      <c r="N607" s="48">
        <v>360.8</v>
      </c>
    </row>
    <row r="608" spans="1:14" ht="10.050000000000001" customHeight="1">
      <c r="A608" s="45" t="s">
        <v>84</v>
      </c>
      <c r="B608" s="46">
        <v>2016</v>
      </c>
      <c r="C608" s="45" t="s">
        <v>123</v>
      </c>
      <c r="D608" s="47">
        <v>11</v>
      </c>
      <c r="E608" s="48">
        <v>5603.8</v>
      </c>
      <c r="F608" s="48">
        <v>1525.7</v>
      </c>
      <c r="G608" s="48">
        <v>7129.5</v>
      </c>
      <c r="H608" s="48">
        <v>109440.7</v>
      </c>
      <c r="I608" s="48">
        <v>3963.3</v>
      </c>
      <c r="J608" s="48">
        <v>113404</v>
      </c>
      <c r="K608" s="48">
        <v>19374.599999999999</v>
      </c>
      <c r="L608" s="48">
        <v>522.20000000000005</v>
      </c>
      <c r="M608" s="48">
        <v>3653.9</v>
      </c>
      <c r="N608" s="48">
        <v>229.2</v>
      </c>
    </row>
    <row r="609" spans="1:14" ht="10.050000000000001" customHeight="1">
      <c r="A609" s="45" t="s">
        <v>89</v>
      </c>
      <c r="B609" s="46">
        <v>2016</v>
      </c>
      <c r="C609" s="45" t="s">
        <v>123</v>
      </c>
      <c r="D609" s="47">
        <v>11</v>
      </c>
      <c r="E609" s="48">
        <v>31.6</v>
      </c>
      <c r="F609" s="48">
        <v>59.6</v>
      </c>
      <c r="G609" s="48">
        <v>91.2</v>
      </c>
      <c r="H609" s="48">
        <v>21001.5</v>
      </c>
      <c r="I609" s="48">
        <v>244.3</v>
      </c>
      <c r="J609" s="48">
        <v>21245.8</v>
      </c>
      <c r="K609" s="48">
        <v>306</v>
      </c>
      <c r="L609" s="48">
        <v>86.6</v>
      </c>
      <c r="M609" s="48">
        <v>28</v>
      </c>
      <c r="N609" s="48">
        <v>13.5</v>
      </c>
    </row>
    <row r="610" spans="1:14" ht="10.050000000000001" customHeight="1">
      <c r="A610" s="45" t="s">
        <v>87</v>
      </c>
      <c r="B610" s="46">
        <v>2016</v>
      </c>
      <c r="C610" s="45" t="s">
        <v>123</v>
      </c>
      <c r="D610" s="47">
        <v>11</v>
      </c>
      <c r="E610" s="48">
        <v>10070.299999999999</v>
      </c>
      <c r="F610" s="48">
        <v>5120.8</v>
      </c>
      <c r="G610" s="48">
        <v>15191.1</v>
      </c>
      <c r="H610" s="48">
        <v>162643.1</v>
      </c>
      <c r="I610" s="48">
        <v>13695.7</v>
      </c>
      <c r="J610" s="48">
        <v>176338.8</v>
      </c>
      <c r="K610" s="48">
        <v>31117.7</v>
      </c>
      <c r="L610" s="48">
        <v>1225.0999999999999</v>
      </c>
      <c r="M610" s="48">
        <v>6260.1</v>
      </c>
      <c r="N610" s="48">
        <v>437.5</v>
      </c>
    </row>
    <row r="611" spans="1:14" ht="10.050000000000001" customHeight="1">
      <c r="A611" s="45" t="s">
        <v>84</v>
      </c>
      <c r="B611" s="46">
        <v>2016</v>
      </c>
      <c r="C611" s="45" t="s">
        <v>123</v>
      </c>
      <c r="D611" s="47">
        <v>12</v>
      </c>
      <c r="E611" s="48">
        <v>5082.5</v>
      </c>
      <c r="F611" s="48">
        <v>567</v>
      </c>
      <c r="G611" s="48">
        <v>5649.5</v>
      </c>
      <c r="H611" s="48">
        <v>100193.5</v>
      </c>
      <c r="I611" s="48">
        <v>3762.2</v>
      </c>
      <c r="J611" s="48">
        <v>103955.7</v>
      </c>
      <c r="K611" s="48">
        <v>16466.2</v>
      </c>
      <c r="L611" s="48">
        <v>503.9</v>
      </c>
      <c r="M611" s="48">
        <v>3301.4</v>
      </c>
      <c r="N611" s="48">
        <v>110.8</v>
      </c>
    </row>
    <row r="612" spans="1:14" ht="10.050000000000001" customHeight="1">
      <c r="A612" s="45" t="s">
        <v>89</v>
      </c>
      <c r="B612" s="46">
        <v>2016</v>
      </c>
      <c r="C612" s="45" t="s">
        <v>123</v>
      </c>
      <c r="D612" s="47">
        <v>12</v>
      </c>
      <c r="E612" s="48">
        <v>96.4</v>
      </c>
      <c r="F612" s="48">
        <v>22</v>
      </c>
      <c r="G612" s="48">
        <v>118.4</v>
      </c>
      <c r="H612" s="48">
        <v>20731.5</v>
      </c>
      <c r="I612" s="48">
        <v>264.60000000000002</v>
      </c>
      <c r="J612" s="48">
        <v>20996.1</v>
      </c>
      <c r="K612" s="48">
        <v>210.8</v>
      </c>
      <c r="L612" s="48">
        <v>0.1</v>
      </c>
      <c r="M612" s="48">
        <v>86.4</v>
      </c>
      <c r="N612" s="48">
        <v>8.9</v>
      </c>
    </row>
    <row r="613" spans="1:14" ht="10.050000000000001" customHeight="1">
      <c r="A613" s="45" t="s">
        <v>87</v>
      </c>
      <c r="B613" s="46">
        <v>2016</v>
      </c>
      <c r="C613" s="45" t="s">
        <v>123</v>
      </c>
      <c r="D613" s="47">
        <v>12</v>
      </c>
      <c r="E613" s="48">
        <v>8938</v>
      </c>
      <c r="F613" s="48">
        <v>1329.9</v>
      </c>
      <c r="G613" s="48">
        <v>10267.9</v>
      </c>
      <c r="H613" s="48">
        <v>171620.7</v>
      </c>
      <c r="I613" s="48">
        <v>10654.6</v>
      </c>
      <c r="J613" s="48">
        <v>182275.3</v>
      </c>
      <c r="K613" s="48">
        <v>25685.7</v>
      </c>
      <c r="L613" s="48">
        <v>1028.7</v>
      </c>
      <c r="M613" s="48">
        <v>6341.8</v>
      </c>
      <c r="N613" s="48">
        <v>118.9</v>
      </c>
    </row>
    <row r="614" spans="1:14" ht="10.050000000000001" customHeight="1">
      <c r="A614" s="45" t="s">
        <v>84</v>
      </c>
      <c r="B614" s="46">
        <v>2017</v>
      </c>
      <c r="C614" s="45" t="s">
        <v>123</v>
      </c>
      <c r="D614" s="47">
        <v>1</v>
      </c>
      <c r="E614" s="48">
        <v>5832.3</v>
      </c>
      <c r="F614" s="48">
        <v>998.6</v>
      </c>
      <c r="G614" s="48">
        <v>6830.9</v>
      </c>
      <c r="H614" s="48">
        <v>89726.3</v>
      </c>
      <c r="I614" s="48">
        <v>3290.3</v>
      </c>
      <c r="J614" s="48">
        <v>93016.600000000093</v>
      </c>
      <c r="K614" s="48">
        <v>13401.8</v>
      </c>
      <c r="L614" s="48">
        <v>622.20000000000005</v>
      </c>
      <c r="M614" s="48">
        <v>3551.5</v>
      </c>
      <c r="N614" s="48">
        <v>135.1</v>
      </c>
    </row>
    <row r="615" spans="1:14" ht="10.050000000000001" customHeight="1">
      <c r="A615" s="45" t="s">
        <v>89</v>
      </c>
      <c r="B615" s="46">
        <v>2017</v>
      </c>
      <c r="C615" s="45" t="s">
        <v>123</v>
      </c>
      <c r="D615" s="47">
        <v>1</v>
      </c>
      <c r="E615" s="48">
        <v>142.30000000000001</v>
      </c>
      <c r="F615" s="48">
        <v>19.100000000000001</v>
      </c>
      <c r="G615" s="48">
        <v>161.4</v>
      </c>
      <c r="H615" s="48">
        <v>20431.7</v>
      </c>
      <c r="I615" s="48">
        <v>260.7</v>
      </c>
      <c r="J615" s="48">
        <v>20692.400000000001</v>
      </c>
      <c r="K615" s="48">
        <v>198</v>
      </c>
      <c r="L615" s="48">
        <v>0</v>
      </c>
      <c r="M615" s="48">
        <v>0</v>
      </c>
      <c r="N615" s="48">
        <v>12.8</v>
      </c>
    </row>
    <row r="616" spans="1:14" ht="10.050000000000001" customHeight="1">
      <c r="A616" s="45" t="s">
        <v>87</v>
      </c>
      <c r="B616" s="46">
        <v>2017</v>
      </c>
      <c r="C616" s="45" t="s">
        <v>123</v>
      </c>
      <c r="D616" s="47">
        <v>1</v>
      </c>
      <c r="E616" s="48">
        <v>9671.1</v>
      </c>
      <c r="F616" s="48">
        <v>2500.5</v>
      </c>
      <c r="G616" s="48">
        <v>12171.6</v>
      </c>
      <c r="H616" s="48">
        <v>158082.79999999999</v>
      </c>
      <c r="I616" s="48">
        <v>9276</v>
      </c>
      <c r="J616" s="48">
        <v>167358.79999999999</v>
      </c>
      <c r="K616" s="48">
        <v>21016.3</v>
      </c>
      <c r="L616" s="48">
        <v>1416.9</v>
      </c>
      <c r="M616" s="48">
        <v>5683.3</v>
      </c>
      <c r="N616" s="48">
        <v>403</v>
      </c>
    </row>
    <row r="617" spans="1:14" ht="10.050000000000001" customHeight="1">
      <c r="A617" s="45" t="s">
        <v>84</v>
      </c>
      <c r="B617" s="46">
        <v>2017</v>
      </c>
      <c r="C617" s="45" t="s">
        <v>123</v>
      </c>
      <c r="D617" s="47">
        <v>2</v>
      </c>
      <c r="E617" s="48">
        <v>4135.6000000000004</v>
      </c>
      <c r="F617" s="48">
        <v>457.4</v>
      </c>
      <c r="G617" s="48">
        <v>4593</v>
      </c>
      <c r="H617" s="48">
        <v>78927.899999999994</v>
      </c>
      <c r="I617" s="48">
        <v>2863</v>
      </c>
      <c r="J617" s="48">
        <v>81790.899999999994</v>
      </c>
      <c r="K617" s="48">
        <v>11351.4</v>
      </c>
      <c r="L617" s="48">
        <v>519.5</v>
      </c>
      <c r="M617" s="48">
        <v>2521.8000000000002</v>
      </c>
      <c r="N617" s="48">
        <v>48.1</v>
      </c>
    </row>
    <row r="618" spans="1:14" ht="10.050000000000001" customHeight="1">
      <c r="A618" s="45" t="s">
        <v>89</v>
      </c>
      <c r="B618" s="46">
        <v>2017</v>
      </c>
      <c r="C618" s="45" t="s">
        <v>123</v>
      </c>
      <c r="D618" s="47">
        <v>2</v>
      </c>
      <c r="E618" s="48">
        <v>0</v>
      </c>
      <c r="F618" s="48">
        <v>0</v>
      </c>
      <c r="G618" s="48">
        <v>0</v>
      </c>
      <c r="H618" s="48">
        <v>20169.8</v>
      </c>
      <c r="I618" s="48">
        <v>207.9</v>
      </c>
      <c r="J618" s="48">
        <v>20377.7</v>
      </c>
      <c r="K618" s="48">
        <v>177.8</v>
      </c>
      <c r="L618" s="48">
        <v>3.9</v>
      </c>
      <c r="M618" s="48">
        <v>0</v>
      </c>
      <c r="N618" s="48">
        <v>24.1</v>
      </c>
    </row>
    <row r="619" spans="1:14" ht="10.050000000000001" customHeight="1">
      <c r="A619" s="45" t="s">
        <v>87</v>
      </c>
      <c r="B619" s="46">
        <v>2017</v>
      </c>
      <c r="C619" s="45" t="s">
        <v>123</v>
      </c>
      <c r="D619" s="47">
        <v>2</v>
      </c>
      <c r="E619" s="48">
        <v>9448.2000000000007</v>
      </c>
      <c r="F619" s="48">
        <v>1433.1</v>
      </c>
      <c r="G619" s="48">
        <v>10881.3</v>
      </c>
      <c r="H619" s="48">
        <v>114616</v>
      </c>
      <c r="I619" s="48">
        <v>6332.7</v>
      </c>
      <c r="J619" s="48">
        <v>120948.7</v>
      </c>
      <c r="K619" s="48">
        <v>17109.2</v>
      </c>
      <c r="L619" s="48">
        <v>1079.4000000000001</v>
      </c>
      <c r="M619" s="48">
        <v>4561.5</v>
      </c>
      <c r="N619" s="48">
        <v>424.6</v>
      </c>
    </row>
    <row r="620" spans="1:14" ht="10.050000000000001" customHeight="1">
      <c r="A620" s="45" t="s">
        <v>84</v>
      </c>
      <c r="B620" s="46">
        <v>2017</v>
      </c>
      <c r="C620" s="45" t="s">
        <v>123</v>
      </c>
      <c r="D620" s="47">
        <v>3</v>
      </c>
      <c r="E620" s="48">
        <v>4492.8</v>
      </c>
      <c r="F620" s="48">
        <v>355.3</v>
      </c>
      <c r="G620" s="48">
        <v>4848.1000000000004</v>
      </c>
      <c r="H620" s="48">
        <v>72719.3</v>
      </c>
      <c r="I620" s="48">
        <v>2128.5</v>
      </c>
      <c r="J620" s="48">
        <v>74847.8</v>
      </c>
      <c r="K620" s="48">
        <v>8546.5</v>
      </c>
      <c r="L620" s="48">
        <v>209.4</v>
      </c>
      <c r="M620" s="48">
        <v>2941.4</v>
      </c>
      <c r="N620" s="48">
        <v>85</v>
      </c>
    </row>
    <row r="621" spans="1:14" ht="10.050000000000001" customHeight="1">
      <c r="A621" s="45" t="s">
        <v>89</v>
      </c>
      <c r="B621" s="46">
        <v>2017</v>
      </c>
      <c r="C621" s="45" t="s">
        <v>123</v>
      </c>
      <c r="D621" s="47">
        <v>3</v>
      </c>
      <c r="E621" s="48">
        <v>0</v>
      </c>
      <c r="F621" s="48">
        <v>0</v>
      </c>
      <c r="G621" s="48">
        <v>0</v>
      </c>
      <c r="H621" s="48">
        <v>19672.5</v>
      </c>
      <c r="I621" s="48">
        <v>199.4</v>
      </c>
      <c r="J621" s="48">
        <v>19871.900000000001</v>
      </c>
      <c r="K621" s="48">
        <v>141.30000000000001</v>
      </c>
      <c r="L621" s="48">
        <v>0</v>
      </c>
      <c r="M621" s="48">
        <v>0</v>
      </c>
      <c r="N621" s="48">
        <v>36.4</v>
      </c>
    </row>
    <row r="622" spans="1:14" ht="10.050000000000001" customHeight="1">
      <c r="A622" s="45" t="s">
        <v>87</v>
      </c>
      <c r="B622" s="46">
        <v>2017</v>
      </c>
      <c r="C622" s="45" t="s">
        <v>123</v>
      </c>
      <c r="D622" s="47">
        <v>3</v>
      </c>
      <c r="E622" s="48">
        <v>10728.9</v>
      </c>
      <c r="F622" s="48">
        <v>178.8</v>
      </c>
      <c r="G622" s="48">
        <v>10907.7</v>
      </c>
      <c r="H622" s="48">
        <v>107858.2</v>
      </c>
      <c r="I622" s="48">
        <v>5163.3</v>
      </c>
      <c r="J622" s="48">
        <v>113021.5</v>
      </c>
      <c r="K622" s="48">
        <v>12016.2</v>
      </c>
      <c r="L622" s="48">
        <v>1181.0999999999999</v>
      </c>
      <c r="M622" s="48">
        <v>6178.5</v>
      </c>
      <c r="N622" s="48">
        <v>95.6</v>
      </c>
    </row>
    <row r="623" spans="1:14" ht="10.050000000000001" customHeight="1">
      <c r="A623" s="45" t="s">
        <v>84</v>
      </c>
      <c r="B623" s="46">
        <v>2017</v>
      </c>
      <c r="C623" s="45" t="s">
        <v>123</v>
      </c>
      <c r="D623" s="47">
        <v>4</v>
      </c>
      <c r="E623" s="48">
        <v>6282.4</v>
      </c>
      <c r="F623" s="48">
        <v>156.1</v>
      </c>
      <c r="G623" s="48">
        <v>6438.5</v>
      </c>
      <c r="H623" s="48">
        <v>66946.3</v>
      </c>
      <c r="I623" s="48">
        <v>1567</v>
      </c>
      <c r="J623" s="48">
        <v>68513.3</v>
      </c>
      <c r="K623" s="48">
        <v>5371.5</v>
      </c>
      <c r="L623" s="48">
        <v>600.4</v>
      </c>
      <c r="M623" s="48">
        <v>3669.9</v>
      </c>
      <c r="N623" s="48">
        <v>105.8</v>
      </c>
    </row>
    <row r="624" spans="1:14" ht="10.050000000000001" customHeight="1">
      <c r="A624" s="45" t="s">
        <v>89</v>
      </c>
      <c r="B624" s="46">
        <v>2017</v>
      </c>
      <c r="C624" s="45" t="s">
        <v>123</v>
      </c>
      <c r="D624" s="47">
        <v>4</v>
      </c>
      <c r="E624" s="48">
        <v>4.3</v>
      </c>
      <c r="F624" s="48">
        <v>0</v>
      </c>
      <c r="G624" s="48">
        <v>4.3</v>
      </c>
      <c r="H624" s="48">
        <v>19314.099999999999</v>
      </c>
      <c r="I624" s="48">
        <v>198.9</v>
      </c>
      <c r="J624" s="48">
        <v>19513</v>
      </c>
      <c r="K624" s="48">
        <v>52.8</v>
      </c>
      <c r="L624" s="48">
        <v>0</v>
      </c>
      <c r="M624" s="48">
        <v>0</v>
      </c>
      <c r="N624" s="48">
        <v>88.5</v>
      </c>
    </row>
    <row r="625" spans="1:14" ht="10.050000000000001" customHeight="1">
      <c r="A625" s="45" t="s">
        <v>87</v>
      </c>
      <c r="B625" s="46">
        <v>2017</v>
      </c>
      <c r="C625" s="45" t="s">
        <v>123</v>
      </c>
      <c r="D625" s="47">
        <v>4</v>
      </c>
      <c r="E625" s="48">
        <v>9343.2999999999993</v>
      </c>
      <c r="F625" s="48">
        <v>213.5</v>
      </c>
      <c r="G625" s="48">
        <v>9556.7999999999993</v>
      </c>
      <c r="H625" s="48">
        <v>102482.3</v>
      </c>
      <c r="I625" s="48">
        <v>4739.5</v>
      </c>
      <c r="J625" s="48">
        <v>107221.8</v>
      </c>
      <c r="K625" s="48">
        <v>7697.2</v>
      </c>
      <c r="L625" s="48">
        <v>600.79999999999995</v>
      </c>
      <c r="M625" s="48">
        <v>4829.5</v>
      </c>
      <c r="N625" s="48">
        <v>90.4</v>
      </c>
    </row>
    <row r="626" spans="1:14" ht="10.050000000000001" customHeight="1">
      <c r="A626" s="45" t="s">
        <v>84</v>
      </c>
      <c r="B626" s="46">
        <v>2017</v>
      </c>
      <c r="C626" s="45" t="s">
        <v>123</v>
      </c>
      <c r="D626" s="47">
        <v>5</v>
      </c>
      <c r="E626" s="48">
        <v>4463.8999999999996</v>
      </c>
      <c r="F626" s="48">
        <v>0</v>
      </c>
      <c r="G626" s="48">
        <v>4463.8999999999996</v>
      </c>
      <c r="H626" s="48">
        <v>52466</v>
      </c>
      <c r="I626" s="48">
        <v>1366.9</v>
      </c>
      <c r="J626" s="48">
        <v>53832.9</v>
      </c>
      <c r="K626" s="48">
        <v>2759.6</v>
      </c>
      <c r="L626" s="48">
        <v>327.10000000000002</v>
      </c>
      <c r="M626" s="48">
        <v>2902</v>
      </c>
      <c r="N626" s="48">
        <v>36.9</v>
      </c>
    </row>
    <row r="627" spans="1:14" ht="10.050000000000001" customHeight="1">
      <c r="A627" s="45" t="s">
        <v>89</v>
      </c>
      <c r="B627" s="46">
        <v>2017</v>
      </c>
      <c r="C627" s="45" t="s">
        <v>123</v>
      </c>
      <c r="D627" s="47">
        <v>5</v>
      </c>
      <c r="E627" s="48">
        <v>31.3</v>
      </c>
      <c r="F627" s="48">
        <v>0</v>
      </c>
      <c r="G627" s="48">
        <v>31.3</v>
      </c>
      <c r="H627" s="48">
        <v>18924</v>
      </c>
      <c r="I627" s="48">
        <v>197.4</v>
      </c>
      <c r="J627" s="48">
        <v>19121.400000000001</v>
      </c>
      <c r="K627" s="48">
        <v>51.7</v>
      </c>
      <c r="L627" s="48">
        <v>4.0999999999999996</v>
      </c>
      <c r="M627" s="48">
        <v>1.6</v>
      </c>
      <c r="N627" s="48">
        <v>3.6</v>
      </c>
    </row>
    <row r="628" spans="1:14" ht="10.050000000000001" customHeight="1">
      <c r="A628" s="45" t="s">
        <v>87</v>
      </c>
      <c r="B628" s="46">
        <v>2017</v>
      </c>
      <c r="C628" s="45" t="s">
        <v>123</v>
      </c>
      <c r="D628" s="47">
        <v>5</v>
      </c>
      <c r="E628" s="48">
        <v>7752.9</v>
      </c>
      <c r="F628" s="48">
        <v>-330.5</v>
      </c>
      <c r="G628" s="48">
        <v>7422.4</v>
      </c>
      <c r="H628" s="48">
        <v>92205.4</v>
      </c>
      <c r="I628" s="48">
        <v>4438.7</v>
      </c>
      <c r="J628" s="48">
        <v>96644.1</v>
      </c>
      <c r="K628" s="48">
        <v>3181.7</v>
      </c>
      <c r="L628" s="48">
        <v>650.1</v>
      </c>
      <c r="M628" s="48">
        <v>4799.6000000000004</v>
      </c>
      <c r="N628" s="48">
        <v>366.1</v>
      </c>
    </row>
    <row r="629" spans="1:14" ht="10.050000000000001" customHeight="1">
      <c r="A629" s="45" t="s">
        <v>84</v>
      </c>
      <c r="B629" s="46">
        <v>2017</v>
      </c>
      <c r="C629" s="45" t="s">
        <v>123</v>
      </c>
      <c r="D629" s="47">
        <v>6</v>
      </c>
      <c r="E629" s="48">
        <v>4092.6</v>
      </c>
      <c r="F629" s="48">
        <v>173.3</v>
      </c>
      <c r="G629" s="48">
        <v>4265.8999999999996</v>
      </c>
      <c r="H629" s="48">
        <v>31884.1</v>
      </c>
      <c r="I629" s="48">
        <v>397.7</v>
      </c>
      <c r="J629" s="48">
        <v>32281.8</v>
      </c>
      <c r="K629" s="48">
        <v>1124.3</v>
      </c>
      <c r="L629" s="48">
        <v>750.7</v>
      </c>
      <c r="M629" s="48">
        <v>1885.4</v>
      </c>
      <c r="N629" s="48">
        <v>575</v>
      </c>
    </row>
    <row r="630" spans="1:14" ht="10.050000000000001" customHeight="1">
      <c r="A630" s="45" t="s">
        <v>89</v>
      </c>
      <c r="B630" s="46">
        <v>2017</v>
      </c>
      <c r="C630" s="45" t="s">
        <v>123</v>
      </c>
      <c r="D630" s="47">
        <v>6</v>
      </c>
      <c r="E630" s="48">
        <v>49.8</v>
      </c>
      <c r="F630" s="48">
        <v>33</v>
      </c>
      <c r="G630" s="48">
        <v>82.8</v>
      </c>
      <c r="H630" s="48">
        <v>18473.8</v>
      </c>
      <c r="I630" s="48">
        <v>40.299999999999997</v>
      </c>
      <c r="J630" s="48">
        <v>18514.099999999999</v>
      </c>
      <c r="K630" s="48">
        <v>67.3</v>
      </c>
      <c r="L630" s="48">
        <v>78.2</v>
      </c>
      <c r="M630" s="48">
        <v>22.6</v>
      </c>
      <c r="N630" s="48">
        <v>40</v>
      </c>
    </row>
    <row r="631" spans="1:14" ht="10.050000000000001" customHeight="1">
      <c r="A631" s="45" t="s">
        <v>87</v>
      </c>
      <c r="B631" s="46">
        <v>2017</v>
      </c>
      <c r="C631" s="45" t="s">
        <v>123</v>
      </c>
      <c r="D631" s="47">
        <v>6</v>
      </c>
      <c r="E631" s="48">
        <v>6201.7</v>
      </c>
      <c r="F631" s="48">
        <v>11.5</v>
      </c>
      <c r="G631" s="48">
        <v>6213.2</v>
      </c>
      <c r="H631" s="48">
        <v>69497.399999999994</v>
      </c>
      <c r="I631" s="48">
        <v>2419.1</v>
      </c>
      <c r="J631" s="48">
        <v>71916.5</v>
      </c>
      <c r="K631" s="48">
        <v>2392.1999999999998</v>
      </c>
      <c r="L631" s="48">
        <v>1380.1</v>
      </c>
      <c r="M631" s="48">
        <v>1691.3</v>
      </c>
      <c r="N631" s="48">
        <v>604.70000000000005</v>
      </c>
    </row>
    <row r="632" spans="1:14" ht="10.050000000000001" customHeight="1">
      <c r="A632" s="45" t="s">
        <v>84</v>
      </c>
      <c r="B632" s="46">
        <v>2017</v>
      </c>
      <c r="C632" s="45" t="s">
        <v>124</v>
      </c>
      <c r="D632" s="47">
        <v>7</v>
      </c>
      <c r="E632" s="48">
        <v>33328.400000000001</v>
      </c>
      <c r="F632" s="48">
        <v>220.7</v>
      </c>
      <c r="G632" s="48">
        <v>33549.1</v>
      </c>
      <c r="H632" s="48">
        <v>48944.7</v>
      </c>
      <c r="I632" s="48">
        <v>750.5</v>
      </c>
      <c r="J632" s="48">
        <v>49695.199999999997</v>
      </c>
      <c r="K632" s="48">
        <v>9247.9</v>
      </c>
      <c r="L632" s="48">
        <v>9431.6000000000095</v>
      </c>
      <c r="M632" s="48">
        <v>997.4</v>
      </c>
      <c r="N632" s="48">
        <v>62.3</v>
      </c>
    </row>
    <row r="633" spans="1:14" ht="10.050000000000001" customHeight="1">
      <c r="A633" s="45" t="s">
        <v>89</v>
      </c>
      <c r="B633" s="46">
        <v>2017</v>
      </c>
      <c r="C633" s="45" t="s">
        <v>124</v>
      </c>
      <c r="D633" s="47">
        <v>7</v>
      </c>
      <c r="E633" s="48">
        <v>2110.6</v>
      </c>
      <c r="F633" s="48">
        <v>0</v>
      </c>
      <c r="G633" s="48">
        <v>2110.6</v>
      </c>
      <c r="H633" s="48">
        <v>20050.5</v>
      </c>
      <c r="I633" s="48">
        <v>40.4</v>
      </c>
      <c r="J633" s="48">
        <v>20090.900000000001</v>
      </c>
      <c r="K633" s="48">
        <v>166.3</v>
      </c>
      <c r="L633" s="48">
        <v>103.3</v>
      </c>
      <c r="M633" s="48">
        <v>0.4</v>
      </c>
      <c r="N633" s="48">
        <v>3.9</v>
      </c>
    </row>
    <row r="634" spans="1:14" ht="10.050000000000001" customHeight="1">
      <c r="A634" s="45" t="s">
        <v>87</v>
      </c>
      <c r="B634" s="46">
        <v>2017</v>
      </c>
      <c r="C634" s="45" t="s">
        <v>124</v>
      </c>
      <c r="D634" s="47">
        <v>7</v>
      </c>
      <c r="E634" s="48">
        <v>314309.3</v>
      </c>
      <c r="F634" s="48">
        <v>11064.7</v>
      </c>
      <c r="G634" s="48">
        <v>325374</v>
      </c>
      <c r="H634" s="48">
        <v>356277.4</v>
      </c>
      <c r="I634" s="48">
        <v>9184.7999999999993</v>
      </c>
      <c r="J634" s="48">
        <v>365462.2</v>
      </c>
      <c r="K634" s="48">
        <v>118179.1</v>
      </c>
      <c r="L634" s="48">
        <v>141648.79999999999</v>
      </c>
      <c r="M634" s="48">
        <v>25486.3</v>
      </c>
      <c r="N634" s="48">
        <v>172.9</v>
      </c>
    </row>
    <row r="635" spans="1:14" ht="10.050000000000001" customHeight="1">
      <c r="A635" s="45" t="s">
        <v>84</v>
      </c>
      <c r="B635" s="46">
        <v>2017</v>
      </c>
      <c r="C635" s="45" t="s">
        <v>124</v>
      </c>
      <c r="D635" s="47">
        <v>8</v>
      </c>
      <c r="E635" s="48">
        <v>43314.7</v>
      </c>
      <c r="F635" s="48">
        <v>2200.6</v>
      </c>
      <c r="G635" s="48">
        <v>45515.3</v>
      </c>
      <c r="H635" s="48">
        <v>85770.400000000096</v>
      </c>
      <c r="I635" s="48">
        <v>2122.8000000000002</v>
      </c>
      <c r="J635" s="48">
        <v>87893.200000000099</v>
      </c>
      <c r="K635" s="48">
        <v>22874.2</v>
      </c>
      <c r="L635" s="48">
        <v>19259</v>
      </c>
      <c r="M635" s="48">
        <v>5175.6000000000004</v>
      </c>
      <c r="N635" s="48">
        <v>442.7</v>
      </c>
    </row>
    <row r="636" spans="1:14" ht="10.050000000000001" customHeight="1">
      <c r="A636" s="45" t="s">
        <v>89</v>
      </c>
      <c r="B636" s="46">
        <v>2017</v>
      </c>
      <c r="C636" s="45" t="s">
        <v>124</v>
      </c>
      <c r="D636" s="47">
        <v>8</v>
      </c>
      <c r="E636" s="48">
        <v>3219.7</v>
      </c>
      <c r="F636" s="48">
        <v>0</v>
      </c>
      <c r="G636" s="48">
        <v>3219.7</v>
      </c>
      <c r="H636" s="48">
        <v>22884.9</v>
      </c>
      <c r="I636" s="48">
        <v>40.299999999999997</v>
      </c>
      <c r="J636" s="48">
        <v>22925.200000000001</v>
      </c>
      <c r="K636" s="48">
        <v>248.9</v>
      </c>
      <c r="L636" s="48">
        <v>279.8</v>
      </c>
      <c r="M636" s="48">
        <v>168.8</v>
      </c>
      <c r="N636" s="48">
        <v>28.4</v>
      </c>
    </row>
    <row r="637" spans="1:14" ht="10.050000000000001" customHeight="1">
      <c r="A637" s="45" t="s">
        <v>87</v>
      </c>
      <c r="B637" s="46">
        <v>2017</v>
      </c>
      <c r="C637" s="45" t="s">
        <v>124</v>
      </c>
      <c r="D637" s="47">
        <v>8</v>
      </c>
      <c r="E637" s="48">
        <v>47973.2</v>
      </c>
      <c r="F637" s="48">
        <v>1647</v>
      </c>
      <c r="G637" s="48">
        <v>49620.2</v>
      </c>
      <c r="H637" s="48">
        <v>306221</v>
      </c>
      <c r="I637" s="48">
        <v>9625.4</v>
      </c>
      <c r="J637" s="48">
        <v>315846.40000000002</v>
      </c>
      <c r="K637" s="48">
        <v>105993.8</v>
      </c>
      <c r="L637" s="48">
        <v>11501.9</v>
      </c>
      <c r="M637" s="48">
        <v>22448.6</v>
      </c>
      <c r="N637" s="48">
        <v>1238.5999999999999</v>
      </c>
    </row>
    <row r="638" spans="1:14" ht="10.050000000000001" customHeight="1">
      <c r="A638" s="45" t="s">
        <v>84</v>
      </c>
      <c r="B638" s="46">
        <v>2017</v>
      </c>
      <c r="C638" s="45" t="s">
        <v>124</v>
      </c>
      <c r="D638" s="47">
        <v>9</v>
      </c>
      <c r="E638" s="48">
        <v>18109</v>
      </c>
      <c r="F638" s="48">
        <v>1696.2</v>
      </c>
      <c r="G638" s="48">
        <v>19805.2</v>
      </c>
      <c r="H638" s="48">
        <v>86689.7</v>
      </c>
      <c r="I638" s="48">
        <v>2736.4</v>
      </c>
      <c r="J638" s="48">
        <v>89426.1</v>
      </c>
      <c r="K638" s="48">
        <v>14424.7</v>
      </c>
      <c r="L638" s="48">
        <v>4057.5</v>
      </c>
      <c r="M638" s="48">
        <v>11623.9</v>
      </c>
      <c r="N638" s="48">
        <v>1059.8</v>
      </c>
    </row>
    <row r="639" spans="1:14" ht="10.050000000000001" customHeight="1">
      <c r="A639" s="45" t="s">
        <v>89</v>
      </c>
      <c r="B639" s="46">
        <v>2017</v>
      </c>
      <c r="C639" s="45" t="s">
        <v>124</v>
      </c>
      <c r="D639" s="47">
        <v>9</v>
      </c>
      <c r="E639" s="48">
        <v>358.9</v>
      </c>
      <c r="F639" s="48">
        <v>142.4</v>
      </c>
      <c r="G639" s="48">
        <v>501.3</v>
      </c>
      <c r="H639" s="48">
        <v>22851.8</v>
      </c>
      <c r="I639" s="48">
        <v>182.7</v>
      </c>
      <c r="J639" s="48">
        <v>23034.5</v>
      </c>
      <c r="K639" s="48">
        <v>354.6</v>
      </c>
      <c r="L639" s="48">
        <v>149.4</v>
      </c>
      <c r="M639" s="48">
        <v>43.8</v>
      </c>
      <c r="N639" s="48">
        <v>0</v>
      </c>
    </row>
    <row r="640" spans="1:14" ht="10.050000000000001" customHeight="1">
      <c r="A640" s="45" t="s">
        <v>87</v>
      </c>
      <c r="B640" s="46">
        <v>2017</v>
      </c>
      <c r="C640" s="45" t="s">
        <v>124</v>
      </c>
      <c r="D640" s="47">
        <v>9</v>
      </c>
      <c r="E640" s="48">
        <v>32475.200000000001</v>
      </c>
      <c r="F640" s="48">
        <v>4057.8</v>
      </c>
      <c r="G640" s="48">
        <v>36533</v>
      </c>
      <c r="H640" s="48">
        <v>320184.2</v>
      </c>
      <c r="I640" s="48">
        <v>12042.3</v>
      </c>
      <c r="J640" s="48">
        <v>332226.5</v>
      </c>
      <c r="K640" s="48">
        <v>84169.1</v>
      </c>
      <c r="L640" s="48">
        <v>4575.3</v>
      </c>
      <c r="M640" s="48">
        <v>25538.400000000001</v>
      </c>
      <c r="N640" s="48">
        <v>861.8</v>
      </c>
    </row>
    <row r="641" spans="1:14" ht="10.050000000000001" customHeight="1">
      <c r="A641" s="45" t="s">
        <v>84</v>
      </c>
      <c r="B641" s="46">
        <v>2017</v>
      </c>
      <c r="C641" s="45" t="s">
        <v>124</v>
      </c>
      <c r="D641" s="47">
        <v>10</v>
      </c>
      <c r="E641" s="48">
        <v>5195.7</v>
      </c>
      <c r="F641" s="48">
        <v>474.4</v>
      </c>
      <c r="G641" s="48">
        <v>5670.1</v>
      </c>
      <c r="H641" s="48">
        <v>75587.8</v>
      </c>
      <c r="I641" s="48">
        <v>2360.6</v>
      </c>
      <c r="J641" s="48">
        <v>77948.399999999994</v>
      </c>
      <c r="K641" s="48">
        <v>12777.6</v>
      </c>
      <c r="L641" s="48">
        <v>1532.1</v>
      </c>
      <c r="M641" s="48">
        <v>2937.1</v>
      </c>
      <c r="N641" s="48">
        <v>233.3</v>
      </c>
    </row>
    <row r="642" spans="1:14" ht="10.050000000000001" customHeight="1">
      <c r="A642" s="45" t="s">
        <v>89</v>
      </c>
      <c r="B642" s="46">
        <v>2017</v>
      </c>
      <c r="C642" s="45" t="s">
        <v>124</v>
      </c>
      <c r="D642" s="47">
        <v>10</v>
      </c>
      <c r="E642" s="48">
        <v>295.10000000000002</v>
      </c>
      <c r="F642" s="48">
        <v>0</v>
      </c>
      <c r="G642" s="48">
        <v>295.10000000000002</v>
      </c>
      <c r="H642" s="48">
        <v>22735.9</v>
      </c>
      <c r="I642" s="48">
        <v>182.7</v>
      </c>
      <c r="J642" s="48">
        <v>22918.6</v>
      </c>
      <c r="K642" s="48">
        <v>313.39999999999998</v>
      </c>
      <c r="L642" s="48">
        <v>21.7</v>
      </c>
      <c r="M642" s="48">
        <v>42.3</v>
      </c>
      <c r="N642" s="48">
        <v>20.7</v>
      </c>
    </row>
    <row r="643" spans="1:14" ht="10.050000000000001" customHeight="1">
      <c r="A643" s="45" t="s">
        <v>87</v>
      </c>
      <c r="B643" s="46">
        <v>2017</v>
      </c>
      <c r="C643" s="45" t="s">
        <v>124</v>
      </c>
      <c r="D643" s="47">
        <v>10</v>
      </c>
      <c r="E643" s="48">
        <v>14033.3</v>
      </c>
      <c r="F643" s="48">
        <v>2805.3</v>
      </c>
      <c r="G643" s="48">
        <v>16838.599999999999</v>
      </c>
      <c r="H643" s="48">
        <v>312920.40000000002</v>
      </c>
      <c r="I643" s="48">
        <v>12815.1</v>
      </c>
      <c r="J643" s="48">
        <v>325735.5</v>
      </c>
      <c r="K643" s="48">
        <v>75697.600000000006</v>
      </c>
      <c r="L643" s="48">
        <v>1634.8</v>
      </c>
      <c r="M643" s="48">
        <v>9377.4</v>
      </c>
      <c r="N643" s="48">
        <v>728.8</v>
      </c>
    </row>
    <row r="644" spans="1:14" ht="10.050000000000001" customHeight="1">
      <c r="A644" s="45" t="s">
        <v>84</v>
      </c>
      <c r="B644" s="46">
        <v>2017</v>
      </c>
      <c r="C644" s="45" t="s">
        <v>124</v>
      </c>
      <c r="D644" s="47">
        <v>11</v>
      </c>
      <c r="E644" s="48">
        <v>4726.3</v>
      </c>
      <c r="F644" s="48">
        <v>1862.6</v>
      </c>
      <c r="G644" s="48">
        <v>6588.9</v>
      </c>
      <c r="H644" s="48">
        <v>66799.600000000006</v>
      </c>
      <c r="I644" s="48">
        <v>2843.9</v>
      </c>
      <c r="J644" s="48">
        <v>69643.5</v>
      </c>
      <c r="K644" s="48">
        <v>10523.6</v>
      </c>
      <c r="L644" s="48">
        <v>794.8</v>
      </c>
      <c r="M644" s="48">
        <v>2364.3000000000002</v>
      </c>
      <c r="N644" s="48">
        <v>684.5</v>
      </c>
    </row>
    <row r="645" spans="1:14" ht="10.050000000000001" customHeight="1">
      <c r="A645" s="45" t="s">
        <v>89</v>
      </c>
      <c r="B645" s="46">
        <v>2017</v>
      </c>
      <c r="C645" s="45" t="s">
        <v>124</v>
      </c>
      <c r="D645" s="47">
        <v>11</v>
      </c>
      <c r="E645" s="48">
        <v>91.2</v>
      </c>
      <c r="F645" s="48">
        <v>0</v>
      </c>
      <c r="G645" s="48">
        <v>91.2</v>
      </c>
      <c r="H645" s="48">
        <v>22432.6</v>
      </c>
      <c r="I645" s="48">
        <v>182.7</v>
      </c>
      <c r="J645" s="48">
        <v>22615.3</v>
      </c>
      <c r="K645" s="48">
        <v>296.3</v>
      </c>
      <c r="L645" s="48">
        <v>31.5</v>
      </c>
      <c r="M645" s="48">
        <v>31.5</v>
      </c>
      <c r="N645" s="48">
        <v>17.100000000000001</v>
      </c>
    </row>
    <row r="646" spans="1:14" ht="10.050000000000001" customHeight="1">
      <c r="A646" s="45" t="s">
        <v>87</v>
      </c>
      <c r="B646" s="46">
        <v>2017</v>
      </c>
      <c r="C646" s="45" t="s">
        <v>124</v>
      </c>
      <c r="D646" s="47">
        <v>11</v>
      </c>
      <c r="E646" s="48">
        <v>14006</v>
      </c>
      <c r="F646" s="48">
        <v>4885.3999999999996</v>
      </c>
      <c r="G646" s="48">
        <v>18891.400000000001</v>
      </c>
      <c r="H646" s="48">
        <v>285263.59999999998</v>
      </c>
      <c r="I646" s="48">
        <v>14927.3</v>
      </c>
      <c r="J646" s="48">
        <v>300190.90000000002</v>
      </c>
      <c r="K646" s="48">
        <v>65697.899999999994</v>
      </c>
      <c r="L646" s="48">
        <v>511.9</v>
      </c>
      <c r="M646" s="48">
        <v>9066.1</v>
      </c>
      <c r="N646" s="48">
        <v>1445.1</v>
      </c>
    </row>
    <row r="647" spans="1:14" ht="10.050000000000001" customHeight="1">
      <c r="A647" s="45" t="s">
        <v>84</v>
      </c>
      <c r="B647" s="46">
        <v>2017</v>
      </c>
      <c r="C647" s="45" t="s">
        <v>124</v>
      </c>
      <c r="D647" s="47">
        <v>12</v>
      </c>
      <c r="E647" s="48">
        <v>4892.2</v>
      </c>
      <c r="F647" s="48">
        <v>929</v>
      </c>
      <c r="G647" s="48">
        <v>5821.2</v>
      </c>
      <c r="H647" s="48">
        <v>62705.2</v>
      </c>
      <c r="I647" s="48">
        <v>3182.4</v>
      </c>
      <c r="J647" s="48">
        <v>65887.600000000006</v>
      </c>
      <c r="K647" s="48">
        <v>7801.7</v>
      </c>
      <c r="L647" s="48">
        <v>310.60000000000002</v>
      </c>
      <c r="M647" s="48">
        <v>2604.4</v>
      </c>
      <c r="N647" s="48">
        <v>424.1</v>
      </c>
    </row>
    <row r="648" spans="1:14" ht="10.050000000000001" customHeight="1">
      <c r="A648" s="45" t="s">
        <v>89</v>
      </c>
      <c r="B648" s="46">
        <v>2017</v>
      </c>
      <c r="C648" s="45" t="s">
        <v>124</v>
      </c>
      <c r="D648" s="47">
        <v>12</v>
      </c>
      <c r="E648" s="48">
        <v>77.7</v>
      </c>
      <c r="F648" s="48">
        <v>242</v>
      </c>
      <c r="G648" s="48">
        <v>319.7</v>
      </c>
      <c r="H648" s="48">
        <v>22117.599999999999</v>
      </c>
      <c r="I648" s="48">
        <v>292.2</v>
      </c>
      <c r="J648" s="48">
        <v>22409.8</v>
      </c>
      <c r="K648" s="48">
        <v>220.5</v>
      </c>
      <c r="L648" s="48">
        <v>20.6</v>
      </c>
      <c r="M648" s="48">
        <v>42.5</v>
      </c>
      <c r="N648" s="48">
        <v>53.9</v>
      </c>
    </row>
    <row r="649" spans="1:14" ht="10.050000000000001" customHeight="1">
      <c r="A649" s="45" t="s">
        <v>87</v>
      </c>
      <c r="B649" s="46">
        <v>2017</v>
      </c>
      <c r="C649" s="45" t="s">
        <v>124</v>
      </c>
      <c r="D649" s="47">
        <v>12</v>
      </c>
      <c r="E649" s="48">
        <v>12956.5</v>
      </c>
      <c r="F649" s="48">
        <v>3531.7</v>
      </c>
      <c r="G649" s="48">
        <v>16488.2</v>
      </c>
      <c r="H649" s="48">
        <v>279212.3</v>
      </c>
      <c r="I649" s="48">
        <v>15056.6</v>
      </c>
      <c r="J649" s="48">
        <v>294268.90000000002</v>
      </c>
      <c r="K649" s="48">
        <v>58564.800000000003</v>
      </c>
      <c r="L649" s="48">
        <v>2262.6</v>
      </c>
      <c r="M649" s="48">
        <v>8906.1</v>
      </c>
      <c r="N649" s="48">
        <v>489.5</v>
      </c>
    </row>
    <row r="650" spans="1:14" ht="10.050000000000001" customHeight="1">
      <c r="A650" s="45" t="s">
        <v>84</v>
      </c>
      <c r="B650" s="46">
        <v>2018</v>
      </c>
      <c r="C650" s="45" t="s">
        <v>124</v>
      </c>
      <c r="D650" s="47">
        <v>1</v>
      </c>
      <c r="E650" s="48">
        <v>3695.5</v>
      </c>
      <c r="F650" s="48">
        <v>422</v>
      </c>
      <c r="G650" s="48">
        <v>4117.5</v>
      </c>
      <c r="H650" s="48">
        <v>60572.7</v>
      </c>
      <c r="I650" s="48">
        <v>2996.3</v>
      </c>
      <c r="J650" s="48">
        <v>63569</v>
      </c>
      <c r="K650" s="48">
        <v>5841.2</v>
      </c>
      <c r="L650" s="48">
        <v>247.3</v>
      </c>
      <c r="M650" s="48">
        <v>2115.1</v>
      </c>
      <c r="N650" s="48">
        <v>107.6</v>
      </c>
    </row>
    <row r="651" spans="1:14" ht="10.050000000000001" customHeight="1">
      <c r="A651" s="45" t="s">
        <v>89</v>
      </c>
      <c r="B651" s="46">
        <v>2018</v>
      </c>
      <c r="C651" s="45" t="s">
        <v>124</v>
      </c>
      <c r="D651" s="47">
        <v>1</v>
      </c>
      <c r="E651" s="48">
        <v>106.6</v>
      </c>
      <c r="F651" s="48">
        <v>0</v>
      </c>
      <c r="G651" s="48">
        <v>106.6</v>
      </c>
      <c r="H651" s="48">
        <v>21703.599999999999</v>
      </c>
      <c r="I651" s="48">
        <v>272.2</v>
      </c>
      <c r="J651" s="48">
        <v>21975.8</v>
      </c>
      <c r="K651" s="48">
        <v>201.1</v>
      </c>
      <c r="L651" s="48">
        <v>70.900000000000006</v>
      </c>
      <c r="M651" s="48">
        <v>90.3</v>
      </c>
      <c r="N651" s="48">
        <v>0</v>
      </c>
    </row>
    <row r="652" spans="1:14" ht="10.050000000000001" customHeight="1">
      <c r="A652" s="45" t="s">
        <v>87</v>
      </c>
      <c r="B652" s="46">
        <v>2018</v>
      </c>
      <c r="C652" s="45" t="s">
        <v>124</v>
      </c>
      <c r="D652" s="47">
        <v>1</v>
      </c>
      <c r="E652" s="48">
        <v>16043.9</v>
      </c>
      <c r="F652" s="48">
        <v>2861.8</v>
      </c>
      <c r="G652" s="48">
        <v>18905.7</v>
      </c>
      <c r="H652" s="48">
        <v>270334.5</v>
      </c>
      <c r="I652" s="48">
        <v>13423</v>
      </c>
      <c r="J652" s="48">
        <v>283757.5</v>
      </c>
      <c r="K652" s="48">
        <v>50222.8</v>
      </c>
      <c r="L652" s="48">
        <v>3435.5</v>
      </c>
      <c r="M652" s="48">
        <v>11471</v>
      </c>
      <c r="N652" s="48">
        <v>307</v>
      </c>
    </row>
    <row r="653" spans="1:14" ht="10.050000000000001" customHeight="1">
      <c r="A653" s="45" t="s">
        <v>84</v>
      </c>
      <c r="B653" s="46">
        <v>2018</v>
      </c>
      <c r="C653" s="45" t="s">
        <v>124</v>
      </c>
      <c r="D653" s="47">
        <v>2</v>
      </c>
      <c r="E653" s="48">
        <v>2769.6</v>
      </c>
      <c r="F653" s="48">
        <v>127.2</v>
      </c>
      <c r="G653" s="48">
        <v>2896.8</v>
      </c>
      <c r="H653" s="48">
        <v>55410.9</v>
      </c>
      <c r="I653" s="48">
        <v>1831.4</v>
      </c>
      <c r="J653" s="48">
        <v>57242.3</v>
      </c>
      <c r="K653" s="48">
        <v>4668.7</v>
      </c>
      <c r="L653" s="48">
        <v>228.7</v>
      </c>
      <c r="M653" s="48">
        <v>1205.5</v>
      </c>
      <c r="N653" s="48">
        <v>195.6</v>
      </c>
    </row>
    <row r="654" spans="1:14" ht="10.050000000000001" customHeight="1">
      <c r="A654" s="45" t="s">
        <v>89</v>
      </c>
      <c r="B654" s="46">
        <v>2018</v>
      </c>
      <c r="C654" s="45" t="s">
        <v>124</v>
      </c>
      <c r="D654" s="47">
        <v>2</v>
      </c>
      <c r="E654" s="48">
        <v>73.8</v>
      </c>
      <c r="F654" s="48">
        <v>0</v>
      </c>
      <c r="G654" s="48">
        <v>73.8</v>
      </c>
      <c r="H654" s="48">
        <v>21378.2</v>
      </c>
      <c r="I654" s="48">
        <v>268.60000000000002</v>
      </c>
      <c r="J654" s="48">
        <v>21646.799999999999</v>
      </c>
      <c r="K654" s="48">
        <v>171.5</v>
      </c>
      <c r="L654" s="48">
        <v>0</v>
      </c>
      <c r="M654" s="48">
        <v>2.1</v>
      </c>
      <c r="N654" s="48">
        <v>27.5</v>
      </c>
    </row>
    <row r="655" spans="1:14" ht="10.050000000000001" customHeight="1">
      <c r="A655" s="45" t="s">
        <v>87</v>
      </c>
      <c r="B655" s="46">
        <v>2018</v>
      </c>
      <c r="C655" s="45" t="s">
        <v>124</v>
      </c>
      <c r="D655" s="47">
        <v>2</v>
      </c>
      <c r="E655" s="48">
        <v>16693.3</v>
      </c>
      <c r="F655" s="48">
        <v>1556.5</v>
      </c>
      <c r="G655" s="48">
        <v>18249.8</v>
      </c>
      <c r="H655" s="48">
        <v>256714.9</v>
      </c>
      <c r="I655" s="48">
        <v>11044.8</v>
      </c>
      <c r="J655" s="48">
        <v>267759.7</v>
      </c>
      <c r="K655" s="48">
        <v>40928.699999999997</v>
      </c>
      <c r="L655" s="48">
        <v>1273.8</v>
      </c>
      <c r="M655" s="48">
        <v>9778.1</v>
      </c>
      <c r="N655" s="48">
        <v>789.6</v>
      </c>
    </row>
    <row r="656" spans="1:14" ht="10.050000000000001" customHeight="1">
      <c r="A656" s="45" t="s">
        <v>84</v>
      </c>
      <c r="B656" s="46">
        <v>2018</v>
      </c>
      <c r="C656" s="45" t="s">
        <v>124</v>
      </c>
      <c r="D656" s="47">
        <v>3</v>
      </c>
      <c r="E656" s="48">
        <v>3321.7</v>
      </c>
      <c r="F656" s="48">
        <v>180.2</v>
      </c>
      <c r="G656" s="48">
        <v>3501.9</v>
      </c>
      <c r="H656" s="48">
        <v>47046.1</v>
      </c>
      <c r="I656" s="48">
        <v>1741.8</v>
      </c>
      <c r="J656" s="48">
        <v>48787.9</v>
      </c>
      <c r="K656" s="48">
        <v>3317.2</v>
      </c>
      <c r="L656" s="48">
        <v>437.4</v>
      </c>
      <c r="M656" s="48">
        <v>1680.6</v>
      </c>
      <c r="N656" s="48">
        <v>122.1</v>
      </c>
    </row>
    <row r="657" spans="1:14" ht="10.050000000000001" customHeight="1">
      <c r="A657" s="45" t="s">
        <v>89</v>
      </c>
      <c r="B657" s="46">
        <v>2018</v>
      </c>
      <c r="C657" s="45" t="s">
        <v>124</v>
      </c>
      <c r="D657" s="47">
        <v>3</v>
      </c>
      <c r="E657" s="48">
        <v>53.1</v>
      </c>
      <c r="F657" s="48">
        <v>0</v>
      </c>
      <c r="G657" s="48">
        <v>53.1</v>
      </c>
      <c r="H657" s="48">
        <v>20736.099999999999</v>
      </c>
      <c r="I657" s="48">
        <v>264.60000000000002</v>
      </c>
      <c r="J657" s="48">
        <v>21000.7</v>
      </c>
      <c r="K657" s="48">
        <v>124.8</v>
      </c>
      <c r="L657" s="48">
        <v>4.3</v>
      </c>
      <c r="M657" s="48">
        <v>26.9</v>
      </c>
      <c r="N657" s="48">
        <v>24.1</v>
      </c>
    </row>
    <row r="658" spans="1:14" ht="10.050000000000001" customHeight="1">
      <c r="A658" s="45" t="s">
        <v>87</v>
      </c>
      <c r="B658" s="46">
        <v>2018</v>
      </c>
      <c r="C658" s="45" t="s">
        <v>124</v>
      </c>
      <c r="D658" s="47">
        <v>3</v>
      </c>
      <c r="E658" s="48">
        <v>18723.7</v>
      </c>
      <c r="F658" s="48">
        <v>582.5</v>
      </c>
      <c r="G658" s="48">
        <v>19306.2</v>
      </c>
      <c r="H658" s="48">
        <v>231203.1</v>
      </c>
      <c r="I658" s="48">
        <v>9327.5</v>
      </c>
      <c r="J658" s="48">
        <v>240530.6</v>
      </c>
      <c r="K658" s="48">
        <v>30411.4</v>
      </c>
      <c r="L658" s="48">
        <v>1867.7</v>
      </c>
      <c r="M658" s="48">
        <v>11934.7</v>
      </c>
      <c r="N658" s="48">
        <v>450.1</v>
      </c>
    </row>
    <row r="659" spans="1:14" ht="10.050000000000001" customHeight="1">
      <c r="A659" s="45" t="s">
        <v>84</v>
      </c>
      <c r="B659" s="46">
        <v>2018</v>
      </c>
      <c r="C659" s="45" t="s">
        <v>124</v>
      </c>
      <c r="D659" s="47">
        <v>4</v>
      </c>
      <c r="E659" s="48">
        <v>2344.1999999999998</v>
      </c>
      <c r="F659" s="48">
        <v>24.7</v>
      </c>
      <c r="G659" s="48">
        <v>2368.9</v>
      </c>
      <c r="H659" s="48">
        <v>45110</v>
      </c>
      <c r="I659" s="48">
        <v>1611.1</v>
      </c>
      <c r="J659" s="48">
        <v>46721.1</v>
      </c>
      <c r="K659" s="48">
        <v>2004.1</v>
      </c>
      <c r="L659" s="48">
        <v>50.9</v>
      </c>
      <c r="M659" s="48">
        <v>1016.5</v>
      </c>
      <c r="N659" s="48">
        <v>347.6</v>
      </c>
    </row>
    <row r="660" spans="1:14" ht="10.050000000000001" customHeight="1">
      <c r="A660" s="45" t="s">
        <v>89</v>
      </c>
      <c r="B660" s="46">
        <v>2018</v>
      </c>
      <c r="C660" s="45" t="s">
        <v>124</v>
      </c>
      <c r="D660" s="47">
        <v>4</v>
      </c>
      <c r="E660" s="48">
        <v>25.2</v>
      </c>
      <c r="F660" s="48">
        <v>0</v>
      </c>
      <c r="G660" s="48">
        <v>25.2</v>
      </c>
      <c r="H660" s="48">
        <v>19838.099999999999</v>
      </c>
      <c r="I660" s="48">
        <v>263.39999999999998</v>
      </c>
      <c r="J660" s="48">
        <v>20101.5</v>
      </c>
      <c r="K660" s="48">
        <v>106.7</v>
      </c>
      <c r="L660" s="48">
        <v>0</v>
      </c>
      <c r="M660" s="48">
        <v>0</v>
      </c>
      <c r="N660" s="48">
        <v>18.100000000000001</v>
      </c>
    </row>
    <row r="661" spans="1:14" ht="10.050000000000001" customHeight="1">
      <c r="A661" s="45" t="s">
        <v>87</v>
      </c>
      <c r="B661" s="46">
        <v>2018</v>
      </c>
      <c r="C661" s="45" t="s">
        <v>124</v>
      </c>
      <c r="D661" s="47">
        <v>4</v>
      </c>
      <c r="E661" s="48">
        <v>23063.5</v>
      </c>
      <c r="F661" s="48">
        <v>427.9</v>
      </c>
      <c r="G661" s="48">
        <v>23491.4</v>
      </c>
      <c r="H661" s="48">
        <v>210248.2</v>
      </c>
      <c r="I661" s="48">
        <v>8042.1</v>
      </c>
      <c r="J661" s="48">
        <v>218290.3</v>
      </c>
      <c r="K661" s="48">
        <v>16153.3</v>
      </c>
      <c r="L661" s="48">
        <v>1635.8</v>
      </c>
      <c r="M661" s="48">
        <v>14393.3</v>
      </c>
      <c r="N661" s="48">
        <v>1518.5</v>
      </c>
    </row>
    <row r="662" spans="1:14" ht="10.050000000000001" customHeight="1">
      <c r="A662" s="45" t="s">
        <v>84</v>
      </c>
      <c r="B662" s="46">
        <v>2018</v>
      </c>
      <c r="C662" s="45" t="s">
        <v>124</v>
      </c>
      <c r="D662" s="47">
        <v>5</v>
      </c>
      <c r="E662" s="48">
        <v>2576.5</v>
      </c>
      <c r="F662" s="48">
        <v>0</v>
      </c>
      <c r="G662" s="48">
        <v>2576.5</v>
      </c>
      <c r="H662" s="48">
        <v>41057.4</v>
      </c>
      <c r="I662" s="48">
        <v>1424.2</v>
      </c>
      <c r="J662" s="48">
        <v>42481.599999999999</v>
      </c>
      <c r="K662" s="48">
        <v>879.6</v>
      </c>
      <c r="L662" s="48">
        <v>256.39999999999998</v>
      </c>
      <c r="M662" s="48">
        <v>1174.3</v>
      </c>
      <c r="N662" s="48">
        <v>206.6</v>
      </c>
    </row>
    <row r="663" spans="1:14" ht="10.050000000000001" customHeight="1">
      <c r="A663" s="45" t="s">
        <v>89</v>
      </c>
      <c r="B663" s="46">
        <v>2018</v>
      </c>
      <c r="C663" s="45" t="s">
        <v>124</v>
      </c>
      <c r="D663" s="47">
        <v>5</v>
      </c>
      <c r="E663" s="48">
        <v>1.3</v>
      </c>
      <c r="F663" s="48">
        <v>0</v>
      </c>
      <c r="G663" s="48">
        <v>1.3</v>
      </c>
      <c r="H663" s="48">
        <v>18747.3</v>
      </c>
      <c r="I663" s="48">
        <v>261.7</v>
      </c>
      <c r="J663" s="48">
        <v>19009</v>
      </c>
      <c r="K663" s="48">
        <v>82.3</v>
      </c>
      <c r="L663" s="48">
        <v>0</v>
      </c>
      <c r="M663" s="48">
        <v>1.3</v>
      </c>
      <c r="N663" s="48">
        <v>23.1</v>
      </c>
    </row>
    <row r="664" spans="1:14" ht="10.050000000000001" customHeight="1">
      <c r="A664" s="45" t="s">
        <v>87</v>
      </c>
      <c r="B664" s="46">
        <v>2018</v>
      </c>
      <c r="C664" s="45" t="s">
        <v>124</v>
      </c>
      <c r="D664" s="47">
        <v>5</v>
      </c>
      <c r="E664" s="48">
        <v>17356.5</v>
      </c>
      <c r="F664" s="48">
        <v>93.2</v>
      </c>
      <c r="G664" s="48">
        <v>17449.7</v>
      </c>
      <c r="H664" s="48">
        <v>187775.3</v>
      </c>
      <c r="I664" s="48">
        <v>6661.4</v>
      </c>
      <c r="J664" s="48">
        <v>194436.7</v>
      </c>
      <c r="K664" s="48">
        <v>7586.2</v>
      </c>
      <c r="L664" s="48">
        <v>1009.1</v>
      </c>
      <c r="M664" s="48">
        <v>9382</v>
      </c>
      <c r="N664" s="48">
        <v>195.1</v>
      </c>
    </row>
    <row r="665" spans="1:14" ht="10.050000000000001" customHeight="1">
      <c r="A665" s="45" t="s">
        <v>84</v>
      </c>
      <c r="B665" s="46">
        <v>2018</v>
      </c>
      <c r="C665" s="45" t="s">
        <v>124</v>
      </c>
      <c r="D665" s="47">
        <v>6</v>
      </c>
      <c r="E665" s="48">
        <v>2998.3</v>
      </c>
      <c r="F665" s="48">
        <v>34.700000000000003</v>
      </c>
      <c r="G665" s="48">
        <v>3033</v>
      </c>
      <c r="H665" s="48">
        <v>21556.799999999999</v>
      </c>
      <c r="I665" s="48">
        <v>882.1</v>
      </c>
      <c r="J665" s="48">
        <v>22438.9</v>
      </c>
      <c r="K665" s="48">
        <v>440.8</v>
      </c>
      <c r="L665" s="48">
        <v>524.9</v>
      </c>
      <c r="M665" s="48">
        <v>527.20000000000005</v>
      </c>
      <c r="N665" s="48">
        <v>467</v>
      </c>
    </row>
    <row r="666" spans="1:14" ht="10.050000000000001" customHeight="1">
      <c r="A666" s="45" t="s">
        <v>89</v>
      </c>
      <c r="B666" s="46">
        <v>2018</v>
      </c>
      <c r="C666" s="45" t="s">
        <v>124</v>
      </c>
      <c r="D666" s="47">
        <v>6</v>
      </c>
      <c r="E666" s="48">
        <v>59.3</v>
      </c>
      <c r="F666" s="48">
        <v>0</v>
      </c>
      <c r="G666" s="48">
        <v>59.3</v>
      </c>
      <c r="H666" s="48">
        <v>17989.7</v>
      </c>
      <c r="I666" s="48">
        <v>261.60000000000002</v>
      </c>
      <c r="J666" s="48">
        <v>18251.3</v>
      </c>
      <c r="K666" s="48">
        <v>66.8</v>
      </c>
      <c r="L666" s="48">
        <v>0</v>
      </c>
      <c r="M666" s="48">
        <v>1.4</v>
      </c>
      <c r="N666" s="48">
        <v>14.1</v>
      </c>
    </row>
    <row r="667" spans="1:14" ht="10.050000000000001" customHeight="1">
      <c r="A667" s="45" t="s">
        <v>87</v>
      </c>
      <c r="B667" s="46">
        <v>2018</v>
      </c>
      <c r="C667" s="45" t="s">
        <v>124</v>
      </c>
      <c r="D667" s="47">
        <v>6</v>
      </c>
      <c r="E667" s="48">
        <v>12853.6</v>
      </c>
      <c r="F667" s="48">
        <v>1238.5</v>
      </c>
      <c r="G667" s="48">
        <v>14092.1</v>
      </c>
      <c r="H667" s="48">
        <v>155953.9</v>
      </c>
      <c r="I667" s="48">
        <v>5752.1</v>
      </c>
      <c r="J667" s="48">
        <v>161706</v>
      </c>
      <c r="K667" s="48">
        <v>9508.7999999999993</v>
      </c>
      <c r="L667" s="48">
        <v>7006.9</v>
      </c>
      <c r="M667" s="48">
        <v>4213</v>
      </c>
      <c r="N667" s="48">
        <v>871.6</v>
      </c>
    </row>
    <row r="668" spans="1:14" ht="10.050000000000001" customHeight="1">
      <c r="A668" s="45" t="s">
        <v>84</v>
      </c>
      <c r="B668" s="46">
        <v>2018</v>
      </c>
      <c r="C668" s="45" t="s">
        <v>125</v>
      </c>
      <c r="D668" s="47">
        <v>7</v>
      </c>
      <c r="E668" s="48">
        <v>23764.799999999999</v>
      </c>
      <c r="F668" s="48">
        <v>432.8</v>
      </c>
      <c r="G668" s="48">
        <v>24197.599999999999</v>
      </c>
      <c r="H668" s="48">
        <v>37419.1</v>
      </c>
      <c r="I668" s="48">
        <v>1048</v>
      </c>
      <c r="J668" s="48">
        <v>38467.1</v>
      </c>
      <c r="K668" s="48">
        <v>6316.1</v>
      </c>
      <c r="L668" s="48">
        <v>7425.2</v>
      </c>
      <c r="M668" s="48">
        <v>1464.8</v>
      </c>
      <c r="N668" s="48">
        <v>57.8</v>
      </c>
    </row>
    <row r="669" spans="1:14" ht="10.050000000000001" customHeight="1">
      <c r="A669" s="45" t="s">
        <v>89</v>
      </c>
      <c r="B669" s="46">
        <v>2018</v>
      </c>
      <c r="C669" s="45" t="s">
        <v>125</v>
      </c>
      <c r="D669" s="47">
        <v>7</v>
      </c>
      <c r="E669" s="48">
        <v>1637</v>
      </c>
      <c r="F669" s="48">
        <v>0</v>
      </c>
      <c r="G669" s="48">
        <v>1637</v>
      </c>
      <c r="H669" s="48">
        <v>18389.8</v>
      </c>
      <c r="I669" s="48">
        <v>261.7</v>
      </c>
      <c r="J669" s="48">
        <v>18651.5</v>
      </c>
      <c r="K669" s="48">
        <v>218.7</v>
      </c>
      <c r="L669" s="48">
        <v>168.2</v>
      </c>
      <c r="M669" s="48">
        <v>0</v>
      </c>
      <c r="N669" s="48">
        <v>16.2</v>
      </c>
    </row>
    <row r="670" spans="1:14" ht="10.050000000000001" customHeight="1">
      <c r="A670" s="45" t="s">
        <v>87</v>
      </c>
      <c r="B670" s="46">
        <v>2018</v>
      </c>
      <c r="C670" s="45" t="s">
        <v>125</v>
      </c>
      <c r="D670" s="47">
        <v>7</v>
      </c>
      <c r="E670" s="48">
        <v>237735.3</v>
      </c>
      <c r="F670" s="48">
        <v>6085.5</v>
      </c>
      <c r="G670" s="48">
        <v>243820.79999999999</v>
      </c>
      <c r="H670" s="48">
        <v>350695.8</v>
      </c>
      <c r="I670" s="48">
        <v>8927.9</v>
      </c>
      <c r="J670" s="48">
        <v>359623.7</v>
      </c>
      <c r="K670" s="48">
        <v>83638.5</v>
      </c>
      <c r="L670" s="48">
        <v>97569.2</v>
      </c>
      <c r="M670" s="48">
        <v>23260</v>
      </c>
      <c r="N670" s="48">
        <v>161.5</v>
      </c>
    </row>
    <row r="671" spans="1:14" ht="10.050000000000001" customHeight="1">
      <c r="A671" s="45" t="s">
        <v>84</v>
      </c>
      <c r="B671" s="46">
        <v>2018</v>
      </c>
      <c r="C671" s="45" t="s">
        <v>125</v>
      </c>
      <c r="D671" s="47">
        <v>8</v>
      </c>
      <c r="E671" s="48">
        <v>15982.4</v>
      </c>
      <c r="F671" s="48">
        <v>1813.1</v>
      </c>
      <c r="G671" s="48">
        <v>17795.5</v>
      </c>
      <c r="H671" s="48">
        <v>42698.6</v>
      </c>
      <c r="I671" s="48">
        <v>2248.1</v>
      </c>
      <c r="J671" s="48">
        <v>44946.7</v>
      </c>
      <c r="K671" s="48">
        <v>8462.1</v>
      </c>
      <c r="L671" s="48">
        <v>5571.3</v>
      </c>
      <c r="M671" s="48">
        <v>3097.3</v>
      </c>
      <c r="N671" s="48">
        <v>306.89999999999998</v>
      </c>
    </row>
    <row r="672" spans="1:14" ht="10.050000000000001" customHeight="1">
      <c r="A672" s="45" t="s">
        <v>89</v>
      </c>
      <c r="B672" s="46">
        <v>2018</v>
      </c>
      <c r="C672" s="45" t="s">
        <v>125</v>
      </c>
      <c r="D672" s="47">
        <v>8</v>
      </c>
      <c r="E672" s="48">
        <v>918.1</v>
      </c>
      <c r="F672" s="48">
        <v>0</v>
      </c>
      <c r="G672" s="48">
        <v>918.1</v>
      </c>
      <c r="H672" s="48">
        <v>18231</v>
      </c>
      <c r="I672" s="48">
        <v>116.2</v>
      </c>
      <c r="J672" s="48">
        <v>18347.2</v>
      </c>
      <c r="K672" s="48">
        <v>317.39999999999998</v>
      </c>
      <c r="L672" s="48">
        <v>156.19999999999999</v>
      </c>
      <c r="M672" s="48">
        <v>32.9</v>
      </c>
      <c r="N672" s="48">
        <v>24.6</v>
      </c>
    </row>
    <row r="673" spans="1:14" ht="10.050000000000001" customHeight="1">
      <c r="A673" s="45" t="s">
        <v>87</v>
      </c>
      <c r="B673" s="46">
        <v>2018</v>
      </c>
      <c r="C673" s="45" t="s">
        <v>125</v>
      </c>
      <c r="D673" s="47">
        <v>8</v>
      </c>
      <c r="E673" s="48">
        <v>39834.9</v>
      </c>
      <c r="F673" s="48">
        <v>2130.9</v>
      </c>
      <c r="G673" s="48">
        <v>41965.8</v>
      </c>
      <c r="H673" s="48">
        <v>342791.1</v>
      </c>
      <c r="I673" s="48">
        <v>10591.3</v>
      </c>
      <c r="J673" s="48">
        <v>353382.40000000002</v>
      </c>
      <c r="K673" s="48">
        <v>66430.7</v>
      </c>
      <c r="L673" s="48">
        <v>7367.6</v>
      </c>
      <c r="M673" s="48">
        <v>24193.1</v>
      </c>
      <c r="N673" s="48">
        <v>330.1</v>
      </c>
    </row>
    <row r="674" spans="1:14" ht="10.050000000000001" customHeight="1">
      <c r="A674" s="45" t="s">
        <v>84</v>
      </c>
      <c r="B674" s="46">
        <v>2018</v>
      </c>
      <c r="C674" s="45" t="s">
        <v>125</v>
      </c>
      <c r="D674" s="47">
        <v>9</v>
      </c>
      <c r="E674" s="48">
        <v>11001.9</v>
      </c>
      <c r="F674" s="48">
        <v>1407</v>
      </c>
      <c r="G674" s="48">
        <v>12408.9</v>
      </c>
      <c r="H674" s="48">
        <v>49254.5</v>
      </c>
      <c r="I674" s="48">
        <v>2466.1999999999998</v>
      </c>
      <c r="J674" s="48">
        <v>51720.7</v>
      </c>
      <c r="K674" s="48">
        <v>5784.6</v>
      </c>
      <c r="L674" s="48">
        <v>2160.6</v>
      </c>
      <c r="M674" s="48">
        <v>4543</v>
      </c>
      <c r="N674" s="48">
        <v>296.39999999999998</v>
      </c>
    </row>
    <row r="675" spans="1:14" ht="10.050000000000001" customHeight="1">
      <c r="A675" s="45" t="s">
        <v>89</v>
      </c>
      <c r="B675" s="46">
        <v>2018</v>
      </c>
      <c r="C675" s="45" t="s">
        <v>125</v>
      </c>
      <c r="D675" s="47">
        <v>9</v>
      </c>
      <c r="E675" s="48">
        <v>275.5</v>
      </c>
      <c r="F675" s="48">
        <v>0</v>
      </c>
      <c r="G675" s="48">
        <v>275.5</v>
      </c>
      <c r="H675" s="48">
        <v>17447.7</v>
      </c>
      <c r="I675" s="48">
        <v>116.3</v>
      </c>
      <c r="J675" s="48">
        <v>17564</v>
      </c>
      <c r="K675" s="48">
        <v>310.5</v>
      </c>
      <c r="L675" s="48">
        <v>56.2</v>
      </c>
      <c r="M675" s="48">
        <v>39.6</v>
      </c>
      <c r="N675" s="48">
        <v>23.4</v>
      </c>
    </row>
    <row r="676" spans="1:14" ht="10.050000000000001" customHeight="1">
      <c r="A676" s="45" t="s">
        <v>87</v>
      </c>
      <c r="B676" s="46">
        <v>2018</v>
      </c>
      <c r="C676" s="45" t="s">
        <v>125</v>
      </c>
      <c r="D676" s="47">
        <v>9</v>
      </c>
      <c r="E676" s="48">
        <v>39406.5</v>
      </c>
      <c r="F676" s="48">
        <v>2879.1</v>
      </c>
      <c r="G676" s="48">
        <v>42285.599999999999</v>
      </c>
      <c r="H676" s="48">
        <v>342788.8</v>
      </c>
      <c r="I676" s="48">
        <v>12304.1</v>
      </c>
      <c r="J676" s="48">
        <v>355092.9</v>
      </c>
      <c r="K676" s="48">
        <v>42687.7</v>
      </c>
      <c r="L676" s="48">
        <v>2082.4</v>
      </c>
      <c r="M676" s="48">
        <v>25486.400000000001</v>
      </c>
      <c r="N676" s="48">
        <v>198.4</v>
      </c>
    </row>
    <row r="677" spans="1:14" ht="10.050000000000001" customHeight="1">
      <c r="A677" s="45" t="s">
        <v>84</v>
      </c>
      <c r="B677" s="46">
        <v>2018</v>
      </c>
      <c r="C677" s="45" t="s">
        <v>125</v>
      </c>
      <c r="D677" s="47">
        <v>10</v>
      </c>
      <c r="E677" s="48">
        <v>3609.9</v>
      </c>
      <c r="F677" s="48">
        <v>524.70000000000005</v>
      </c>
      <c r="G677" s="48">
        <v>4134.6000000000004</v>
      </c>
      <c r="H677" s="48">
        <v>42939</v>
      </c>
      <c r="I677" s="48">
        <v>2187.5</v>
      </c>
      <c r="J677" s="48">
        <v>45126.5</v>
      </c>
      <c r="K677" s="48">
        <v>4480.8999999999996</v>
      </c>
      <c r="L677" s="48">
        <v>330.8</v>
      </c>
      <c r="M677" s="48">
        <v>1306.5</v>
      </c>
      <c r="N677" s="48">
        <v>294.60000000000002</v>
      </c>
    </row>
    <row r="678" spans="1:14" ht="10.050000000000001" customHeight="1">
      <c r="A678" s="45" t="s">
        <v>89</v>
      </c>
      <c r="B678" s="46">
        <v>2018</v>
      </c>
      <c r="C678" s="45" t="s">
        <v>125</v>
      </c>
      <c r="D678" s="47">
        <v>10</v>
      </c>
      <c r="E678" s="48">
        <v>121.8</v>
      </c>
      <c r="F678" s="48">
        <v>0</v>
      </c>
      <c r="G678" s="48">
        <v>121.8</v>
      </c>
      <c r="H678" s="48">
        <v>16750.2</v>
      </c>
      <c r="I678" s="48">
        <v>116.3</v>
      </c>
      <c r="J678" s="48">
        <v>16866.5</v>
      </c>
      <c r="K678" s="48">
        <v>311.8</v>
      </c>
      <c r="L678" s="48">
        <v>42.9</v>
      </c>
      <c r="M678" s="48">
        <v>41.6</v>
      </c>
      <c r="N678" s="48">
        <v>0</v>
      </c>
    </row>
    <row r="679" spans="1:14" ht="10.050000000000001" customHeight="1">
      <c r="A679" s="45" t="s">
        <v>87</v>
      </c>
      <c r="B679" s="46">
        <v>2018</v>
      </c>
      <c r="C679" s="45" t="s">
        <v>125</v>
      </c>
      <c r="D679" s="47">
        <v>10</v>
      </c>
      <c r="E679" s="48">
        <v>13436.3</v>
      </c>
      <c r="F679" s="48">
        <v>4053.6</v>
      </c>
      <c r="G679" s="48">
        <v>17489.900000000001</v>
      </c>
      <c r="H679" s="48">
        <v>319532.2</v>
      </c>
      <c r="I679" s="48">
        <v>12334.4</v>
      </c>
      <c r="J679" s="48">
        <v>331866.59999999998</v>
      </c>
      <c r="K679" s="48">
        <v>36291.1</v>
      </c>
      <c r="L679" s="48">
        <v>834.7</v>
      </c>
      <c r="M679" s="48">
        <v>6805</v>
      </c>
      <c r="N679" s="48">
        <v>426.4</v>
      </c>
    </row>
    <row r="680" spans="1:14" ht="10.050000000000001" customHeight="1">
      <c r="A680" s="45" t="s">
        <v>84</v>
      </c>
      <c r="B680" s="46">
        <v>2018</v>
      </c>
      <c r="C680" s="45" t="s">
        <v>125</v>
      </c>
      <c r="D680" s="47">
        <v>11</v>
      </c>
      <c r="E680" s="48">
        <v>2648.4</v>
      </c>
      <c r="F680" s="48">
        <v>880.3</v>
      </c>
      <c r="G680" s="48">
        <v>3528.7</v>
      </c>
      <c r="H680" s="48">
        <v>41987.7</v>
      </c>
      <c r="I680" s="48">
        <v>2211.5</v>
      </c>
      <c r="J680" s="48">
        <v>44199.199999999997</v>
      </c>
      <c r="K680" s="48">
        <v>3576</v>
      </c>
      <c r="L680" s="48">
        <v>327.39999999999998</v>
      </c>
      <c r="M680" s="48">
        <v>975.9</v>
      </c>
      <c r="N680" s="48">
        <v>257</v>
      </c>
    </row>
    <row r="681" spans="1:14" ht="10.050000000000001" customHeight="1">
      <c r="A681" s="45" t="s">
        <v>89</v>
      </c>
      <c r="B681" s="46">
        <v>2018</v>
      </c>
      <c r="C681" s="45" t="s">
        <v>125</v>
      </c>
      <c r="D681" s="47">
        <v>11</v>
      </c>
      <c r="E681" s="48">
        <v>119</v>
      </c>
      <c r="F681" s="48">
        <v>0</v>
      </c>
      <c r="G681" s="48">
        <v>119</v>
      </c>
      <c r="H681" s="48">
        <v>15587.3</v>
      </c>
      <c r="I681" s="48">
        <v>116.2</v>
      </c>
      <c r="J681" s="48">
        <v>15703.5</v>
      </c>
      <c r="K681" s="48">
        <v>282.3</v>
      </c>
      <c r="L681" s="48">
        <v>0</v>
      </c>
      <c r="M681" s="48">
        <v>4.5</v>
      </c>
      <c r="N681" s="48">
        <v>25.1</v>
      </c>
    </row>
    <row r="682" spans="1:14" ht="10.050000000000001" customHeight="1">
      <c r="A682" s="45" t="s">
        <v>87</v>
      </c>
      <c r="B682" s="46">
        <v>2018</v>
      </c>
      <c r="C682" s="45" t="s">
        <v>125</v>
      </c>
      <c r="D682" s="47">
        <v>11</v>
      </c>
      <c r="E682" s="48">
        <v>14828.9</v>
      </c>
      <c r="F682" s="48">
        <v>2999.7</v>
      </c>
      <c r="G682" s="48">
        <v>17828.599999999999</v>
      </c>
      <c r="H682" s="48">
        <v>295500.79999999999</v>
      </c>
      <c r="I682" s="48">
        <v>13613.2</v>
      </c>
      <c r="J682" s="48">
        <v>309114</v>
      </c>
      <c r="K682" s="48">
        <v>31297.599999999999</v>
      </c>
      <c r="L682" s="48">
        <v>1418.8</v>
      </c>
      <c r="M682" s="48">
        <v>6095.4</v>
      </c>
      <c r="N682" s="48">
        <v>345.7</v>
      </c>
    </row>
    <row r="683" spans="1:14" ht="10.050000000000001" customHeight="1">
      <c r="A683" s="45" t="s">
        <v>84</v>
      </c>
      <c r="B683" s="46">
        <v>2018</v>
      </c>
      <c r="C683" s="45" t="s">
        <v>125</v>
      </c>
      <c r="D683" s="47">
        <v>12</v>
      </c>
      <c r="E683" s="48">
        <v>2387.1</v>
      </c>
      <c r="F683" s="48">
        <v>443.3</v>
      </c>
      <c r="G683" s="48">
        <v>2830.4</v>
      </c>
      <c r="H683" s="48">
        <v>39328.800000000003</v>
      </c>
      <c r="I683" s="48">
        <v>2283.3000000000002</v>
      </c>
      <c r="J683" s="48">
        <v>41612.1</v>
      </c>
      <c r="K683" s="48">
        <v>2899.4</v>
      </c>
      <c r="L683" s="48">
        <v>176.7</v>
      </c>
      <c r="M683" s="48">
        <v>769.8</v>
      </c>
      <c r="N683" s="48">
        <v>87.3</v>
      </c>
    </row>
    <row r="684" spans="1:14" ht="10.050000000000001" customHeight="1">
      <c r="A684" s="45" t="s">
        <v>89</v>
      </c>
      <c r="B684" s="46">
        <v>2018</v>
      </c>
      <c r="C684" s="45" t="s">
        <v>125</v>
      </c>
      <c r="D684" s="47">
        <v>12</v>
      </c>
      <c r="E684" s="48">
        <v>51.1</v>
      </c>
      <c r="F684" s="48">
        <v>0</v>
      </c>
      <c r="G684" s="48">
        <v>51.1</v>
      </c>
      <c r="H684" s="48">
        <v>14670.9</v>
      </c>
      <c r="I684" s="48">
        <v>99.1</v>
      </c>
      <c r="J684" s="48">
        <v>14770</v>
      </c>
      <c r="K684" s="48">
        <v>123.2</v>
      </c>
      <c r="L684" s="48">
        <v>0</v>
      </c>
      <c r="M684" s="48">
        <v>17.2</v>
      </c>
      <c r="N684" s="48">
        <v>141.80000000000001</v>
      </c>
    </row>
    <row r="685" spans="1:14" ht="10.050000000000001" customHeight="1">
      <c r="A685" s="45" t="s">
        <v>87</v>
      </c>
      <c r="B685" s="46">
        <v>2018</v>
      </c>
      <c r="C685" s="45" t="s">
        <v>125</v>
      </c>
      <c r="D685" s="47">
        <v>12</v>
      </c>
      <c r="E685" s="48">
        <v>13682.7</v>
      </c>
      <c r="F685" s="48">
        <v>2833</v>
      </c>
      <c r="G685" s="48">
        <v>16515.7</v>
      </c>
      <c r="H685" s="48">
        <v>273532.09999999998</v>
      </c>
      <c r="I685" s="48">
        <v>13899.3</v>
      </c>
      <c r="J685" s="48">
        <v>287431.40000000002</v>
      </c>
      <c r="K685" s="48">
        <v>26323.8</v>
      </c>
      <c r="L685" s="48">
        <v>1304.9000000000001</v>
      </c>
      <c r="M685" s="48">
        <v>6116.7</v>
      </c>
      <c r="N685" s="48">
        <v>161.80000000000001</v>
      </c>
    </row>
    <row r="686" spans="1:14" ht="10.050000000000001" customHeight="1">
      <c r="A686" s="45" t="s">
        <v>84</v>
      </c>
      <c r="B686" s="46">
        <v>2019</v>
      </c>
      <c r="C686" s="45" t="s">
        <v>125</v>
      </c>
      <c r="D686" s="47">
        <v>1</v>
      </c>
      <c r="E686" s="48">
        <v>2283.8000000000002</v>
      </c>
      <c r="F686" s="48">
        <v>288.10000000000002</v>
      </c>
      <c r="G686" s="48">
        <v>2571.9</v>
      </c>
      <c r="H686" s="48">
        <v>36613.300000000003</v>
      </c>
      <c r="I686" s="48">
        <v>1976.5</v>
      </c>
      <c r="J686" s="48">
        <v>38589.800000000003</v>
      </c>
      <c r="K686" s="48">
        <v>2275.1</v>
      </c>
      <c r="L686" s="48">
        <v>283.2</v>
      </c>
      <c r="M686" s="48">
        <v>752.3</v>
      </c>
      <c r="N686" s="48">
        <v>163.69999999999999</v>
      </c>
    </row>
    <row r="687" spans="1:14" ht="10.050000000000001" customHeight="1">
      <c r="A687" s="45" t="s">
        <v>89</v>
      </c>
      <c r="B687" s="46">
        <v>2019</v>
      </c>
      <c r="C687" s="45" t="s">
        <v>125</v>
      </c>
      <c r="D687" s="47">
        <v>1</v>
      </c>
      <c r="E687" s="48">
        <v>4</v>
      </c>
      <c r="F687" s="48">
        <v>36.5</v>
      </c>
      <c r="G687" s="48">
        <v>40.5</v>
      </c>
      <c r="H687" s="48">
        <v>13629.3</v>
      </c>
      <c r="I687" s="48">
        <v>92.1</v>
      </c>
      <c r="J687" s="48">
        <v>13721.4</v>
      </c>
      <c r="K687" s="48">
        <v>111.5</v>
      </c>
      <c r="L687" s="48">
        <v>14.4</v>
      </c>
      <c r="M687" s="48">
        <v>0</v>
      </c>
      <c r="N687" s="48">
        <v>26.2</v>
      </c>
    </row>
    <row r="688" spans="1:14" ht="10.050000000000001" customHeight="1">
      <c r="A688" s="45" t="s">
        <v>87</v>
      </c>
      <c r="B688" s="46">
        <v>2019</v>
      </c>
      <c r="C688" s="45" t="s">
        <v>125</v>
      </c>
      <c r="D688" s="47">
        <v>1</v>
      </c>
      <c r="E688" s="48">
        <v>11990.8</v>
      </c>
      <c r="F688" s="48">
        <v>2569</v>
      </c>
      <c r="G688" s="48">
        <v>14559.8</v>
      </c>
      <c r="H688" s="48">
        <v>244547.6</v>
      </c>
      <c r="I688" s="48">
        <v>11579.7</v>
      </c>
      <c r="J688" s="48">
        <v>256127.3</v>
      </c>
      <c r="K688" s="48">
        <v>22515.9</v>
      </c>
      <c r="L688" s="48">
        <v>2360.3000000000002</v>
      </c>
      <c r="M688" s="48">
        <v>5929</v>
      </c>
      <c r="N688" s="48">
        <v>398.4</v>
      </c>
    </row>
    <row r="689" spans="1:14" ht="10.050000000000001" customHeight="1">
      <c r="A689" s="45" t="s">
        <v>84</v>
      </c>
      <c r="B689" s="46">
        <v>2019</v>
      </c>
      <c r="C689" s="45" t="s">
        <v>125</v>
      </c>
      <c r="D689" s="47">
        <v>2</v>
      </c>
      <c r="E689" s="48">
        <v>1286.5</v>
      </c>
      <c r="F689" s="48">
        <v>118.4</v>
      </c>
      <c r="G689" s="48">
        <v>1404.9</v>
      </c>
      <c r="H689" s="48">
        <v>32880.9</v>
      </c>
      <c r="I689" s="48">
        <v>1211.3</v>
      </c>
      <c r="J689" s="48">
        <v>34092.199999999997</v>
      </c>
      <c r="K689" s="48">
        <v>2016.2</v>
      </c>
      <c r="L689" s="48">
        <v>384.1</v>
      </c>
      <c r="M689" s="48">
        <v>546.1</v>
      </c>
      <c r="N689" s="48">
        <v>87.4</v>
      </c>
    </row>
    <row r="690" spans="1:14" ht="10.050000000000001" customHeight="1">
      <c r="A690" s="45" t="s">
        <v>89</v>
      </c>
      <c r="B690" s="46">
        <v>2019</v>
      </c>
      <c r="C690" s="45" t="s">
        <v>125</v>
      </c>
      <c r="D690" s="47">
        <v>2</v>
      </c>
      <c r="E690" s="48">
        <v>52.2</v>
      </c>
      <c r="F690" s="48">
        <v>0</v>
      </c>
      <c r="G690" s="48">
        <v>52.2</v>
      </c>
      <c r="H690" s="48">
        <v>12587.6</v>
      </c>
      <c r="I690" s="48">
        <v>72</v>
      </c>
      <c r="J690" s="48">
        <v>12659.6</v>
      </c>
      <c r="K690" s="48">
        <v>106.6</v>
      </c>
      <c r="L690" s="48">
        <v>0</v>
      </c>
      <c r="M690" s="48">
        <v>4.8</v>
      </c>
      <c r="N690" s="48">
        <v>0</v>
      </c>
    </row>
    <row r="691" spans="1:14" ht="10.050000000000001" customHeight="1">
      <c r="A691" s="45" t="s">
        <v>87</v>
      </c>
      <c r="B691" s="46">
        <v>2019</v>
      </c>
      <c r="C691" s="45" t="s">
        <v>125</v>
      </c>
      <c r="D691" s="47">
        <v>2</v>
      </c>
      <c r="E691" s="48">
        <v>11429.9</v>
      </c>
      <c r="F691" s="48">
        <v>1094.8</v>
      </c>
      <c r="G691" s="48">
        <v>12524.7</v>
      </c>
      <c r="H691" s="48">
        <v>218789.7</v>
      </c>
      <c r="I691" s="48">
        <v>9277.5</v>
      </c>
      <c r="J691" s="48">
        <v>228067.20000000001</v>
      </c>
      <c r="K691" s="48">
        <v>17599.099999999999</v>
      </c>
      <c r="L691" s="48">
        <v>1271.2</v>
      </c>
      <c r="M691" s="48">
        <v>6041.9</v>
      </c>
      <c r="N691" s="48">
        <v>313.8</v>
      </c>
    </row>
    <row r="692" spans="1:14" ht="10.050000000000001" customHeight="1">
      <c r="A692" s="45" t="s">
        <v>84</v>
      </c>
      <c r="B692" s="46">
        <v>2019</v>
      </c>
      <c r="C692" s="45" t="s">
        <v>125</v>
      </c>
      <c r="D692" s="47">
        <v>3</v>
      </c>
      <c r="E692" s="48">
        <v>2065.3000000000002</v>
      </c>
      <c r="F692" s="48">
        <v>0</v>
      </c>
      <c r="G692" s="48">
        <v>2065.3000000000002</v>
      </c>
      <c r="H692" s="48">
        <v>32159.3</v>
      </c>
      <c r="I692" s="48">
        <v>1117.4000000000001</v>
      </c>
      <c r="J692" s="48">
        <v>33276.699999999997</v>
      </c>
      <c r="K692" s="48">
        <v>1170.8</v>
      </c>
      <c r="L692" s="48">
        <v>105.8</v>
      </c>
      <c r="M692" s="48">
        <v>890.1</v>
      </c>
      <c r="N692" s="48">
        <v>69</v>
      </c>
    </row>
    <row r="693" spans="1:14" ht="10.050000000000001" customHeight="1">
      <c r="A693" s="45" t="s">
        <v>89</v>
      </c>
      <c r="B693" s="46">
        <v>2019</v>
      </c>
      <c r="C693" s="45" t="s">
        <v>125</v>
      </c>
      <c r="D693" s="47">
        <v>3</v>
      </c>
      <c r="E693" s="48">
        <v>30.2</v>
      </c>
      <c r="F693" s="48">
        <v>0</v>
      </c>
      <c r="G693" s="48">
        <v>30.2</v>
      </c>
      <c r="H693" s="48">
        <v>11490.4</v>
      </c>
      <c r="I693" s="48">
        <v>72</v>
      </c>
      <c r="J693" s="48">
        <v>11562.4</v>
      </c>
      <c r="K693" s="48">
        <v>89.1</v>
      </c>
      <c r="L693" s="48">
        <v>0</v>
      </c>
      <c r="M693" s="48">
        <v>3.1</v>
      </c>
      <c r="N693" s="48">
        <v>14.4</v>
      </c>
    </row>
    <row r="694" spans="1:14" ht="10.050000000000001" customHeight="1">
      <c r="A694" s="45" t="s">
        <v>87</v>
      </c>
      <c r="B694" s="46">
        <v>2019</v>
      </c>
      <c r="C694" s="45" t="s">
        <v>125</v>
      </c>
      <c r="D694" s="47">
        <v>3</v>
      </c>
      <c r="E694" s="48">
        <v>12924.6</v>
      </c>
      <c r="F694" s="48">
        <v>656.3</v>
      </c>
      <c r="G694" s="48">
        <v>13580.9</v>
      </c>
      <c r="H694" s="48">
        <v>178740.2</v>
      </c>
      <c r="I694" s="48">
        <v>8255.7000000000007</v>
      </c>
      <c r="J694" s="48">
        <v>186995.9</v>
      </c>
      <c r="K694" s="48">
        <v>13221.7</v>
      </c>
      <c r="L694" s="48">
        <v>1123.5</v>
      </c>
      <c r="M694" s="48">
        <v>5166.8</v>
      </c>
      <c r="N694" s="48">
        <v>388.6</v>
      </c>
    </row>
    <row r="695" spans="1:14" ht="10.050000000000001" customHeight="1">
      <c r="A695" s="45" t="s">
        <v>84</v>
      </c>
      <c r="B695" s="46">
        <v>2019</v>
      </c>
      <c r="C695" s="45" t="s">
        <v>125</v>
      </c>
      <c r="D695" s="47">
        <v>4</v>
      </c>
      <c r="E695" s="48">
        <v>1059.3</v>
      </c>
      <c r="F695" s="48">
        <v>211.6</v>
      </c>
      <c r="G695" s="48">
        <v>1270.9000000000001</v>
      </c>
      <c r="H695" s="48">
        <v>26679</v>
      </c>
      <c r="I695" s="48">
        <v>1179.9000000000001</v>
      </c>
      <c r="J695" s="48">
        <v>27858.9</v>
      </c>
      <c r="K695" s="48">
        <v>783.4</v>
      </c>
      <c r="L695" s="48">
        <v>21.8</v>
      </c>
      <c r="M695" s="48">
        <v>358.1</v>
      </c>
      <c r="N695" s="48">
        <v>47.4</v>
      </c>
    </row>
    <row r="696" spans="1:14" ht="10.050000000000001" customHeight="1">
      <c r="A696" s="45" t="s">
        <v>89</v>
      </c>
      <c r="B696" s="46">
        <v>2019</v>
      </c>
      <c r="C696" s="45" t="s">
        <v>125</v>
      </c>
      <c r="D696" s="47">
        <v>4</v>
      </c>
      <c r="E696" s="48">
        <v>0</v>
      </c>
      <c r="F696" s="48">
        <v>0</v>
      </c>
      <c r="G696" s="48">
        <v>0</v>
      </c>
      <c r="H696" s="48">
        <v>10300.4</v>
      </c>
      <c r="I696" s="48">
        <v>71.599999999999994</v>
      </c>
      <c r="J696" s="48">
        <v>10372</v>
      </c>
      <c r="K696" s="48">
        <v>68.400000000000006</v>
      </c>
      <c r="L696" s="48">
        <v>5.9</v>
      </c>
      <c r="M696" s="48">
        <v>0</v>
      </c>
      <c r="N696" s="48">
        <v>26.7</v>
      </c>
    </row>
    <row r="697" spans="1:14" ht="10.050000000000001" customHeight="1">
      <c r="A697" s="45" t="s">
        <v>87</v>
      </c>
      <c r="B697" s="46">
        <v>2019</v>
      </c>
      <c r="C697" s="45" t="s">
        <v>125</v>
      </c>
      <c r="D697" s="47">
        <v>4</v>
      </c>
      <c r="E697" s="48">
        <v>10684</v>
      </c>
      <c r="F697" s="48">
        <v>191.2</v>
      </c>
      <c r="G697" s="48">
        <v>10875.2</v>
      </c>
      <c r="H697" s="48">
        <v>150707.4</v>
      </c>
      <c r="I697" s="48">
        <v>7348.4</v>
      </c>
      <c r="J697" s="48">
        <v>158055.79999999999</v>
      </c>
      <c r="K697" s="48">
        <v>8914.2999999999993</v>
      </c>
      <c r="L697" s="48">
        <v>1364.1</v>
      </c>
      <c r="M697" s="48">
        <v>5377.4</v>
      </c>
      <c r="N697" s="48">
        <v>312.3</v>
      </c>
    </row>
    <row r="698" spans="1:14" ht="10.050000000000001" customHeight="1">
      <c r="A698" s="45" t="s">
        <v>84</v>
      </c>
      <c r="B698" s="46">
        <v>2019</v>
      </c>
      <c r="C698" s="45" t="s">
        <v>125</v>
      </c>
      <c r="D698" s="47">
        <v>5</v>
      </c>
      <c r="E698" s="48">
        <v>981.8</v>
      </c>
      <c r="F698" s="48">
        <v>0</v>
      </c>
      <c r="G698" s="48">
        <v>981.8</v>
      </c>
      <c r="H698" s="48">
        <v>21478.1</v>
      </c>
      <c r="I698" s="48">
        <v>1069.8</v>
      </c>
      <c r="J698" s="48">
        <v>22547.9</v>
      </c>
      <c r="K698" s="48">
        <v>686.2</v>
      </c>
      <c r="L698" s="48">
        <v>86.4</v>
      </c>
      <c r="M698" s="48">
        <v>191.7</v>
      </c>
      <c r="N698" s="48">
        <v>57.2</v>
      </c>
    </row>
    <row r="699" spans="1:14" ht="10.050000000000001" customHeight="1">
      <c r="A699" s="45" t="s">
        <v>89</v>
      </c>
      <c r="B699" s="46">
        <v>2019</v>
      </c>
      <c r="C699" s="45" t="s">
        <v>125</v>
      </c>
      <c r="D699" s="47">
        <v>5</v>
      </c>
      <c r="E699" s="48">
        <v>0</v>
      </c>
      <c r="F699" s="48">
        <v>0</v>
      </c>
      <c r="G699" s="48">
        <v>0</v>
      </c>
      <c r="H699" s="48">
        <v>9198.7000000000007</v>
      </c>
      <c r="I699" s="48">
        <v>71.5</v>
      </c>
      <c r="J699" s="48">
        <v>9270.2000000000007</v>
      </c>
      <c r="K699" s="48">
        <v>87.2</v>
      </c>
      <c r="L699" s="48">
        <v>30.8</v>
      </c>
      <c r="M699" s="48">
        <v>0</v>
      </c>
      <c r="N699" s="48">
        <v>12</v>
      </c>
    </row>
    <row r="700" spans="1:14" ht="10.050000000000001" customHeight="1">
      <c r="A700" s="45" t="s">
        <v>87</v>
      </c>
      <c r="B700" s="46">
        <v>2019</v>
      </c>
      <c r="C700" s="45" t="s">
        <v>125</v>
      </c>
      <c r="D700" s="47">
        <v>5</v>
      </c>
      <c r="E700" s="48">
        <v>8542.6</v>
      </c>
      <c r="F700" s="48">
        <v>273.89999999999998</v>
      </c>
      <c r="G700" s="48">
        <v>8816.5</v>
      </c>
      <c r="H700" s="48">
        <v>119175</v>
      </c>
      <c r="I700" s="48">
        <v>6753.7</v>
      </c>
      <c r="J700" s="48">
        <v>125928.7</v>
      </c>
      <c r="K700" s="48">
        <v>4329.1000000000004</v>
      </c>
      <c r="L700" s="48">
        <v>923.3</v>
      </c>
      <c r="M700" s="48">
        <v>5484.4</v>
      </c>
      <c r="N700" s="48">
        <v>134.19999999999999</v>
      </c>
    </row>
    <row r="701" spans="1:14" ht="10.050000000000001" customHeight="1">
      <c r="A701" s="45" t="s">
        <v>84</v>
      </c>
      <c r="B701" s="46">
        <v>2019</v>
      </c>
      <c r="C701" s="45" t="s">
        <v>125</v>
      </c>
      <c r="D701" s="47">
        <v>6</v>
      </c>
      <c r="E701" s="48">
        <v>1284.7</v>
      </c>
      <c r="F701" s="48">
        <v>132.19999999999999</v>
      </c>
      <c r="G701" s="48">
        <v>1416.9</v>
      </c>
      <c r="H701" s="48">
        <v>12546.9</v>
      </c>
      <c r="I701" s="48">
        <v>558</v>
      </c>
      <c r="J701" s="48">
        <v>13104.9</v>
      </c>
      <c r="K701" s="48">
        <v>346.3</v>
      </c>
      <c r="L701" s="48">
        <v>83.8</v>
      </c>
      <c r="M701" s="48">
        <v>296.5</v>
      </c>
      <c r="N701" s="48">
        <v>61.1</v>
      </c>
    </row>
    <row r="702" spans="1:14" ht="10.050000000000001" customHeight="1">
      <c r="A702" s="45" t="s">
        <v>89</v>
      </c>
      <c r="B702" s="46">
        <v>2019</v>
      </c>
      <c r="C702" s="45" t="s">
        <v>125</v>
      </c>
      <c r="D702" s="47">
        <v>6</v>
      </c>
      <c r="E702" s="48">
        <v>36.5</v>
      </c>
      <c r="F702" s="48">
        <v>39.799999999999997</v>
      </c>
      <c r="G702" s="48">
        <v>76.3</v>
      </c>
      <c r="H702" s="48">
        <v>8628.2999999999993</v>
      </c>
      <c r="I702" s="48">
        <v>71.400000000000006</v>
      </c>
      <c r="J702" s="48">
        <v>8699.7000000000007</v>
      </c>
      <c r="K702" s="48">
        <v>30.9</v>
      </c>
      <c r="L702" s="48">
        <v>0</v>
      </c>
      <c r="M702" s="48">
        <v>30.8</v>
      </c>
      <c r="N702" s="48">
        <v>25.5</v>
      </c>
    </row>
    <row r="703" spans="1:14" ht="10.050000000000001" customHeight="1">
      <c r="A703" s="45" t="s">
        <v>87</v>
      </c>
      <c r="B703" s="46">
        <v>2019</v>
      </c>
      <c r="C703" s="45" t="s">
        <v>125</v>
      </c>
      <c r="D703" s="47">
        <v>6</v>
      </c>
      <c r="E703" s="48">
        <v>5590.4</v>
      </c>
      <c r="F703" s="48">
        <v>0.10000000000002</v>
      </c>
      <c r="G703" s="48">
        <v>5590.5</v>
      </c>
      <c r="H703" s="48">
        <v>76076.7</v>
      </c>
      <c r="I703" s="48">
        <v>5447.7</v>
      </c>
      <c r="J703" s="48">
        <v>81524.399999999994</v>
      </c>
      <c r="K703" s="48">
        <v>1179.3</v>
      </c>
      <c r="L703" s="48">
        <v>356.5</v>
      </c>
      <c r="M703" s="48">
        <v>1799.3</v>
      </c>
      <c r="N703" s="48">
        <v>1188</v>
      </c>
    </row>
    <row r="704" spans="1:14" ht="10.050000000000001" customHeight="1">
      <c r="A704" s="45" t="s">
        <v>84</v>
      </c>
      <c r="B704" s="46">
        <v>2019</v>
      </c>
      <c r="C704" s="45" t="s">
        <v>126</v>
      </c>
      <c r="D704" s="47">
        <v>7</v>
      </c>
      <c r="E704" s="48">
        <v>36196.300000000003</v>
      </c>
      <c r="F704" s="48">
        <v>373.8</v>
      </c>
      <c r="G704" s="48">
        <v>36570.1</v>
      </c>
      <c r="H704" s="48">
        <v>40449.800000000003</v>
      </c>
      <c r="I704" s="48">
        <v>838.2</v>
      </c>
      <c r="J704" s="48">
        <v>41288</v>
      </c>
      <c r="K704" s="48">
        <v>8103.4</v>
      </c>
      <c r="L704" s="48">
        <v>10012</v>
      </c>
      <c r="M704" s="48">
        <v>2116.6</v>
      </c>
      <c r="N704" s="48">
        <v>152.9</v>
      </c>
    </row>
    <row r="705" spans="1:14" ht="10.050000000000001" customHeight="1">
      <c r="A705" s="45" t="s">
        <v>89</v>
      </c>
      <c r="B705" s="46">
        <v>2019</v>
      </c>
      <c r="C705" s="45" t="s">
        <v>126</v>
      </c>
      <c r="D705" s="47">
        <v>7</v>
      </c>
      <c r="E705" s="48">
        <v>808.6</v>
      </c>
      <c r="F705" s="48">
        <v>0</v>
      </c>
      <c r="G705" s="48">
        <v>808.6</v>
      </c>
      <c r="H705" s="48">
        <v>8513</v>
      </c>
      <c r="I705" s="48">
        <v>71.400000000000006</v>
      </c>
      <c r="J705" s="48">
        <v>8584.4</v>
      </c>
      <c r="K705" s="48">
        <v>150.69999999999999</v>
      </c>
      <c r="L705" s="48">
        <v>137.1</v>
      </c>
      <c r="M705" s="48">
        <v>0</v>
      </c>
      <c r="N705" s="48">
        <v>17.399999999999999</v>
      </c>
    </row>
    <row r="706" spans="1:14" ht="10.050000000000001" customHeight="1">
      <c r="A706" s="45" t="s">
        <v>87</v>
      </c>
      <c r="B706" s="46">
        <v>2019</v>
      </c>
      <c r="C706" s="45" t="s">
        <v>126</v>
      </c>
      <c r="D706" s="47">
        <v>7</v>
      </c>
      <c r="E706" s="48">
        <v>311552.40000000002</v>
      </c>
      <c r="F706" s="48">
        <v>6923</v>
      </c>
      <c r="G706" s="48">
        <v>318475.40000000002</v>
      </c>
      <c r="H706" s="48">
        <v>342486.7</v>
      </c>
      <c r="I706" s="48">
        <v>8699.7999999999993</v>
      </c>
      <c r="J706" s="48">
        <v>351186.5</v>
      </c>
      <c r="K706" s="48">
        <v>96130</v>
      </c>
      <c r="L706" s="48">
        <v>113682.6</v>
      </c>
      <c r="M706" s="48">
        <v>18525.8</v>
      </c>
      <c r="N706" s="48">
        <v>188</v>
      </c>
    </row>
    <row r="707" spans="1:14" ht="10.050000000000001" customHeight="1">
      <c r="A707" s="45" t="s">
        <v>84</v>
      </c>
      <c r="B707" s="46">
        <v>2019</v>
      </c>
      <c r="C707" s="45" t="s">
        <v>126</v>
      </c>
      <c r="D707" s="47">
        <v>8</v>
      </c>
      <c r="E707" s="48">
        <v>22046.1</v>
      </c>
      <c r="F707" s="48">
        <v>1065.3</v>
      </c>
      <c r="G707" s="48">
        <v>23111.4</v>
      </c>
      <c r="H707" s="48">
        <v>56646.7</v>
      </c>
      <c r="I707" s="48">
        <v>1338</v>
      </c>
      <c r="J707" s="48">
        <v>57984.7</v>
      </c>
      <c r="K707" s="48">
        <v>9727</v>
      </c>
      <c r="L707" s="48">
        <v>6746.6</v>
      </c>
      <c r="M707" s="48">
        <v>4855.5</v>
      </c>
      <c r="N707" s="48">
        <v>209.5</v>
      </c>
    </row>
    <row r="708" spans="1:14" ht="10.050000000000001" customHeight="1">
      <c r="A708" s="45" t="s">
        <v>89</v>
      </c>
      <c r="B708" s="46">
        <v>2019</v>
      </c>
      <c r="C708" s="45" t="s">
        <v>126</v>
      </c>
      <c r="D708" s="47">
        <v>8</v>
      </c>
      <c r="E708" s="48">
        <v>1855.1</v>
      </c>
      <c r="F708" s="48">
        <v>10</v>
      </c>
      <c r="G708" s="48">
        <v>1865.1</v>
      </c>
      <c r="H708" s="48">
        <v>9611.2999999999993</v>
      </c>
      <c r="I708" s="48">
        <v>81.400000000000006</v>
      </c>
      <c r="J708" s="48">
        <v>9692.7000000000007</v>
      </c>
      <c r="K708" s="48">
        <v>510.3</v>
      </c>
      <c r="L708" s="48">
        <v>519.5</v>
      </c>
      <c r="M708" s="48">
        <v>138.5</v>
      </c>
      <c r="N708" s="48">
        <v>21.4</v>
      </c>
    </row>
    <row r="709" spans="1:14" ht="10.050000000000001" customHeight="1">
      <c r="A709" s="45" t="s">
        <v>87</v>
      </c>
      <c r="B709" s="46">
        <v>2019</v>
      </c>
      <c r="C709" s="45" t="s">
        <v>126</v>
      </c>
      <c r="D709" s="47">
        <v>8</v>
      </c>
      <c r="E709" s="48">
        <v>43613.4</v>
      </c>
      <c r="F709" s="48">
        <v>808.8</v>
      </c>
      <c r="G709" s="48">
        <v>44422.2</v>
      </c>
      <c r="H709" s="48">
        <v>343230.3</v>
      </c>
      <c r="I709" s="48">
        <v>12362</v>
      </c>
      <c r="J709" s="48">
        <v>355592.3</v>
      </c>
      <c r="K709" s="48">
        <v>82413.600000000006</v>
      </c>
      <c r="L709" s="48">
        <v>14128</v>
      </c>
      <c r="M709" s="48">
        <v>26670.1</v>
      </c>
      <c r="N709" s="48">
        <v>1160.0999999999999</v>
      </c>
    </row>
    <row r="710" spans="1:14" ht="10.050000000000001" customHeight="1">
      <c r="A710" s="45" t="s">
        <v>84</v>
      </c>
      <c r="B710" s="46">
        <v>2019</v>
      </c>
      <c r="C710" s="45" t="s">
        <v>126</v>
      </c>
      <c r="D710" s="47">
        <v>9</v>
      </c>
      <c r="E710" s="48">
        <v>10586.7</v>
      </c>
      <c r="F710" s="48">
        <v>2231</v>
      </c>
      <c r="G710" s="48">
        <v>12817.7</v>
      </c>
      <c r="H710" s="48">
        <v>59310.7</v>
      </c>
      <c r="I710" s="48">
        <v>2106</v>
      </c>
      <c r="J710" s="48">
        <v>61416.7</v>
      </c>
      <c r="K710" s="48">
        <v>7121.9</v>
      </c>
      <c r="L710" s="48">
        <v>2132.6</v>
      </c>
      <c r="M710" s="48">
        <v>4413.3999999999996</v>
      </c>
      <c r="N710" s="48">
        <v>332.9</v>
      </c>
    </row>
    <row r="711" spans="1:14" ht="10.050000000000001" customHeight="1">
      <c r="A711" s="45" t="s">
        <v>89</v>
      </c>
      <c r="B711" s="46">
        <v>2019</v>
      </c>
      <c r="C711" s="45" t="s">
        <v>126</v>
      </c>
      <c r="D711" s="47">
        <v>9</v>
      </c>
      <c r="E711" s="48">
        <v>837.4</v>
      </c>
      <c r="F711" s="48">
        <v>0</v>
      </c>
      <c r="G711" s="48">
        <v>837.4</v>
      </c>
      <c r="H711" s="48">
        <v>9564.7999999999993</v>
      </c>
      <c r="I711" s="48">
        <v>81.400000000000006</v>
      </c>
      <c r="J711" s="48">
        <v>9646.2000000000007</v>
      </c>
      <c r="K711" s="48">
        <v>298</v>
      </c>
      <c r="L711" s="48">
        <v>174.7</v>
      </c>
      <c r="M711" s="48">
        <v>327.8</v>
      </c>
      <c r="N711" s="48">
        <v>59.2</v>
      </c>
    </row>
    <row r="712" spans="1:14" ht="10.050000000000001" customHeight="1">
      <c r="A712" s="45" t="s">
        <v>87</v>
      </c>
      <c r="B712" s="46">
        <v>2019</v>
      </c>
      <c r="C712" s="45" t="s">
        <v>126</v>
      </c>
      <c r="D712" s="47">
        <v>9</v>
      </c>
      <c r="E712" s="48">
        <v>44776.1</v>
      </c>
      <c r="F712" s="48">
        <v>3825.3</v>
      </c>
      <c r="G712" s="48">
        <v>48601.4</v>
      </c>
      <c r="H712" s="48">
        <v>346026.8</v>
      </c>
      <c r="I712" s="48">
        <v>14459.7</v>
      </c>
      <c r="J712" s="48">
        <v>360486.5</v>
      </c>
      <c r="K712" s="48">
        <v>54935.5</v>
      </c>
      <c r="L712" s="48">
        <v>2142</v>
      </c>
      <c r="M712" s="48">
        <v>29347.200000000001</v>
      </c>
      <c r="N712" s="48">
        <v>272.8</v>
      </c>
    </row>
    <row r="713" spans="1:14" ht="10.050000000000001" customHeight="1">
      <c r="A713" s="45" t="s">
        <v>84</v>
      </c>
      <c r="B713" s="46">
        <v>2019</v>
      </c>
      <c r="C713" s="45" t="s">
        <v>126</v>
      </c>
      <c r="D713" s="47">
        <v>10</v>
      </c>
      <c r="E713" s="48">
        <v>3964.1</v>
      </c>
      <c r="F713" s="48">
        <v>1166.2</v>
      </c>
      <c r="G713" s="48">
        <v>5130.3</v>
      </c>
      <c r="H713" s="48">
        <v>57151.3</v>
      </c>
      <c r="I713" s="48">
        <v>1700.2</v>
      </c>
      <c r="J713" s="48">
        <v>58851.5</v>
      </c>
      <c r="K713" s="48">
        <v>6269</v>
      </c>
      <c r="L713" s="48">
        <v>1367</v>
      </c>
      <c r="M713" s="48">
        <v>1849.4</v>
      </c>
      <c r="N713" s="48">
        <v>435.1</v>
      </c>
    </row>
    <row r="714" spans="1:14" ht="10.050000000000001" customHeight="1">
      <c r="A714" s="45" t="s">
        <v>89</v>
      </c>
      <c r="B714" s="46">
        <v>2019</v>
      </c>
      <c r="C714" s="45" t="s">
        <v>126</v>
      </c>
      <c r="D714" s="47">
        <v>10</v>
      </c>
      <c r="E714" s="48">
        <v>150.80000000000001</v>
      </c>
      <c r="F714" s="48">
        <v>134.9</v>
      </c>
      <c r="G714" s="48">
        <v>285.7</v>
      </c>
      <c r="H714" s="48">
        <v>8702.4</v>
      </c>
      <c r="I714" s="48">
        <v>216.2</v>
      </c>
      <c r="J714" s="48">
        <v>8918.6</v>
      </c>
      <c r="K714" s="48">
        <v>173</v>
      </c>
      <c r="L714" s="48">
        <v>3.5</v>
      </c>
      <c r="M714" s="48">
        <v>109.7</v>
      </c>
      <c r="N714" s="48">
        <v>15.3</v>
      </c>
    </row>
    <row r="715" spans="1:14" ht="10.050000000000001" customHeight="1">
      <c r="A715" s="45" t="s">
        <v>87</v>
      </c>
      <c r="B715" s="46">
        <v>2019</v>
      </c>
      <c r="C715" s="45" t="s">
        <v>126</v>
      </c>
      <c r="D715" s="47">
        <v>10</v>
      </c>
      <c r="E715" s="48">
        <v>15913</v>
      </c>
      <c r="F715" s="48">
        <v>5047.8999999999996</v>
      </c>
      <c r="G715" s="48">
        <v>20960.900000000001</v>
      </c>
      <c r="H715" s="48">
        <v>310017.3</v>
      </c>
      <c r="I715" s="48">
        <v>14529.1</v>
      </c>
      <c r="J715" s="48">
        <v>324546.40000000002</v>
      </c>
      <c r="K715" s="48">
        <v>45176.6</v>
      </c>
      <c r="L715" s="48">
        <v>1661.2</v>
      </c>
      <c r="M715" s="48">
        <v>10987.6</v>
      </c>
      <c r="N715" s="48">
        <v>433</v>
      </c>
    </row>
    <row r="716" spans="1:14" ht="10.050000000000001" customHeight="1">
      <c r="A716" s="45" t="s">
        <v>84</v>
      </c>
      <c r="B716" s="46">
        <v>2019</v>
      </c>
      <c r="C716" s="45" t="s">
        <v>126</v>
      </c>
      <c r="D716" s="47">
        <v>11</v>
      </c>
      <c r="E716" s="48">
        <v>1393</v>
      </c>
      <c r="F716" s="48">
        <v>1311.7</v>
      </c>
      <c r="G716" s="48">
        <v>2704.7</v>
      </c>
      <c r="H716" s="48">
        <v>54629.7</v>
      </c>
      <c r="I716" s="48">
        <v>2318.6</v>
      </c>
      <c r="J716" s="48">
        <v>56948.3</v>
      </c>
      <c r="K716" s="48">
        <v>4713.8999999999996</v>
      </c>
      <c r="L716" s="48">
        <v>-838.5</v>
      </c>
      <c r="M716" s="48">
        <v>484.5</v>
      </c>
      <c r="N716" s="48">
        <v>234.1</v>
      </c>
    </row>
    <row r="717" spans="1:14" ht="10.050000000000001" customHeight="1">
      <c r="A717" s="45" t="s">
        <v>89</v>
      </c>
      <c r="B717" s="46">
        <v>2019</v>
      </c>
      <c r="C717" s="45" t="s">
        <v>126</v>
      </c>
      <c r="D717" s="47">
        <v>11</v>
      </c>
      <c r="E717" s="48">
        <v>58.3</v>
      </c>
      <c r="F717" s="48">
        <v>0</v>
      </c>
      <c r="G717" s="48">
        <v>58.3</v>
      </c>
      <c r="H717" s="48">
        <v>7686.1</v>
      </c>
      <c r="I717" s="48">
        <v>80.8</v>
      </c>
      <c r="J717" s="48">
        <v>7766.9</v>
      </c>
      <c r="K717" s="48">
        <v>174.1</v>
      </c>
      <c r="L717" s="48">
        <v>33.5</v>
      </c>
      <c r="M717" s="48">
        <v>16.899999999999999</v>
      </c>
      <c r="N717" s="48">
        <v>15.5</v>
      </c>
    </row>
    <row r="718" spans="1:14" ht="10.050000000000001" customHeight="1">
      <c r="A718" s="45" t="s">
        <v>87</v>
      </c>
      <c r="B718" s="46">
        <v>2019</v>
      </c>
      <c r="C718" s="45" t="s">
        <v>126</v>
      </c>
      <c r="D718" s="47">
        <v>11</v>
      </c>
      <c r="E718" s="48">
        <v>14499.1</v>
      </c>
      <c r="F718" s="48">
        <v>3461</v>
      </c>
      <c r="G718" s="48">
        <v>17960.099999999999</v>
      </c>
      <c r="H718" s="48">
        <v>272992.2</v>
      </c>
      <c r="I718" s="48">
        <v>14657.8</v>
      </c>
      <c r="J718" s="48">
        <v>287650</v>
      </c>
      <c r="K718" s="48">
        <v>36869</v>
      </c>
      <c r="L718" s="48">
        <v>1187.0999999999999</v>
      </c>
      <c r="M718" s="48">
        <v>8888.2999999999993</v>
      </c>
      <c r="N718" s="48">
        <v>565.9</v>
      </c>
    </row>
    <row r="719" spans="1:14" ht="10.050000000000001" customHeight="1">
      <c r="A719" s="45" t="s">
        <v>84</v>
      </c>
      <c r="B719" s="46">
        <v>2019</v>
      </c>
      <c r="C719" s="45" t="s">
        <v>126</v>
      </c>
      <c r="D719" s="47">
        <v>12</v>
      </c>
      <c r="E719" s="48">
        <v>1993.5</v>
      </c>
      <c r="F719" s="48">
        <v>203.9</v>
      </c>
      <c r="G719" s="48">
        <v>2197.4</v>
      </c>
      <c r="H719" s="48">
        <v>51899.3</v>
      </c>
      <c r="I719" s="48">
        <v>2375</v>
      </c>
      <c r="J719" s="48">
        <v>54274.3</v>
      </c>
      <c r="K719" s="48">
        <v>4142.8</v>
      </c>
      <c r="L719" s="48">
        <v>121.1</v>
      </c>
      <c r="M719" s="48">
        <v>659.3</v>
      </c>
      <c r="N719" s="48">
        <v>33.200000000000003</v>
      </c>
    </row>
    <row r="720" spans="1:14" ht="10.050000000000001" customHeight="1">
      <c r="A720" s="45" t="s">
        <v>89</v>
      </c>
      <c r="B720" s="46">
        <v>2019</v>
      </c>
      <c r="C720" s="45" t="s">
        <v>126</v>
      </c>
      <c r="D720" s="47">
        <v>12</v>
      </c>
      <c r="E720" s="48">
        <v>18</v>
      </c>
      <c r="F720" s="48">
        <v>0</v>
      </c>
      <c r="G720" s="48">
        <v>18</v>
      </c>
      <c r="H720" s="48">
        <v>6866.4</v>
      </c>
      <c r="I720" s="48">
        <v>81.2</v>
      </c>
      <c r="J720" s="48">
        <v>6947.6</v>
      </c>
      <c r="K720" s="48">
        <v>189.1</v>
      </c>
      <c r="L720" s="48">
        <v>50.2</v>
      </c>
      <c r="M720" s="48">
        <v>8.6</v>
      </c>
      <c r="N720" s="48">
        <v>26.6</v>
      </c>
    </row>
    <row r="721" spans="1:14" ht="10.050000000000001" customHeight="1">
      <c r="A721" s="45" t="s">
        <v>87</v>
      </c>
      <c r="B721" s="46">
        <v>2019</v>
      </c>
      <c r="C721" s="45" t="s">
        <v>126</v>
      </c>
      <c r="D721" s="47">
        <v>12</v>
      </c>
      <c r="E721" s="48">
        <v>13382.3</v>
      </c>
      <c r="F721" s="48">
        <v>2712.7</v>
      </c>
      <c r="G721" s="48">
        <v>16095</v>
      </c>
      <c r="H721" s="48">
        <v>246507.4</v>
      </c>
      <c r="I721" s="48">
        <v>15005.4</v>
      </c>
      <c r="J721" s="48">
        <v>261512.8</v>
      </c>
      <c r="K721" s="48">
        <v>30561.9</v>
      </c>
      <c r="L721" s="48">
        <v>1367.6</v>
      </c>
      <c r="M721" s="48">
        <v>7371.4</v>
      </c>
      <c r="N721" s="48">
        <v>303.10000000000002</v>
      </c>
    </row>
    <row r="722" spans="1:14" ht="10.050000000000001" customHeight="1">
      <c r="A722" s="45" t="s">
        <v>84</v>
      </c>
      <c r="B722" s="46">
        <v>2020</v>
      </c>
      <c r="C722" s="45" t="s">
        <v>126</v>
      </c>
      <c r="D722" s="47">
        <v>1</v>
      </c>
      <c r="E722" s="48">
        <v>2656.9</v>
      </c>
      <c r="F722" s="48">
        <v>246.9</v>
      </c>
      <c r="G722" s="48">
        <v>2903.8</v>
      </c>
      <c r="H722" s="48">
        <v>48217.3</v>
      </c>
      <c r="I722" s="48">
        <v>1854</v>
      </c>
      <c r="J722" s="48">
        <v>50071.3</v>
      </c>
      <c r="K722" s="48">
        <v>3616.2</v>
      </c>
      <c r="L722" s="48">
        <v>180.1</v>
      </c>
      <c r="M722" s="48">
        <v>674.9</v>
      </c>
      <c r="N722" s="48">
        <v>47.8</v>
      </c>
    </row>
    <row r="723" spans="1:14" ht="10.050000000000001" customHeight="1">
      <c r="A723" s="45" t="s">
        <v>89</v>
      </c>
      <c r="B723" s="46">
        <v>2020</v>
      </c>
      <c r="C723" s="45" t="s">
        <v>126</v>
      </c>
      <c r="D723" s="47">
        <v>1</v>
      </c>
      <c r="E723" s="48">
        <v>111.4</v>
      </c>
      <c r="F723" s="48">
        <v>60</v>
      </c>
      <c r="G723" s="48">
        <v>171.4</v>
      </c>
      <c r="H723" s="48">
        <v>5899.5</v>
      </c>
      <c r="I723" s="48">
        <v>56.4</v>
      </c>
      <c r="J723" s="48">
        <v>5955.9</v>
      </c>
      <c r="K723" s="48">
        <v>183.4</v>
      </c>
      <c r="L723" s="48">
        <v>32.6</v>
      </c>
      <c r="M723" s="48">
        <v>0</v>
      </c>
      <c r="N723" s="48">
        <v>38.299999999999997</v>
      </c>
    </row>
    <row r="724" spans="1:14" ht="10.050000000000001" customHeight="1">
      <c r="A724" s="45" t="s">
        <v>87</v>
      </c>
      <c r="B724" s="46">
        <v>2020</v>
      </c>
      <c r="C724" s="45" t="s">
        <v>126</v>
      </c>
      <c r="D724" s="47">
        <v>1</v>
      </c>
      <c r="E724" s="48">
        <v>16424.099999999999</v>
      </c>
      <c r="F724" s="48">
        <v>3147.5</v>
      </c>
      <c r="G724" s="48">
        <v>19571.599999999999</v>
      </c>
      <c r="H724" s="48">
        <v>218094.3</v>
      </c>
      <c r="I724" s="48">
        <v>12717.1</v>
      </c>
      <c r="J724" s="48">
        <v>230811.4</v>
      </c>
      <c r="K724" s="48">
        <v>22240</v>
      </c>
      <c r="L724" s="48">
        <v>2063.3000000000002</v>
      </c>
      <c r="M724" s="48">
        <v>9588.7000000000007</v>
      </c>
      <c r="N724" s="48">
        <v>794.2</v>
      </c>
    </row>
    <row r="725" spans="1:14" ht="10.050000000000001" customHeight="1">
      <c r="A725" s="45" t="s">
        <v>84</v>
      </c>
      <c r="B725" s="46">
        <v>2020</v>
      </c>
      <c r="C725" s="45" t="s">
        <v>126</v>
      </c>
      <c r="D725" s="47">
        <v>2</v>
      </c>
      <c r="E725" s="48">
        <v>2403.4</v>
      </c>
      <c r="F725" s="48">
        <v>124.3</v>
      </c>
      <c r="G725" s="48">
        <v>2527.6999999999998</v>
      </c>
      <c r="H725" s="48">
        <v>45101.1</v>
      </c>
      <c r="I725" s="48">
        <v>1310.5</v>
      </c>
      <c r="J725" s="48">
        <v>46411.6</v>
      </c>
      <c r="K725" s="48">
        <v>2860.2</v>
      </c>
      <c r="L725" s="48">
        <v>191.6</v>
      </c>
      <c r="M725" s="48">
        <v>888.3</v>
      </c>
      <c r="N725" s="48">
        <v>59.5</v>
      </c>
    </row>
    <row r="726" spans="1:14" ht="10.050000000000001" customHeight="1">
      <c r="A726" s="45" t="s">
        <v>89</v>
      </c>
      <c r="B726" s="46">
        <v>2020</v>
      </c>
      <c r="C726" s="45" t="s">
        <v>126</v>
      </c>
      <c r="D726" s="47">
        <v>2</v>
      </c>
      <c r="E726" s="48">
        <v>33.4</v>
      </c>
      <c r="F726" s="48">
        <v>14</v>
      </c>
      <c r="G726" s="48">
        <v>47.4</v>
      </c>
      <c r="H726" s="48">
        <v>5094.8</v>
      </c>
      <c r="I726" s="48">
        <v>47.7</v>
      </c>
      <c r="J726" s="48">
        <v>5142.5</v>
      </c>
      <c r="K726" s="48">
        <v>169.6</v>
      </c>
      <c r="L726" s="48">
        <v>0</v>
      </c>
      <c r="M726" s="48">
        <v>0</v>
      </c>
      <c r="N726" s="48">
        <v>13.9</v>
      </c>
    </row>
    <row r="727" spans="1:14" ht="10.050000000000001" customHeight="1">
      <c r="A727" s="45" t="s">
        <v>87</v>
      </c>
      <c r="B727" s="46">
        <v>2020</v>
      </c>
      <c r="C727" s="45" t="s">
        <v>126</v>
      </c>
      <c r="D727" s="47">
        <v>2</v>
      </c>
      <c r="E727" s="48">
        <v>13618.4</v>
      </c>
      <c r="F727" s="48">
        <v>1027.5999999999999</v>
      </c>
      <c r="G727" s="48">
        <v>14646</v>
      </c>
      <c r="H727" s="48">
        <v>195646.8</v>
      </c>
      <c r="I727" s="48">
        <v>8285</v>
      </c>
      <c r="J727" s="48">
        <v>203931.8</v>
      </c>
      <c r="K727" s="48">
        <v>15748.5</v>
      </c>
      <c r="L727" s="48">
        <v>1138.0999999999999</v>
      </c>
      <c r="M727" s="48">
        <v>7297.1</v>
      </c>
      <c r="N727" s="48">
        <v>334.6</v>
      </c>
    </row>
    <row r="728" spans="1:14" ht="10.050000000000001" customHeight="1">
      <c r="A728" s="45" t="s">
        <v>84</v>
      </c>
      <c r="B728" s="46">
        <v>2020</v>
      </c>
      <c r="C728" s="45" t="s">
        <v>126</v>
      </c>
      <c r="D728" s="47">
        <v>3</v>
      </c>
      <c r="E728" s="48">
        <v>1996.8</v>
      </c>
      <c r="F728" s="48">
        <v>0</v>
      </c>
      <c r="G728" s="48">
        <v>1996.8</v>
      </c>
      <c r="H728" s="48">
        <v>39973.199999999997</v>
      </c>
      <c r="I728" s="48">
        <v>1273.8</v>
      </c>
      <c r="J728" s="48">
        <v>41247</v>
      </c>
      <c r="K728" s="48">
        <v>2335.1999999999998</v>
      </c>
      <c r="L728" s="48">
        <v>206.9</v>
      </c>
      <c r="M728" s="48">
        <v>642</v>
      </c>
      <c r="N728" s="48">
        <v>89.8</v>
      </c>
    </row>
    <row r="729" spans="1:14" ht="10.050000000000001" customHeight="1">
      <c r="A729" s="45" t="s">
        <v>89</v>
      </c>
      <c r="B729" s="46">
        <v>2020</v>
      </c>
      <c r="C729" s="45" t="s">
        <v>126</v>
      </c>
      <c r="D729" s="47">
        <v>3</v>
      </c>
      <c r="E729" s="48">
        <v>0</v>
      </c>
      <c r="F729" s="48">
        <v>0</v>
      </c>
      <c r="G729" s="48">
        <v>0</v>
      </c>
      <c r="H729" s="48">
        <v>4242.3</v>
      </c>
      <c r="I729" s="48">
        <v>30.6</v>
      </c>
      <c r="J729" s="48">
        <v>4272.8999999999996</v>
      </c>
      <c r="K729" s="48">
        <v>157.30000000000001</v>
      </c>
      <c r="L729" s="48">
        <v>0</v>
      </c>
      <c r="M729" s="48">
        <v>0</v>
      </c>
      <c r="N729" s="48">
        <v>12.3</v>
      </c>
    </row>
    <row r="730" spans="1:14" ht="10.050000000000001" customHeight="1">
      <c r="A730" s="45" t="s">
        <v>87</v>
      </c>
      <c r="B730" s="46">
        <v>2020</v>
      </c>
      <c r="C730" s="45" t="s">
        <v>126</v>
      </c>
      <c r="D730" s="47">
        <v>3</v>
      </c>
      <c r="E730" s="48">
        <v>12221.2</v>
      </c>
      <c r="F730" s="48">
        <v>231.2</v>
      </c>
      <c r="G730" s="48">
        <v>12452.4</v>
      </c>
      <c r="H730" s="48">
        <v>167676</v>
      </c>
      <c r="I730" s="48">
        <v>7699.4</v>
      </c>
      <c r="J730" s="48">
        <v>175375.4</v>
      </c>
      <c r="K730" s="48">
        <v>11343.3</v>
      </c>
      <c r="L730" s="48">
        <v>1026.7</v>
      </c>
      <c r="M730" s="48">
        <v>4961.8999999999996</v>
      </c>
      <c r="N730" s="48">
        <v>474.8</v>
      </c>
    </row>
    <row r="731" spans="1:14" ht="10.050000000000001" customHeight="1">
      <c r="A731" s="45" t="s">
        <v>84</v>
      </c>
      <c r="B731" s="46">
        <v>2020</v>
      </c>
      <c r="C731" s="45" t="s">
        <v>126</v>
      </c>
      <c r="D731" s="47">
        <v>4</v>
      </c>
      <c r="E731" s="48">
        <v>2163.1</v>
      </c>
      <c r="F731" s="48">
        <v>0</v>
      </c>
      <c r="G731" s="48">
        <v>2163.1</v>
      </c>
      <c r="H731" s="48">
        <v>34229.5</v>
      </c>
      <c r="I731" s="48">
        <v>1178.4000000000001</v>
      </c>
      <c r="J731" s="48">
        <v>35407.9</v>
      </c>
      <c r="K731" s="48">
        <v>1634.8</v>
      </c>
      <c r="L731" s="48">
        <v>95.5</v>
      </c>
      <c r="M731" s="48">
        <v>740.2</v>
      </c>
      <c r="N731" s="48">
        <v>58.9</v>
      </c>
    </row>
    <row r="732" spans="1:14" ht="10.050000000000001" customHeight="1">
      <c r="A732" s="45" t="s">
        <v>89</v>
      </c>
      <c r="B732" s="46">
        <v>2020</v>
      </c>
      <c r="C732" s="45" t="s">
        <v>126</v>
      </c>
      <c r="D732" s="47">
        <v>4</v>
      </c>
      <c r="E732" s="48">
        <v>17.2</v>
      </c>
      <c r="F732" s="48">
        <v>0</v>
      </c>
      <c r="G732" s="48">
        <v>17.2</v>
      </c>
      <c r="H732" s="48">
        <v>3024.3</v>
      </c>
      <c r="I732" s="48">
        <v>28.7</v>
      </c>
      <c r="J732" s="48">
        <v>3053</v>
      </c>
      <c r="K732" s="48">
        <v>137.9</v>
      </c>
      <c r="L732" s="48">
        <v>0</v>
      </c>
      <c r="M732" s="48">
        <v>0</v>
      </c>
      <c r="N732" s="48">
        <v>19.399999999999999</v>
      </c>
    </row>
    <row r="733" spans="1:14" ht="10.050000000000001" customHeight="1">
      <c r="A733" s="45" t="s">
        <v>87</v>
      </c>
      <c r="B733" s="46">
        <v>2020</v>
      </c>
      <c r="C733" s="45" t="s">
        <v>126</v>
      </c>
      <c r="D733" s="47">
        <v>4</v>
      </c>
      <c r="E733" s="48">
        <v>11336.6</v>
      </c>
      <c r="F733" s="48">
        <v>48.2</v>
      </c>
      <c r="G733" s="48">
        <v>11384.8</v>
      </c>
      <c r="H733" s="48">
        <v>128160.5</v>
      </c>
      <c r="I733" s="48">
        <v>7231.6</v>
      </c>
      <c r="J733" s="48">
        <v>135392.1</v>
      </c>
      <c r="K733" s="48">
        <v>7878.4</v>
      </c>
      <c r="L733" s="48">
        <v>835.2</v>
      </c>
      <c r="M733" s="48">
        <v>4115.5</v>
      </c>
      <c r="N733" s="48">
        <v>225.5</v>
      </c>
    </row>
    <row r="734" spans="1:14" ht="10.050000000000001" customHeight="1">
      <c r="A734" s="45" t="s">
        <v>84</v>
      </c>
      <c r="B734" s="46">
        <v>2020</v>
      </c>
      <c r="C734" s="45" t="s">
        <v>126</v>
      </c>
      <c r="D734" s="47">
        <v>5</v>
      </c>
      <c r="E734" s="48">
        <v>2071.6999999999998</v>
      </c>
      <c r="F734" s="48">
        <v>98.8</v>
      </c>
      <c r="G734" s="48">
        <v>2170.5</v>
      </c>
      <c r="H734" s="48">
        <v>22597.3</v>
      </c>
      <c r="I734" s="48">
        <v>844.4</v>
      </c>
      <c r="J734" s="48">
        <v>23441.7</v>
      </c>
      <c r="K734" s="48">
        <v>1117.9000000000001</v>
      </c>
      <c r="L734" s="48">
        <v>119.8</v>
      </c>
      <c r="M734" s="48">
        <v>586.9</v>
      </c>
      <c r="N734" s="48">
        <v>80</v>
      </c>
    </row>
    <row r="735" spans="1:14" ht="10.050000000000001" customHeight="1">
      <c r="A735" s="45" t="s">
        <v>89</v>
      </c>
      <c r="B735" s="46">
        <v>2020</v>
      </c>
      <c r="C735" s="45" t="s">
        <v>126</v>
      </c>
      <c r="D735" s="47">
        <v>5</v>
      </c>
      <c r="E735" s="48">
        <v>3.5</v>
      </c>
      <c r="F735" s="48">
        <v>0</v>
      </c>
      <c r="G735" s="48">
        <v>3.5</v>
      </c>
      <c r="H735" s="48">
        <v>2284.4</v>
      </c>
      <c r="I735" s="48">
        <v>28.5</v>
      </c>
      <c r="J735" s="48">
        <v>2312.9</v>
      </c>
      <c r="K735" s="48">
        <v>122.5</v>
      </c>
      <c r="L735" s="48">
        <v>0</v>
      </c>
      <c r="M735" s="48">
        <v>0</v>
      </c>
      <c r="N735" s="48">
        <v>15.4</v>
      </c>
    </row>
    <row r="736" spans="1:14" ht="10.050000000000001" customHeight="1">
      <c r="A736" s="45" t="s">
        <v>87</v>
      </c>
      <c r="B736" s="46">
        <v>2020</v>
      </c>
      <c r="C736" s="45" t="s">
        <v>126</v>
      </c>
      <c r="D736" s="47">
        <v>5</v>
      </c>
      <c r="E736" s="48">
        <v>9524.1</v>
      </c>
      <c r="F736" s="48">
        <v>0</v>
      </c>
      <c r="G736" s="48">
        <v>9524.1</v>
      </c>
      <c r="H736" s="48">
        <v>89383.7</v>
      </c>
      <c r="I736" s="48">
        <v>6190</v>
      </c>
      <c r="J736" s="48">
        <v>95573.699999999895</v>
      </c>
      <c r="K736" s="48">
        <v>2355.5</v>
      </c>
      <c r="L736" s="48">
        <v>380.9</v>
      </c>
      <c r="M736" s="48">
        <v>5458.4</v>
      </c>
      <c r="N736" s="48">
        <v>478.8</v>
      </c>
    </row>
    <row r="737" spans="1:14" ht="10.050000000000001" customHeight="1">
      <c r="A737" s="45" t="s">
        <v>84</v>
      </c>
      <c r="B737" s="46">
        <v>2020</v>
      </c>
      <c r="C737" s="45" t="s">
        <v>126</v>
      </c>
      <c r="D737" s="47">
        <v>6</v>
      </c>
      <c r="E737" s="48">
        <v>1887.5</v>
      </c>
      <c r="F737" s="48">
        <v>-13.4</v>
      </c>
      <c r="G737" s="48">
        <v>1874.1</v>
      </c>
      <c r="H737" s="48">
        <v>13245.9</v>
      </c>
      <c r="I737" s="48">
        <v>634</v>
      </c>
      <c r="J737" s="48">
        <v>13879.9</v>
      </c>
      <c r="K737" s="48">
        <v>669.1</v>
      </c>
      <c r="L737" s="48">
        <v>229.3</v>
      </c>
      <c r="M737" s="48">
        <v>458.6</v>
      </c>
      <c r="N737" s="48">
        <v>219.6</v>
      </c>
    </row>
    <row r="738" spans="1:14" ht="10.050000000000001" customHeight="1">
      <c r="A738" s="45" t="s">
        <v>89</v>
      </c>
      <c r="B738" s="46">
        <v>2020</v>
      </c>
      <c r="C738" s="45" t="s">
        <v>126</v>
      </c>
      <c r="D738" s="47">
        <v>6</v>
      </c>
      <c r="E738" s="48">
        <v>12.2</v>
      </c>
      <c r="F738" s="48">
        <v>0</v>
      </c>
      <c r="G738" s="48">
        <v>12.2</v>
      </c>
      <c r="H738" s="48">
        <v>1760.9</v>
      </c>
      <c r="I738" s="48">
        <v>29.2</v>
      </c>
      <c r="J738" s="48">
        <v>1790.1</v>
      </c>
      <c r="K738" s="48">
        <v>113.4</v>
      </c>
      <c r="L738" s="48">
        <v>0</v>
      </c>
      <c r="M738" s="48">
        <v>0</v>
      </c>
      <c r="N738" s="48">
        <v>9.1</v>
      </c>
    </row>
    <row r="739" spans="1:14" ht="10.050000000000001" customHeight="1">
      <c r="A739" s="45" t="s">
        <v>87</v>
      </c>
      <c r="B739" s="46">
        <v>2020</v>
      </c>
      <c r="C739" s="45" t="s">
        <v>126</v>
      </c>
      <c r="D739" s="47">
        <v>6</v>
      </c>
      <c r="E739" s="48">
        <v>6358.3</v>
      </c>
      <c r="F739" s="48">
        <v>2.1</v>
      </c>
      <c r="G739" s="48">
        <v>6360.4</v>
      </c>
      <c r="H739" s="48">
        <v>47147.1</v>
      </c>
      <c r="I739" s="48">
        <v>5950.6</v>
      </c>
      <c r="J739" s="48">
        <v>53097.7</v>
      </c>
      <c r="K739" s="48">
        <v>857.3</v>
      </c>
      <c r="L739" s="48">
        <v>614.1</v>
      </c>
      <c r="M739" s="48">
        <v>1593.2</v>
      </c>
      <c r="N739" s="48">
        <v>455.6</v>
      </c>
    </row>
    <row r="740" spans="1:14" ht="10.050000000000001" customHeight="1">
      <c r="A740" s="45" t="s">
        <v>127</v>
      </c>
      <c r="B740" s="46">
        <v>2020</v>
      </c>
      <c r="C740" s="45" t="s">
        <v>126</v>
      </c>
      <c r="D740" s="47">
        <v>6</v>
      </c>
      <c r="E740" s="48">
        <v>1462.5</v>
      </c>
      <c r="F740" s="48">
        <v>0</v>
      </c>
      <c r="G740" s="48">
        <v>1462.5</v>
      </c>
      <c r="H740" s="48">
        <v>1462.5</v>
      </c>
      <c r="I740" s="48">
        <v>0</v>
      </c>
      <c r="J740" s="48">
        <v>1462.5</v>
      </c>
      <c r="K740" s="48">
        <v>0</v>
      </c>
      <c r="L740" s="48">
        <v>0</v>
      </c>
      <c r="M740" s="48">
        <v>0</v>
      </c>
      <c r="N740" s="48">
        <v>0</v>
      </c>
    </row>
    <row r="741" spans="1:14" ht="10.050000000000001" customHeight="1">
      <c r="A741" s="45" t="s">
        <v>84</v>
      </c>
      <c r="B741" s="46">
        <v>2020</v>
      </c>
      <c r="C741" s="45" t="s">
        <v>128</v>
      </c>
      <c r="D741" s="47">
        <v>7</v>
      </c>
      <c r="E741" s="48">
        <v>20195.3</v>
      </c>
      <c r="F741" s="48">
        <v>307.7</v>
      </c>
      <c r="G741" s="48">
        <v>20503</v>
      </c>
      <c r="H741" s="48">
        <v>26864.9</v>
      </c>
      <c r="I741" s="48">
        <v>627.20000000000005</v>
      </c>
      <c r="J741" s="48">
        <v>27492.1</v>
      </c>
      <c r="K741" s="48">
        <v>5344.6</v>
      </c>
      <c r="L741" s="48">
        <v>7378.1</v>
      </c>
      <c r="M741" s="48">
        <v>2560.8000000000002</v>
      </c>
      <c r="N741" s="48">
        <v>120.5</v>
      </c>
    </row>
    <row r="742" spans="1:14" ht="10.050000000000001" customHeight="1">
      <c r="A742" s="45" t="s">
        <v>86</v>
      </c>
      <c r="B742" s="46">
        <v>2020</v>
      </c>
      <c r="C742" s="45" t="s">
        <v>128</v>
      </c>
      <c r="D742" s="47">
        <v>7</v>
      </c>
      <c r="E742" s="48">
        <v>5197</v>
      </c>
      <c r="F742" s="48">
        <v>7.1</v>
      </c>
      <c r="G742" s="48">
        <v>5204.1000000000004</v>
      </c>
      <c r="H742" s="48">
        <v>18937.900000000001</v>
      </c>
      <c r="I742" s="48">
        <v>424.5</v>
      </c>
      <c r="J742" s="48">
        <v>19362.400000000001</v>
      </c>
      <c r="K742" s="48">
        <v>68.900000000000006</v>
      </c>
      <c r="L742" s="48">
        <v>68.900000000000006</v>
      </c>
      <c r="M742" s="48">
        <v>0</v>
      </c>
      <c r="N742" s="48">
        <v>0</v>
      </c>
    </row>
    <row r="743" spans="1:14" ht="10.050000000000001" customHeight="1">
      <c r="A743" s="45" t="s">
        <v>89</v>
      </c>
      <c r="B743" s="46">
        <v>2020</v>
      </c>
      <c r="C743" s="45" t="s">
        <v>128</v>
      </c>
      <c r="D743" s="47">
        <v>7</v>
      </c>
      <c r="E743" s="48">
        <v>3811.5</v>
      </c>
      <c r="F743" s="48">
        <v>0</v>
      </c>
      <c r="G743" s="48">
        <v>3811.5</v>
      </c>
      <c r="H743" s="48">
        <v>4657.2</v>
      </c>
      <c r="I743" s="48">
        <v>29.2</v>
      </c>
      <c r="J743" s="48">
        <v>4686.3999999999996</v>
      </c>
      <c r="K743" s="48">
        <v>293.3</v>
      </c>
      <c r="L743" s="48">
        <v>1009.9</v>
      </c>
      <c r="M743" s="48">
        <v>804</v>
      </c>
      <c r="N743" s="48">
        <v>26.1</v>
      </c>
    </row>
    <row r="744" spans="1:14" ht="10.050000000000001" customHeight="1">
      <c r="A744" s="45" t="s">
        <v>87</v>
      </c>
      <c r="B744" s="46">
        <v>2020</v>
      </c>
      <c r="C744" s="45" t="s">
        <v>128</v>
      </c>
      <c r="D744" s="47">
        <v>7</v>
      </c>
      <c r="E744" s="48">
        <v>257489.2</v>
      </c>
      <c r="F744" s="48">
        <v>5282.7</v>
      </c>
      <c r="G744" s="48">
        <v>262771.90000000002</v>
      </c>
      <c r="H744" s="48">
        <v>259878.1</v>
      </c>
      <c r="I744" s="48">
        <v>7051.1</v>
      </c>
      <c r="J744" s="48">
        <v>266929.2</v>
      </c>
      <c r="K744" s="48">
        <v>85197</v>
      </c>
      <c r="L744" s="48">
        <v>111833.8</v>
      </c>
      <c r="M744" s="48">
        <v>27100.7</v>
      </c>
      <c r="N744" s="48">
        <v>359</v>
      </c>
    </row>
    <row r="745" spans="1:14" ht="10.050000000000001" customHeight="1">
      <c r="A745" s="45" t="s">
        <v>127</v>
      </c>
      <c r="B745" s="46">
        <v>2020</v>
      </c>
      <c r="C745" s="45" t="s">
        <v>128</v>
      </c>
      <c r="D745" s="47">
        <v>7</v>
      </c>
      <c r="E745" s="48">
        <v>600.70000000000005</v>
      </c>
      <c r="F745" s="48">
        <v>630</v>
      </c>
      <c r="G745" s="48">
        <v>1230.7</v>
      </c>
      <c r="H745" s="48">
        <v>16673.7</v>
      </c>
      <c r="I745" s="48">
        <v>1857.4</v>
      </c>
      <c r="J745" s="48">
        <v>18531.099999999999</v>
      </c>
      <c r="K745" s="48">
        <v>0</v>
      </c>
      <c r="L745" s="48">
        <v>0</v>
      </c>
      <c r="M745" s="48">
        <v>0</v>
      </c>
      <c r="N745" s="48">
        <v>0</v>
      </c>
    </row>
    <row r="746" spans="1:14" ht="10.050000000000001" customHeight="1">
      <c r="A746" s="45" t="s">
        <v>84</v>
      </c>
      <c r="B746" s="46">
        <v>2020</v>
      </c>
      <c r="C746" s="45" t="s">
        <v>128</v>
      </c>
      <c r="D746" s="47">
        <v>8</v>
      </c>
      <c r="E746" s="48">
        <v>16608.900000000001</v>
      </c>
      <c r="F746" s="48">
        <v>732</v>
      </c>
      <c r="G746" s="48">
        <v>17340.900000000001</v>
      </c>
      <c r="H746" s="48">
        <v>38227.199999999997</v>
      </c>
      <c r="I746" s="48">
        <v>1177.2</v>
      </c>
      <c r="J746" s="48">
        <v>39404.400000000001</v>
      </c>
      <c r="K746" s="48">
        <v>6757.5</v>
      </c>
      <c r="L746" s="48">
        <v>5040.8</v>
      </c>
      <c r="M746" s="48">
        <v>3539.6</v>
      </c>
      <c r="N746" s="48">
        <v>60.7</v>
      </c>
    </row>
    <row r="747" spans="1:14" ht="10.050000000000001" customHeight="1">
      <c r="A747" s="45" t="s">
        <v>86</v>
      </c>
      <c r="B747" s="46">
        <v>2020</v>
      </c>
      <c r="C747" s="45" t="s">
        <v>128</v>
      </c>
      <c r="D747" s="47">
        <v>8</v>
      </c>
      <c r="E747" s="48">
        <v>1899.3</v>
      </c>
      <c r="F747" s="48">
        <v>2.6</v>
      </c>
      <c r="G747" s="48">
        <v>1901.9</v>
      </c>
      <c r="H747" s="48">
        <v>19249.8</v>
      </c>
      <c r="I747" s="48">
        <v>401.2</v>
      </c>
      <c r="J747" s="48">
        <v>19651</v>
      </c>
      <c r="K747" s="48">
        <v>148.5</v>
      </c>
      <c r="L747" s="48">
        <v>90.7</v>
      </c>
      <c r="M747" s="48">
        <v>11.1</v>
      </c>
      <c r="N747" s="48">
        <v>0</v>
      </c>
    </row>
    <row r="748" spans="1:14" ht="10.050000000000001" customHeight="1">
      <c r="A748" s="45" t="s">
        <v>89</v>
      </c>
      <c r="B748" s="46">
        <v>2020</v>
      </c>
      <c r="C748" s="45" t="s">
        <v>128</v>
      </c>
      <c r="D748" s="47">
        <v>8</v>
      </c>
      <c r="E748" s="48">
        <v>1783.8</v>
      </c>
      <c r="F748" s="48">
        <v>1.2</v>
      </c>
      <c r="G748" s="48">
        <v>1785</v>
      </c>
      <c r="H748" s="48">
        <v>5951</v>
      </c>
      <c r="I748" s="48">
        <v>30.4</v>
      </c>
      <c r="J748" s="48">
        <v>5981.4</v>
      </c>
      <c r="K748" s="48">
        <v>307.2</v>
      </c>
      <c r="L748" s="48">
        <v>620.79999999999995</v>
      </c>
      <c r="M748" s="48">
        <v>583</v>
      </c>
      <c r="N748" s="48">
        <v>23.9</v>
      </c>
    </row>
    <row r="749" spans="1:14" ht="10.050000000000001" customHeight="1">
      <c r="A749" s="45" t="s">
        <v>87</v>
      </c>
      <c r="B749" s="46">
        <v>2020</v>
      </c>
      <c r="C749" s="45" t="s">
        <v>128</v>
      </c>
      <c r="D749" s="47">
        <v>8</v>
      </c>
      <c r="E749" s="48">
        <v>46036.1</v>
      </c>
      <c r="F749" s="48">
        <v>2248.4</v>
      </c>
      <c r="G749" s="48">
        <v>48284.5</v>
      </c>
      <c r="H749" s="48">
        <v>266000.7</v>
      </c>
      <c r="I749" s="48">
        <v>8571.5</v>
      </c>
      <c r="J749" s="48">
        <v>274572.2</v>
      </c>
      <c r="K749" s="48">
        <v>67388</v>
      </c>
      <c r="L749" s="48">
        <v>9566.2000000000007</v>
      </c>
      <c r="M749" s="48">
        <v>26865.200000000001</v>
      </c>
      <c r="N749" s="48">
        <v>514.29999999999995</v>
      </c>
    </row>
    <row r="750" spans="1:14" ht="10.050000000000001" customHeight="1">
      <c r="A750" s="45" t="s">
        <v>127</v>
      </c>
      <c r="B750" s="46">
        <v>2020</v>
      </c>
      <c r="C750" s="45" t="s">
        <v>128</v>
      </c>
      <c r="D750" s="47">
        <v>8</v>
      </c>
      <c r="E750" s="48">
        <v>5083.8</v>
      </c>
      <c r="F750" s="48">
        <v>1604.6</v>
      </c>
      <c r="G750" s="48">
        <v>6688.4</v>
      </c>
      <c r="H750" s="48">
        <v>21326.5</v>
      </c>
      <c r="I750" s="48">
        <v>3525.3</v>
      </c>
      <c r="J750" s="48">
        <v>24851.8</v>
      </c>
      <c r="K750" s="48">
        <v>656.9</v>
      </c>
      <c r="L750" s="48">
        <v>687.5</v>
      </c>
      <c r="M750" s="48">
        <v>30.7</v>
      </c>
      <c r="N750" s="48">
        <v>0</v>
      </c>
    </row>
    <row r="751" spans="1:14" ht="10.050000000000001" customHeight="1">
      <c r="A751" s="45" t="s">
        <v>84</v>
      </c>
      <c r="B751" s="46">
        <v>2020</v>
      </c>
      <c r="C751" s="45" t="s">
        <v>128</v>
      </c>
      <c r="D751" s="47">
        <v>9</v>
      </c>
      <c r="E751" s="48">
        <v>11788.7</v>
      </c>
      <c r="F751" s="48">
        <v>2327.8000000000002</v>
      </c>
      <c r="G751" s="48">
        <v>14116.5</v>
      </c>
      <c r="H751" s="48">
        <v>40685.199999999997</v>
      </c>
      <c r="I751" s="48">
        <v>2276.6999999999998</v>
      </c>
      <c r="J751" s="48">
        <v>42961.9</v>
      </c>
      <c r="K751" s="48">
        <v>5385.9</v>
      </c>
      <c r="L751" s="48">
        <v>2689.5</v>
      </c>
      <c r="M751" s="48">
        <v>3915.8</v>
      </c>
      <c r="N751" s="48">
        <v>146.30000000000001</v>
      </c>
    </row>
    <row r="752" spans="1:14" ht="10.050000000000001" customHeight="1">
      <c r="A752" s="45" t="s">
        <v>86</v>
      </c>
      <c r="B752" s="46">
        <v>2020</v>
      </c>
      <c r="C752" s="45" t="s">
        <v>128</v>
      </c>
      <c r="D752" s="47">
        <v>9</v>
      </c>
      <c r="E752" s="48">
        <v>499.1</v>
      </c>
      <c r="F752" s="48">
        <v>157.9</v>
      </c>
      <c r="G752" s="48">
        <v>657</v>
      </c>
      <c r="H752" s="48">
        <v>18651.2</v>
      </c>
      <c r="I752" s="48">
        <v>413</v>
      </c>
      <c r="J752" s="48">
        <v>19064.2</v>
      </c>
      <c r="K752" s="48">
        <v>234.8</v>
      </c>
      <c r="L752" s="48">
        <v>101.1</v>
      </c>
      <c r="M752" s="48">
        <v>14.8</v>
      </c>
      <c r="N752" s="48">
        <v>0</v>
      </c>
    </row>
    <row r="753" spans="1:14" ht="10.050000000000001" customHeight="1">
      <c r="A753" s="45" t="s">
        <v>89</v>
      </c>
      <c r="B753" s="46">
        <v>2020</v>
      </c>
      <c r="C753" s="45" t="s">
        <v>128</v>
      </c>
      <c r="D753" s="47">
        <v>9</v>
      </c>
      <c r="E753" s="48">
        <v>2647.2</v>
      </c>
      <c r="F753" s="48">
        <v>851.2</v>
      </c>
      <c r="G753" s="48">
        <v>3498.4</v>
      </c>
      <c r="H753" s="48">
        <v>7277.1</v>
      </c>
      <c r="I753" s="48">
        <v>320.3</v>
      </c>
      <c r="J753" s="48">
        <v>7597.4</v>
      </c>
      <c r="K753" s="48">
        <v>421.9</v>
      </c>
      <c r="L753" s="48">
        <v>748.8</v>
      </c>
      <c r="M753" s="48">
        <v>602.20000000000005</v>
      </c>
      <c r="N753" s="48">
        <v>31.7</v>
      </c>
    </row>
    <row r="754" spans="1:14" ht="10.050000000000001" customHeight="1">
      <c r="A754" s="45" t="s">
        <v>87</v>
      </c>
      <c r="B754" s="46">
        <v>2020</v>
      </c>
      <c r="C754" s="45" t="s">
        <v>128</v>
      </c>
      <c r="D754" s="47">
        <v>9</v>
      </c>
      <c r="E754" s="48">
        <v>45422.3</v>
      </c>
      <c r="F754" s="48">
        <v>3819.9</v>
      </c>
      <c r="G754" s="48">
        <v>49242.2</v>
      </c>
      <c r="H754" s="48">
        <v>271214.09999999998</v>
      </c>
      <c r="I754" s="48">
        <v>8494.1</v>
      </c>
      <c r="J754" s="48">
        <v>279708.2</v>
      </c>
      <c r="K754" s="48">
        <v>39685.599999999999</v>
      </c>
      <c r="L754" s="48">
        <v>2311.6999999999998</v>
      </c>
      <c r="M754" s="48">
        <v>28741</v>
      </c>
      <c r="N754" s="48">
        <v>1192.4000000000001</v>
      </c>
    </row>
    <row r="755" spans="1:14" ht="10.050000000000001" customHeight="1">
      <c r="A755" s="45" t="s">
        <v>127</v>
      </c>
      <c r="B755" s="46">
        <v>2020</v>
      </c>
      <c r="C755" s="45" t="s">
        <v>128</v>
      </c>
      <c r="D755" s="47">
        <v>9</v>
      </c>
      <c r="E755" s="48">
        <v>2809.6</v>
      </c>
      <c r="F755" s="48">
        <v>51.1</v>
      </c>
      <c r="G755" s="48">
        <v>2860.7</v>
      </c>
      <c r="H755" s="48">
        <v>23503.4</v>
      </c>
      <c r="I755" s="48">
        <v>3623</v>
      </c>
      <c r="J755" s="48">
        <v>27126.400000000001</v>
      </c>
      <c r="K755" s="48">
        <v>789.9</v>
      </c>
      <c r="L755" s="48">
        <v>1090.8</v>
      </c>
      <c r="M755" s="48">
        <v>957.8</v>
      </c>
      <c r="N755" s="48">
        <v>0</v>
      </c>
    </row>
    <row r="756" spans="1:14" ht="10.050000000000001" customHeight="1">
      <c r="A756" s="45" t="s">
        <v>84</v>
      </c>
      <c r="B756" s="46">
        <v>2020</v>
      </c>
      <c r="C756" s="45" t="s">
        <v>128</v>
      </c>
      <c r="D756" s="47">
        <v>10</v>
      </c>
      <c r="E756" s="48">
        <v>3329.4</v>
      </c>
      <c r="F756" s="48">
        <v>888.7</v>
      </c>
      <c r="G756" s="48">
        <v>4218.1000000000004</v>
      </c>
      <c r="H756" s="48">
        <v>44002.5</v>
      </c>
      <c r="I756" s="48">
        <v>2444.5</v>
      </c>
      <c r="J756" s="48">
        <v>46447</v>
      </c>
      <c r="K756" s="48">
        <v>3526.5</v>
      </c>
      <c r="L756" s="48">
        <v>208.6</v>
      </c>
      <c r="M756" s="48">
        <v>1883</v>
      </c>
      <c r="N756" s="48">
        <v>185</v>
      </c>
    </row>
    <row r="757" spans="1:14" ht="10.050000000000001" customHeight="1">
      <c r="A757" s="45" t="s">
        <v>86</v>
      </c>
      <c r="B757" s="46">
        <v>2020</v>
      </c>
      <c r="C757" s="45" t="s">
        <v>128</v>
      </c>
      <c r="D757" s="47">
        <v>10</v>
      </c>
      <c r="E757" s="48">
        <v>5849.5</v>
      </c>
      <c r="F757" s="48">
        <v>187.9</v>
      </c>
      <c r="G757" s="48">
        <v>6037.4</v>
      </c>
      <c r="H757" s="48">
        <v>25385</v>
      </c>
      <c r="I757" s="48">
        <v>584.6</v>
      </c>
      <c r="J757" s="48">
        <v>25969.599999999999</v>
      </c>
      <c r="K757" s="48">
        <v>263</v>
      </c>
      <c r="L757" s="48">
        <v>302.7</v>
      </c>
      <c r="M757" s="48">
        <v>262.39999999999998</v>
      </c>
      <c r="N757" s="48">
        <v>12</v>
      </c>
    </row>
    <row r="758" spans="1:14" ht="10.050000000000001" customHeight="1">
      <c r="A758" s="45" t="s">
        <v>89</v>
      </c>
      <c r="B758" s="46">
        <v>2020</v>
      </c>
      <c r="C758" s="45" t="s">
        <v>128</v>
      </c>
      <c r="D758" s="47">
        <v>10</v>
      </c>
      <c r="E758" s="48">
        <v>192.2</v>
      </c>
      <c r="F758" s="48">
        <v>44.3</v>
      </c>
      <c r="G758" s="48">
        <v>236.5</v>
      </c>
      <c r="H758" s="48">
        <v>6552.6</v>
      </c>
      <c r="I758" s="48">
        <v>339.5</v>
      </c>
      <c r="J758" s="48">
        <v>6892.1</v>
      </c>
      <c r="K758" s="48">
        <v>349.9</v>
      </c>
      <c r="L758" s="48">
        <v>12</v>
      </c>
      <c r="M758" s="48">
        <v>26.1</v>
      </c>
      <c r="N758" s="48">
        <v>58</v>
      </c>
    </row>
    <row r="759" spans="1:14" ht="10.050000000000001" customHeight="1">
      <c r="A759" s="45" t="s">
        <v>87</v>
      </c>
      <c r="B759" s="46">
        <v>2020</v>
      </c>
      <c r="C759" s="45" t="s">
        <v>128</v>
      </c>
      <c r="D759" s="47">
        <v>10</v>
      </c>
      <c r="E759" s="48">
        <v>19067.7</v>
      </c>
      <c r="F759" s="48">
        <v>3196.1</v>
      </c>
      <c r="G759" s="48">
        <v>22263.8</v>
      </c>
      <c r="H759" s="48">
        <v>254774.5</v>
      </c>
      <c r="I759" s="48">
        <v>7406.7</v>
      </c>
      <c r="J759" s="48">
        <v>262181.2</v>
      </c>
      <c r="K759" s="48">
        <v>28846.2</v>
      </c>
      <c r="L759" s="48">
        <v>1365.2</v>
      </c>
      <c r="M759" s="48">
        <v>11884.5</v>
      </c>
      <c r="N759" s="48">
        <v>337.2</v>
      </c>
    </row>
    <row r="760" spans="1:14" ht="10.050000000000001" customHeight="1">
      <c r="A760" s="45" t="s">
        <v>127</v>
      </c>
      <c r="B760" s="46">
        <v>2020</v>
      </c>
      <c r="C760" s="45" t="s">
        <v>128</v>
      </c>
      <c r="D760" s="47">
        <v>10</v>
      </c>
      <c r="E760" s="48">
        <v>5471.1</v>
      </c>
      <c r="F760" s="48">
        <v>0</v>
      </c>
      <c r="G760" s="48">
        <v>5471.1</v>
      </c>
      <c r="H760" s="48">
        <v>28361.200000000001</v>
      </c>
      <c r="I760" s="48">
        <v>3498</v>
      </c>
      <c r="J760" s="48">
        <v>31859.200000000001</v>
      </c>
      <c r="K760" s="48">
        <v>834.7</v>
      </c>
      <c r="L760" s="48">
        <v>52.8</v>
      </c>
      <c r="M760" s="48">
        <v>8</v>
      </c>
      <c r="N760" s="48">
        <v>0</v>
      </c>
    </row>
    <row r="761" spans="1:14" ht="10.050000000000001" customHeight="1">
      <c r="A761" s="45" t="s">
        <v>84</v>
      </c>
      <c r="B761" s="46">
        <v>2020</v>
      </c>
      <c r="C761" s="45" t="s">
        <v>128</v>
      </c>
      <c r="D761" s="47">
        <v>11</v>
      </c>
      <c r="E761" s="48">
        <v>1935.8</v>
      </c>
      <c r="F761" s="48">
        <v>912.5</v>
      </c>
      <c r="G761" s="48">
        <v>2848.3</v>
      </c>
      <c r="H761" s="48">
        <v>41354.800000000003</v>
      </c>
      <c r="I761" s="48">
        <v>3131.3</v>
      </c>
      <c r="J761" s="48">
        <v>44486.1</v>
      </c>
      <c r="K761" s="48">
        <v>2569</v>
      </c>
      <c r="L761" s="48">
        <v>242.4</v>
      </c>
      <c r="M761" s="48">
        <v>923.3</v>
      </c>
      <c r="N761" s="48">
        <v>276.7</v>
      </c>
    </row>
    <row r="762" spans="1:14" ht="10.050000000000001" customHeight="1">
      <c r="A762" s="45" t="s">
        <v>86</v>
      </c>
      <c r="B762" s="46">
        <v>2020</v>
      </c>
      <c r="C762" s="45" t="s">
        <v>128</v>
      </c>
      <c r="D762" s="47">
        <v>11</v>
      </c>
      <c r="E762" s="48">
        <v>1155.2</v>
      </c>
      <c r="F762" s="48">
        <v>13.6</v>
      </c>
      <c r="G762" s="48">
        <v>1168.8</v>
      </c>
      <c r="H762" s="48">
        <v>24425.8</v>
      </c>
      <c r="I762" s="48">
        <v>571.79999999999995</v>
      </c>
      <c r="J762" s="48">
        <v>24997.599999999999</v>
      </c>
      <c r="K762" s="48">
        <v>299.39999999999998</v>
      </c>
      <c r="L762" s="48">
        <v>412.9</v>
      </c>
      <c r="M762" s="48">
        <v>395.3</v>
      </c>
      <c r="N762" s="48">
        <v>21.4</v>
      </c>
    </row>
    <row r="763" spans="1:14" ht="10.050000000000001" customHeight="1">
      <c r="A763" s="45" t="s">
        <v>89</v>
      </c>
      <c r="B763" s="46">
        <v>2020</v>
      </c>
      <c r="C763" s="45" t="s">
        <v>128</v>
      </c>
      <c r="D763" s="47">
        <v>11</v>
      </c>
      <c r="E763" s="48">
        <v>139.4</v>
      </c>
      <c r="F763" s="48">
        <v>0</v>
      </c>
      <c r="G763" s="48">
        <v>139.4</v>
      </c>
      <c r="H763" s="48">
        <v>5591.6</v>
      </c>
      <c r="I763" s="48">
        <v>339.4</v>
      </c>
      <c r="J763" s="48">
        <v>5931</v>
      </c>
      <c r="K763" s="48">
        <v>253</v>
      </c>
      <c r="L763" s="48">
        <v>55.1</v>
      </c>
      <c r="M763" s="48">
        <v>46.5</v>
      </c>
      <c r="N763" s="48">
        <v>105.6</v>
      </c>
    </row>
    <row r="764" spans="1:14" ht="10.050000000000001" customHeight="1">
      <c r="A764" s="45" t="s">
        <v>87</v>
      </c>
      <c r="B764" s="46">
        <v>2020</v>
      </c>
      <c r="C764" s="45" t="s">
        <v>128</v>
      </c>
      <c r="D764" s="47">
        <v>11</v>
      </c>
      <c r="E764" s="48">
        <v>11749.7</v>
      </c>
      <c r="F764" s="48">
        <v>4434.3</v>
      </c>
      <c r="G764" s="48">
        <v>16184</v>
      </c>
      <c r="H764" s="48">
        <v>230946.4</v>
      </c>
      <c r="I764" s="48">
        <v>8947.5</v>
      </c>
      <c r="J764" s="48">
        <v>239893.9</v>
      </c>
      <c r="K764" s="48">
        <v>23549</v>
      </c>
      <c r="L764" s="48">
        <v>1085.7</v>
      </c>
      <c r="M764" s="48">
        <v>6197.4</v>
      </c>
      <c r="N764" s="48">
        <v>191.2</v>
      </c>
    </row>
    <row r="765" spans="1:14" ht="10.050000000000001" customHeight="1">
      <c r="A765" s="45" t="s">
        <v>127</v>
      </c>
      <c r="B765" s="46">
        <v>2020</v>
      </c>
      <c r="C765" s="45" t="s">
        <v>128</v>
      </c>
      <c r="D765" s="47">
        <v>11</v>
      </c>
      <c r="E765" s="48">
        <v>5270.7</v>
      </c>
      <c r="F765" s="48">
        <v>18.399999999999999</v>
      </c>
      <c r="G765" s="48">
        <v>5289.1</v>
      </c>
      <c r="H765" s="48">
        <v>30530.5</v>
      </c>
      <c r="I765" s="48">
        <v>3422.4</v>
      </c>
      <c r="J765" s="48">
        <v>33952.9</v>
      </c>
      <c r="K765" s="48">
        <v>830.8</v>
      </c>
      <c r="L765" s="48">
        <v>43.1</v>
      </c>
      <c r="M765" s="48">
        <v>47.2</v>
      </c>
      <c r="N765" s="48">
        <v>0</v>
      </c>
    </row>
    <row r="766" spans="1:14" ht="10.050000000000001" customHeight="1">
      <c r="A766" s="45" t="s">
        <v>84</v>
      </c>
      <c r="B766" s="46">
        <v>2020</v>
      </c>
      <c r="C766" s="45" t="s">
        <v>128</v>
      </c>
      <c r="D766" s="47">
        <v>12</v>
      </c>
      <c r="E766" s="48">
        <v>1505.2</v>
      </c>
      <c r="F766" s="48">
        <v>461</v>
      </c>
      <c r="G766" s="48">
        <v>1966.2</v>
      </c>
      <c r="H766" s="48">
        <v>38623.4</v>
      </c>
      <c r="I766" s="48">
        <v>3248.4</v>
      </c>
      <c r="J766" s="48">
        <v>41871.800000000003</v>
      </c>
      <c r="K766" s="48">
        <v>1996.2</v>
      </c>
      <c r="L766" s="48">
        <v>224.5</v>
      </c>
      <c r="M766" s="48">
        <v>743.2</v>
      </c>
      <c r="N766" s="48">
        <v>81.599999999999994</v>
      </c>
    </row>
    <row r="767" spans="1:14" ht="10.050000000000001" customHeight="1">
      <c r="A767" s="45" t="s">
        <v>86</v>
      </c>
      <c r="B767" s="46">
        <v>2020</v>
      </c>
      <c r="C767" s="45" t="s">
        <v>128</v>
      </c>
      <c r="D767" s="47">
        <v>12</v>
      </c>
      <c r="E767" s="48">
        <v>273.39999999999998</v>
      </c>
      <c r="F767" s="48">
        <v>186.9</v>
      </c>
      <c r="G767" s="48">
        <v>460.3</v>
      </c>
      <c r="H767" s="48">
        <v>21917.7</v>
      </c>
      <c r="I767" s="48">
        <v>632.1</v>
      </c>
      <c r="J767" s="48">
        <v>22549.8</v>
      </c>
      <c r="K767" s="48">
        <v>369.4</v>
      </c>
      <c r="L767" s="48">
        <v>193.4</v>
      </c>
      <c r="M767" s="48">
        <v>94.9</v>
      </c>
      <c r="N767" s="48">
        <v>37.299999999999997</v>
      </c>
    </row>
    <row r="768" spans="1:14" ht="10.050000000000001" customHeight="1">
      <c r="A768" s="45" t="s">
        <v>89</v>
      </c>
      <c r="B768" s="46">
        <v>2020</v>
      </c>
      <c r="C768" s="45" t="s">
        <v>128</v>
      </c>
      <c r="D768" s="47">
        <v>12</v>
      </c>
      <c r="E768" s="48">
        <v>180.1</v>
      </c>
      <c r="F768" s="48">
        <v>0</v>
      </c>
      <c r="G768" s="48">
        <v>180.1</v>
      </c>
      <c r="H768" s="48">
        <v>5027.8</v>
      </c>
      <c r="I768" s="48">
        <v>72.8</v>
      </c>
      <c r="J768" s="48">
        <v>5100.6000000000004</v>
      </c>
      <c r="K768" s="48">
        <v>148.5</v>
      </c>
      <c r="L768" s="48">
        <v>3.8</v>
      </c>
      <c r="M768" s="48">
        <v>59.1</v>
      </c>
      <c r="N768" s="48">
        <v>49.2</v>
      </c>
    </row>
    <row r="769" spans="1:14" ht="10.050000000000001" customHeight="1">
      <c r="A769" s="45" t="s">
        <v>87</v>
      </c>
      <c r="B769" s="46">
        <v>2020</v>
      </c>
      <c r="C769" s="45" t="s">
        <v>128</v>
      </c>
      <c r="D769" s="47">
        <v>12</v>
      </c>
      <c r="E769" s="48">
        <v>10295.6</v>
      </c>
      <c r="F769" s="48">
        <v>1518.9</v>
      </c>
      <c r="G769" s="48">
        <v>11814.5</v>
      </c>
      <c r="H769" s="48">
        <v>189810.6</v>
      </c>
      <c r="I769" s="48">
        <v>8987.1</v>
      </c>
      <c r="J769" s="48">
        <v>198797.7</v>
      </c>
      <c r="K769" s="48">
        <v>17843.400000000001</v>
      </c>
      <c r="L769" s="48">
        <v>894.5</v>
      </c>
      <c r="M769" s="48">
        <v>5749.1</v>
      </c>
      <c r="N769" s="48">
        <v>857.4</v>
      </c>
    </row>
    <row r="770" spans="1:14" ht="10.050000000000001" customHeight="1">
      <c r="A770" s="45" t="s">
        <v>127</v>
      </c>
      <c r="B770" s="46">
        <v>2020</v>
      </c>
      <c r="C770" s="45" t="s">
        <v>128</v>
      </c>
      <c r="D770" s="47">
        <v>12</v>
      </c>
      <c r="E770" s="48">
        <v>384.6</v>
      </c>
      <c r="F770" s="48">
        <v>67.2</v>
      </c>
      <c r="G770" s="48">
        <v>451.8</v>
      </c>
      <c r="H770" s="48">
        <v>30709.7</v>
      </c>
      <c r="I770" s="48">
        <v>3173.2</v>
      </c>
      <c r="J770" s="48">
        <v>33882.9</v>
      </c>
      <c r="K770" s="48">
        <v>1187.2</v>
      </c>
      <c r="L770" s="48">
        <v>386.3</v>
      </c>
      <c r="M770" s="48">
        <v>100.6</v>
      </c>
      <c r="N770" s="48">
        <v>0</v>
      </c>
    </row>
    <row r="771" spans="1:14" ht="10.050000000000001" customHeight="1">
      <c r="A771" s="45" t="s">
        <v>84</v>
      </c>
      <c r="B771" s="46">
        <v>2021</v>
      </c>
      <c r="C771" s="45" t="s">
        <v>128</v>
      </c>
      <c r="D771" s="47">
        <v>1</v>
      </c>
      <c r="E771" s="48">
        <v>1531.9</v>
      </c>
      <c r="F771" s="48">
        <v>221.4</v>
      </c>
      <c r="G771" s="48">
        <v>1753.3</v>
      </c>
      <c r="H771" s="48">
        <v>36718.400000000001</v>
      </c>
      <c r="I771" s="48">
        <v>2857</v>
      </c>
      <c r="J771" s="48">
        <v>39575.4</v>
      </c>
      <c r="K771" s="48">
        <v>1538.9</v>
      </c>
      <c r="L771" s="48">
        <v>267.60000000000002</v>
      </c>
      <c r="M771" s="48">
        <v>578.4</v>
      </c>
      <c r="N771" s="48">
        <v>149.69999999999999</v>
      </c>
    </row>
    <row r="772" spans="1:14" ht="10.050000000000001" customHeight="1">
      <c r="A772" s="45" t="s">
        <v>86</v>
      </c>
      <c r="B772" s="46">
        <v>2021</v>
      </c>
      <c r="C772" s="45" t="s">
        <v>128</v>
      </c>
      <c r="D772" s="47">
        <v>1</v>
      </c>
      <c r="E772" s="48">
        <v>202.4</v>
      </c>
      <c r="F772" s="48">
        <v>198.5</v>
      </c>
      <c r="G772" s="48">
        <v>400.9</v>
      </c>
      <c r="H772" s="48">
        <v>20335.7</v>
      </c>
      <c r="I772" s="48">
        <v>379</v>
      </c>
      <c r="J772" s="48">
        <v>20714.7</v>
      </c>
      <c r="K772" s="48">
        <v>324.7</v>
      </c>
      <c r="L772" s="48">
        <v>12.9</v>
      </c>
      <c r="M772" s="48">
        <v>54.9</v>
      </c>
      <c r="N772" s="48">
        <v>2.7</v>
      </c>
    </row>
    <row r="773" spans="1:14" ht="10.050000000000001" customHeight="1">
      <c r="A773" s="45" t="s">
        <v>89</v>
      </c>
      <c r="B773" s="46">
        <v>2021</v>
      </c>
      <c r="C773" s="45" t="s">
        <v>128</v>
      </c>
      <c r="D773" s="47">
        <v>1</v>
      </c>
      <c r="E773" s="48">
        <v>5.6</v>
      </c>
      <c r="F773" s="48">
        <v>35.4</v>
      </c>
      <c r="G773" s="48">
        <v>41</v>
      </c>
      <c r="H773" s="48">
        <v>4185.7</v>
      </c>
      <c r="I773" s="48">
        <v>41.1</v>
      </c>
      <c r="J773" s="48">
        <v>4226.8</v>
      </c>
      <c r="K773" s="48">
        <v>150</v>
      </c>
      <c r="L773" s="48">
        <v>25.9</v>
      </c>
      <c r="M773" s="48">
        <v>5.6</v>
      </c>
      <c r="N773" s="48">
        <v>18.8</v>
      </c>
    </row>
    <row r="774" spans="1:14" ht="10.050000000000001" customHeight="1">
      <c r="A774" s="45" t="s">
        <v>87</v>
      </c>
      <c r="B774" s="46">
        <v>2021</v>
      </c>
      <c r="C774" s="45" t="s">
        <v>128</v>
      </c>
      <c r="D774" s="47">
        <v>1</v>
      </c>
      <c r="E774" s="48">
        <v>9883</v>
      </c>
      <c r="F774" s="48">
        <v>1915.7</v>
      </c>
      <c r="G774" s="48">
        <v>11798.7</v>
      </c>
      <c r="H774" s="48">
        <v>161920.1</v>
      </c>
      <c r="I774" s="48">
        <v>8181.2</v>
      </c>
      <c r="J774" s="48">
        <v>170101.3</v>
      </c>
      <c r="K774" s="48">
        <v>13875.3</v>
      </c>
      <c r="L774" s="48">
        <v>1434.9</v>
      </c>
      <c r="M774" s="48">
        <v>4390.3</v>
      </c>
      <c r="N774" s="48">
        <v>1008.3</v>
      </c>
    </row>
    <row r="775" spans="1:14" ht="10.050000000000001" customHeight="1">
      <c r="A775" s="45" t="s">
        <v>127</v>
      </c>
      <c r="B775" s="46">
        <v>2021</v>
      </c>
      <c r="C775" s="45" t="s">
        <v>128</v>
      </c>
      <c r="D775" s="47">
        <v>1</v>
      </c>
      <c r="E775" s="48">
        <v>4090.3</v>
      </c>
      <c r="F775" s="48">
        <v>0</v>
      </c>
      <c r="G775" s="48">
        <v>4090.3</v>
      </c>
      <c r="H775" s="48">
        <v>32008.5</v>
      </c>
      <c r="I775" s="48">
        <v>2504.4</v>
      </c>
      <c r="J775" s="48">
        <v>34512.9</v>
      </c>
      <c r="K775" s="48">
        <v>1100.2</v>
      </c>
      <c r="L775" s="48">
        <v>0</v>
      </c>
      <c r="M775" s="48">
        <v>69.3</v>
      </c>
      <c r="N775" s="48">
        <v>2.1</v>
      </c>
    </row>
    <row r="776" spans="1:14" ht="10.050000000000001" customHeight="1">
      <c r="A776" s="45" t="s">
        <v>84</v>
      </c>
      <c r="B776" s="46">
        <v>2021</v>
      </c>
      <c r="C776" s="45" t="s">
        <v>128</v>
      </c>
      <c r="D776" s="47">
        <v>2</v>
      </c>
      <c r="E776" s="48">
        <v>1426.2</v>
      </c>
      <c r="F776" s="48">
        <v>52.9</v>
      </c>
      <c r="G776" s="48">
        <v>1479.1</v>
      </c>
      <c r="H776" s="48">
        <v>34014.9</v>
      </c>
      <c r="I776" s="48">
        <v>2456.9</v>
      </c>
      <c r="J776" s="48">
        <v>36471.800000000003</v>
      </c>
      <c r="K776" s="48">
        <v>1320.1</v>
      </c>
      <c r="L776" s="48">
        <v>240.1</v>
      </c>
      <c r="M776" s="48">
        <v>403.6</v>
      </c>
      <c r="N776" s="48">
        <v>64.599999999999994</v>
      </c>
    </row>
    <row r="777" spans="1:14" ht="10.050000000000001" customHeight="1">
      <c r="A777" s="45" t="s">
        <v>86</v>
      </c>
      <c r="B777" s="46">
        <v>2021</v>
      </c>
      <c r="C777" s="45" t="s">
        <v>128</v>
      </c>
      <c r="D777" s="47">
        <v>2</v>
      </c>
      <c r="E777" s="48">
        <v>113.7</v>
      </c>
      <c r="F777" s="48">
        <v>174.3</v>
      </c>
      <c r="G777" s="48">
        <v>288</v>
      </c>
      <c r="H777" s="48">
        <v>18198.099999999999</v>
      </c>
      <c r="I777" s="48">
        <v>259.2</v>
      </c>
      <c r="J777" s="48">
        <v>18457.3</v>
      </c>
      <c r="K777" s="48">
        <v>315.3</v>
      </c>
      <c r="L777" s="48">
        <v>0</v>
      </c>
      <c r="M777" s="48">
        <v>4.4000000000000004</v>
      </c>
      <c r="N777" s="48">
        <v>9.3000000000000007</v>
      </c>
    </row>
    <row r="778" spans="1:14" ht="10.050000000000001" customHeight="1">
      <c r="A778" s="45" t="s">
        <v>89</v>
      </c>
      <c r="B778" s="46">
        <v>2021</v>
      </c>
      <c r="C778" s="45" t="s">
        <v>128</v>
      </c>
      <c r="D778" s="47">
        <v>2</v>
      </c>
      <c r="E778" s="48">
        <v>0</v>
      </c>
      <c r="F778" s="48">
        <v>26.4</v>
      </c>
      <c r="G778" s="48">
        <v>26.4</v>
      </c>
      <c r="H778" s="48">
        <v>3688.2</v>
      </c>
      <c r="I778" s="48">
        <v>13.5</v>
      </c>
      <c r="J778" s="48">
        <v>3701.7</v>
      </c>
      <c r="K778" s="48">
        <v>119.1</v>
      </c>
      <c r="L778" s="48">
        <v>0</v>
      </c>
      <c r="M778" s="48">
        <v>0</v>
      </c>
      <c r="N778" s="48">
        <v>30.9</v>
      </c>
    </row>
    <row r="779" spans="1:14" ht="10.050000000000001" customHeight="1">
      <c r="A779" s="45" t="s">
        <v>87</v>
      </c>
      <c r="B779" s="46">
        <v>2021</v>
      </c>
      <c r="C779" s="45" t="s">
        <v>128</v>
      </c>
      <c r="D779" s="47">
        <v>2</v>
      </c>
      <c r="E779" s="48">
        <v>8615.7999999999993</v>
      </c>
      <c r="F779" s="48">
        <v>460.9</v>
      </c>
      <c r="G779" s="48">
        <v>9076.7000000000007</v>
      </c>
      <c r="H779" s="48">
        <v>139242.29999999999</v>
      </c>
      <c r="I779" s="48">
        <v>4694.5</v>
      </c>
      <c r="J779" s="48">
        <v>143936.79999999999</v>
      </c>
      <c r="K779" s="48">
        <v>11442.7</v>
      </c>
      <c r="L779" s="48">
        <v>1354.6</v>
      </c>
      <c r="M779" s="48">
        <v>3386.5</v>
      </c>
      <c r="N779" s="48">
        <v>401.7</v>
      </c>
    </row>
    <row r="780" spans="1:14" ht="10.050000000000001" customHeight="1">
      <c r="A780" s="45" t="s">
        <v>127</v>
      </c>
      <c r="B780" s="46">
        <v>2021</v>
      </c>
      <c r="C780" s="45" t="s">
        <v>128</v>
      </c>
      <c r="D780" s="47">
        <v>2</v>
      </c>
      <c r="E780" s="48">
        <v>531.79999999999995</v>
      </c>
      <c r="F780" s="48">
        <v>0</v>
      </c>
      <c r="G780" s="48">
        <v>531.79999999999995</v>
      </c>
      <c r="H780" s="48">
        <v>30182.6</v>
      </c>
      <c r="I780" s="48">
        <v>2395.6999999999998</v>
      </c>
      <c r="J780" s="48">
        <v>32578.3</v>
      </c>
      <c r="K780" s="48">
        <v>729.6</v>
      </c>
      <c r="L780" s="48">
        <v>0</v>
      </c>
      <c r="M780" s="48">
        <v>365.9</v>
      </c>
      <c r="N780" s="48">
        <v>2.6</v>
      </c>
    </row>
    <row r="781" spans="1:14" ht="10.050000000000001" customHeight="1">
      <c r="A781" s="45" t="s">
        <v>84</v>
      </c>
      <c r="B781" s="46">
        <v>2021</v>
      </c>
      <c r="C781" s="45" t="s">
        <v>128</v>
      </c>
      <c r="D781" s="47">
        <v>3</v>
      </c>
      <c r="E781" s="48">
        <v>1123</v>
      </c>
      <c r="F781" s="48">
        <v>76</v>
      </c>
      <c r="G781" s="48">
        <v>1199</v>
      </c>
      <c r="H781" s="48">
        <v>30077.1</v>
      </c>
      <c r="I781" s="48">
        <v>2054.5</v>
      </c>
      <c r="J781" s="48">
        <v>32131.599999999999</v>
      </c>
      <c r="K781" s="48">
        <v>976.2</v>
      </c>
      <c r="L781" s="48">
        <v>84.7</v>
      </c>
      <c r="M781" s="48">
        <v>301.10000000000002</v>
      </c>
      <c r="N781" s="48">
        <v>127.1</v>
      </c>
    </row>
    <row r="782" spans="1:14" ht="10.050000000000001" customHeight="1">
      <c r="A782" s="45" t="s">
        <v>86</v>
      </c>
      <c r="B782" s="46">
        <v>2021</v>
      </c>
      <c r="C782" s="45" t="s">
        <v>128</v>
      </c>
      <c r="D782" s="47">
        <v>3</v>
      </c>
      <c r="E782" s="48">
        <v>172</v>
      </c>
      <c r="F782" s="48">
        <v>37.9</v>
      </c>
      <c r="G782" s="48">
        <v>209.9</v>
      </c>
      <c r="H782" s="48">
        <v>14956</v>
      </c>
      <c r="I782" s="48">
        <v>158.5</v>
      </c>
      <c r="J782" s="48">
        <v>15114.5</v>
      </c>
      <c r="K782" s="48">
        <v>189.5</v>
      </c>
      <c r="L782" s="48">
        <v>0</v>
      </c>
      <c r="M782" s="48">
        <v>13.8</v>
      </c>
      <c r="N782" s="48">
        <v>111.9</v>
      </c>
    </row>
    <row r="783" spans="1:14" ht="10.050000000000001" customHeight="1">
      <c r="A783" s="45" t="s">
        <v>89</v>
      </c>
      <c r="B783" s="46">
        <v>2021</v>
      </c>
      <c r="C783" s="45" t="s">
        <v>128</v>
      </c>
      <c r="D783" s="47">
        <v>3</v>
      </c>
      <c r="E783" s="48">
        <v>96.9</v>
      </c>
      <c r="F783" s="48">
        <v>10.1</v>
      </c>
      <c r="G783" s="48">
        <v>107</v>
      </c>
      <c r="H783" s="48">
        <v>2970.9</v>
      </c>
      <c r="I783" s="48">
        <v>31.9</v>
      </c>
      <c r="J783" s="48">
        <v>3002.8</v>
      </c>
      <c r="K783" s="48">
        <v>85.9</v>
      </c>
      <c r="L783" s="48">
        <v>72.8</v>
      </c>
      <c r="M783" s="48">
        <v>86.1</v>
      </c>
      <c r="N783" s="48">
        <v>19.899999999999999</v>
      </c>
    </row>
    <row r="784" spans="1:14" ht="10.050000000000001" customHeight="1">
      <c r="A784" s="45" t="s">
        <v>87</v>
      </c>
      <c r="B784" s="46">
        <v>2021</v>
      </c>
      <c r="C784" s="45" t="s">
        <v>128</v>
      </c>
      <c r="D784" s="47">
        <v>3</v>
      </c>
      <c r="E784" s="48">
        <v>10277.1</v>
      </c>
      <c r="F784" s="48">
        <v>342.1</v>
      </c>
      <c r="G784" s="48">
        <v>10619.2</v>
      </c>
      <c r="H784" s="48">
        <v>102466.5</v>
      </c>
      <c r="I784" s="48">
        <v>4116.2</v>
      </c>
      <c r="J784" s="48">
        <v>106582.7</v>
      </c>
      <c r="K784" s="48">
        <v>8690.6</v>
      </c>
      <c r="L784" s="48">
        <v>1519.7</v>
      </c>
      <c r="M784" s="48">
        <v>4034.2</v>
      </c>
      <c r="N784" s="48">
        <v>226.2</v>
      </c>
    </row>
    <row r="785" spans="1:14" ht="10.050000000000001" customHeight="1">
      <c r="A785" s="45" t="s">
        <v>127</v>
      </c>
      <c r="B785" s="46">
        <v>2021</v>
      </c>
      <c r="C785" s="45" t="s">
        <v>128</v>
      </c>
      <c r="D785" s="47">
        <v>3</v>
      </c>
      <c r="E785" s="48">
        <v>367</v>
      </c>
      <c r="F785" s="48">
        <v>0</v>
      </c>
      <c r="G785" s="48">
        <v>367</v>
      </c>
      <c r="H785" s="48">
        <v>28757</v>
      </c>
      <c r="I785" s="48">
        <v>1700.6</v>
      </c>
      <c r="J785" s="48">
        <v>30457.599999999999</v>
      </c>
      <c r="K785" s="48">
        <v>495.6</v>
      </c>
      <c r="L785" s="48">
        <v>7.2</v>
      </c>
      <c r="M785" s="48">
        <v>238.1</v>
      </c>
      <c r="N785" s="48">
        <v>3.1</v>
      </c>
    </row>
    <row r="786" spans="1:14" ht="10.050000000000001" customHeight="1">
      <c r="A786" s="45" t="s">
        <v>84</v>
      </c>
      <c r="B786" s="46">
        <v>2021</v>
      </c>
      <c r="C786" s="45" t="s">
        <v>128</v>
      </c>
      <c r="D786" s="47">
        <v>4</v>
      </c>
      <c r="E786" s="48">
        <v>942.5</v>
      </c>
      <c r="F786" s="48">
        <v>28.4</v>
      </c>
      <c r="G786" s="48">
        <v>970.9</v>
      </c>
      <c r="H786" s="48">
        <v>25005.200000000001</v>
      </c>
      <c r="I786" s="48">
        <v>1703.5</v>
      </c>
      <c r="J786" s="48">
        <v>26708.7</v>
      </c>
      <c r="K786" s="48">
        <v>849.2</v>
      </c>
      <c r="L786" s="48">
        <v>135.9</v>
      </c>
      <c r="M786" s="48">
        <v>259.5</v>
      </c>
      <c r="N786" s="48">
        <v>19.399999999999999</v>
      </c>
    </row>
    <row r="787" spans="1:14" ht="10.050000000000001" customHeight="1">
      <c r="A787" s="45" t="s">
        <v>86</v>
      </c>
      <c r="B787" s="46">
        <v>2021</v>
      </c>
      <c r="C787" s="45" t="s">
        <v>128</v>
      </c>
      <c r="D787" s="47">
        <v>4</v>
      </c>
      <c r="E787" s="48">
        <v>108.2</v>
      </c>
      <c r="F787" s="48">
        <v>21.7</v>
      </c>
      <c r="G787" s="48">
        <v>129.9</v>
      </c>
      <c r="H787" s="48">
        <v>13286.6</v>
      </c>
      <c r="I787" s="48">
        <v>166.7</v>
      </c>
      <c r="J787" s="48">
        <v>13453.3</v>
      </c>
      <c r="K787" s="48">
        <v>102.3</v>
      </c>
      <c r="L787" s="48">
        <v>4.2</v>
      </c>
      <c r="M787" s="48">
        <v>4.2</v>
      </c>
      <c r="N787" s="48">
        <v>87.1</v>
      </c>
    </row>
    <row r="788" spans="1:14" ht="10.050000000000001" customHeight="1">
      <c r="A788" s="45" t="s">
        <v>89</v>
      </c>
      <c r="B788" s="46">
        <v>2021</v>
      </c>
      <c r="C788" s="45" t="s">
        <v>128</v>
      </c>
      <c r="D788" s="47">
        <v>4</v>
      </c>
      <c r="E788" s="48">
        <v>42.8</v>
      </c>
      <c r="F788" s="48">
        <v>2.4</v>
      </c>
      <c r="G788" s="48">
        <v>45.2</v>
      </c>
      <c r="H788" s="48">
        <v>2580.4</v>
      </c>
      <c r="I788" s="48">
        <v>31.1</v>
      </c>
      <c r="J788" s="48">
        <v>2611.5</v>
      </c>
      <c r="K788" s="48">
        <v>114.9</v>
      </c>
      <c r="L788" s="48">
        <v>71.8</v>
      </c>
      <c r="M788" s="48">
        <v>42.8</v>
      </c>
      <c r="N788" s="48">
        <v>0</v>
      </c>
    </row>
    <row r="789" spans="1:14" ht="10.050000000000001" customHeight="1">
      <c r="A789" s="45" t="s">
        <v>87</v>
      </c>
      <c r="B789" s="46">
        <v>2021</v>
      </c>
      <c r="C789" s="45" t="s">
        <v>128</v>
      </c>
      <c r="D789" s="47">
        <v>4</v>
      </c>
      <c r="E789" s="48">
        <v>7256.2</v>
      </c>
      <c r="F789" s="48">
        <v>3.7</v>
      </c>
      <c r="G789" s="48">
        <v>7259.9</v>
      </c>
      <c r="H789" s="48">
        <v>79532.399999999994</v>
      </c>
      <c r="I789" s="48">
        <v>3466.9</v>
      </c>
      <c r="J789" s="48">
        <v>82999.3</v>
      </c>
      <c r="K789" s="48">
        <v>6058.7</v>
      </c>
      <c r="L789" s="48">
        <v>741.8</v>
      </c>
      <c r="M789" s="48">
        <v>3221.2</v>
      </c>
      <c r="N789" s="48">
        <v>169.9</v>
      </c>
    </row>
    <row r="790" spans="1:14" ht="10.050000000000001" customHeight="1">
      <c r="A790" s="45" t="s">
        <v>127</v>
      </c>
      <c r="B790" s="46">
        <v>2021</v>
      </c>
      <c r="C790" s="45" t="s">
        <v>128</v>
      </c>
      <c r="D790" s="47">
        <v>4</v>
      </c>
      <c r="E790" s="48">
        <v>194.1</v>
      </c>
      <c r="F790" s="48">
        <v>0</v>
      </c>
      <c r="G790" s="48">
        <v>194.1</v>
      </c>
      <c r="H790" s="48">
        <v>27754.400000000001</v>
      </c>
      <c r="I790" s="48">
        <v>1620.5</v>
      </c>
      <c r="J790" s="48">
        <v>29374.9</v>
      </c>
      <c r="K790" s="48">
        <v>473.6</v>
      </c>
      <c r="L790" s="48">
        <v>6.7</v>
      </c>
      <c r="M790" s="48">
        <v>0</v>
      </c>
      <c r="N790" s="48">
        <v>28.7</v>
      </c>
    </row>
    <row r="791" spans="1:14" ht="10.050000000000001" customHeight="1">
      <c r="A791" s="45" t="s">
        <v>84</v>
      </c>
      <c r="B791" s="46">
        <v>2021</v>
      </c>
      <c r="C791" s="45" t="s">
        <v>128</v>
      </c>
      <c r="D791" s="47">
        <v>5</v>
      </c>
      <c r="E791" s="48">
        <v>1290.9000000000001</v>
      </c>
      <c r="F791" s="48">
        <v>0</v>
      </c>
      <c r="G791" s="48">
        <v>1290.9000000000001</v>
      </c>
      <c r="H791" s="48">
        <v>20620</v>
      </c>
      <c r="I791" s="48">
        <v>1431.8</v>
      </c>
      <c r="J791" s="48">
        <v>22051.8</v>
      </c>
      <c r="K791" s="48">
        <v>420.9</v>
      </c>
      <c r="L791" s="48">
        <v>104.7</v>
      </c>
      <c r="M791" s="48">
        <v>504.5</v>
      </c>
      <c r="N791" s="48">
        <v>29</v>
      </c>
    </row>
    <row r="792" spans="1:14" ht="10.050000000000001" customHeight="1">
      <c r="A792" s="45" t="s">
        <v>86</v>
      </c>
      <c r="B792" s="46">
        <v>2021</v>
      </c>
      <c r="C792" s="45" t="s">
        <v>128</v>
      </c>
      <c r="D792" s="47">
        <v>5</v>
      </c>
      <c r="E792" s="48">
        <v>140.5</v>
      </c>
      <c r="F792" s="48">
        <v>0</v>
      </c>
      <c r="G792" s="48">
        <v>140.5</v>
      </c>
      <c r="H792" s="48">
        <v>12033.8</v>
      </c>
      <c r="I792" s="48">
        <v>135.19999999999999</v>
      </c>
      <c r="J792" s="48">
        <v>12169</v>
      </c>
      <c r="K792" s="48">
        <v>147.4</v>
      </c>
      <c r="L792" s="48">
        <v>51.1</v>
      </c>
      <c r="M792" s="48">
        <v>4</v>
      </c>
      <c r="N792" s="48">
        <v>2.1</v>
      </c>
    </row>
    <row r="793" spans="1:14" ht="10.050000000000001" customHeight="1">
      <c r="A793" s="45" t="s">
        <v>89</v>
      </c>
      <c r="B793" s="46">
        <v>2021</v>
      </c>
      <c r="C793" s="45" t="s">
        <v>128</v>
      </c>
      <c r="D793" s="47">
        <v>5</v>
      </c>
      <c r="E793" s="48">
        <v>3.7</v>
      </c>
      <c r="F793" s="48">
        <v>0</v>
      </c>
      <c r="G793" s="48">
        <v>3.7</v>
      </c>
      <c r="H793" s="48">
        <v>2174.3000000000002</v>
      </c>
      <c r="I793" s="48">
        <v>28.1</v>
      </c>
      <c r="J793" s="48">
        <v>2202.4</v>
      </c>
      <c r="K793" s="48">
        <v>111</v>
      </c>
      <c r="L793" s="48">
        <v>33.700000000000003</v>
      </c>
      <c r="M793" s="48">
        <v>0</v>
      </c>
      <c r="N793" s="48">
        <v>37.6</v>
      </c>
    </row>
    <row r="794" spans="1:14" ht="10.050000000000001" customHeight="1">
      <c r="A794" s="45" t="s">
        <v>87</v>
      </c>
      <c r="B794" s="46">
        <v>2021</v>
      </c>
      <c r="C794" s="45" t="s">
        <v>128</v>
      </c>
      <c r="D794" s="47">
        <v>5</v>
      </c>
      <c r="E794" s="48">
        <v>5830.7</v>
      </c>
      <c r="F794" s="48">
        <v>13.8</v>
      </c>
      <c r="G794" s="48">
        <v>5844.5</v>
      </c>
      <c r="H794" s="48">
        <v>58279.4</v>
      </c>
      <c r="I794" s="48">
        <v>3374.9</v>
      </c>
      <c r="J794" s="48">
        <v>61654.3</v>
      </c>
      <c r="K794" s="48">
        <v>1842.2</v>
      </c>
      <c r="L794" s="48">
        <v>-556.6</v>
      </c>
      <c r="M794" s="48">
        <v>3208.8</v>
      </c>
      <c r="N794" s="48">
        <v>439.2</v>
      </c>
    </row>
    <row r="795" spans="1:14" ht="10.050000000000001" customHeight="1">
      <c r="A795" s="45" t="s">
        <v>127</v>
      </c>
      <c r="B795" s="46">
        <v>2021</v>
      </c>
      <c r="C795" s="45" t="s">
        <v>128</v>
      </c>
      <c r="D795" s="47">
        <v>5</v>
      </c>
      <c r="E795" s="48">
        <v>75.2</v>
      </c>
      <c r="F795" s="48">
        <v>0</v>
      </c>
      <c r="G795" s="48">
        <v>75.2</v>
      </c>
      <c r="H795" s="48">
        <v>26646.6</v>
      </c>
      <c r="I795" s="48">
        <v>1619.4</v>
      </c>
      <c r="J795" s="48">
        <v>28266</v>
      </c>
      <c r="K795" s="48">
        <v>476.5</v>
      </c>
      <c r="L795" s="48">
        <v>10.1</v>
      </c>
      <c r="M795" s="48">
        <v>7.2</v>
      </c>
      <c r="N795" s="48">
        <v>0</v>
      </c>
    </row>
    <row r="796" spans="1:14" ht="10.050000000000001" customHeight="1">
      <c r="A796" s="45" t="s">
        <v>84</v>
      </c>
      <c r="B796" s="46">
        <v>2021</v>
      </c>
      <c r="C796" s="45" t="s">
        <v>128</v>
      </c>
      <c r="D796" s="47">
        <v>6</v>
      </c>
      <c r="E796" s="48">
        <v>1281.8</v>
      </c>
      <c r="F796" s="48">
        <v>17.600000000000001</v>
      </c>
      <c r="G796" s="48">
        <v>1299.4000000000001</v>
      </c>
      <c r="H796" s="48">
        <v>12671.5</v>
      </c>
      <c r="I796" s="48">
        <v>998.9</v>
      </c>
      <c r="J796" s="48">
        <v>13670.4</v>
      </c>
      <c r="K796" s="48">
        <v>282.39999999999998</v>
      </c>
      <c r="L796" s="48">
        <v>89.8</v>
      </c>
      <c r="M796" s="48">
        <v>133.6</v>
      </c>
      <c r="N796" s="48">
        <v>94.7</v>
      </c>
    </row>
    <row r="797" spans="1:14" ht="10.050000000000001" customHeight="1">
      <c r="A797" s="45" t="s">
        <v>86</v>
      </c>
      <c r="B797" s="46">
        <v>2021</v>
      </c>
      <c r="C797" s="45" t="s">
        <v>128</v>
      </c>
      <c r="D797" s="47">
        <v>6</v>
      </c>
      <c r="E797" s="48">
        <v>485.9</v>
      </c>
      <c r="F797" s="48">
        <v>0</v>
      </c>
      <c r="G797" s="48">
        <v>485.9</v>
      </c>
      <c r="H797" s="48">
        <v>7187.4</v>
      </c>
      <c r="I797" s="48">
        <v>144.80000000000001</v>
      </c>
      <c r="J797" s="48">
        <v>7332.2</v>
      </c>
      <c r="K797" s="48">
        <v>157.5</v>
      </c>
      <c r="L797" s="48">
        <v>164</v>
      </c>
      <c r="M797" s="48">
        <v>16</v>
      </c>
      <c r="N797" s="48">
        <v>144.19999999999999</v>
      </c>
    </row>
    <row r="798" spans="1:14" ht="10.050000000000001" customHeight="1">
      <c r="A798" s="45" t="s">
        <v>89</v>
      </c>
      <c r="B798" s="46">
        <v>2021</v>
      </c>
      <c r="C798" s="45" t="s">
        <v>128</v>
      </c>
      <c r="D798" s="47">
        <v>6</v>
      </c>
      <c r="E798" s="48">
        <v>15.1</v>
      </c>
      <c r="F798" s="48">
        <v>4.5999999999999996</v>
      </c>
      <c r="G798" s="48">
        <v>19.7</v>
      </c>
      <c r="H798" s="48">
        <v>1694.5</v>
      </c>
      <c r="I798" s="48">
        <v>400</v>
      </c>
      <c r="J798" s="48">
        <v>2094.5</v>
      </c>
      <c r="K798" s="48">
        <v>64.099999999999994</v>
      </c>
      <c r="L798" s="48">
        <v>247.4</v>
      </c>
      <c r="M798" s="48">
        <v>15.1</v>
      </c>
      <c r="N798" s="48">
        <v>279.2</v>
      </c>
    </row>
    <row r="799" spans="1:14" ht="10.050000000000001" customHeight="1">
      <c r="A799" s="45" t="s">
        <v>87</v>
      </c>
      <c r="B799" s="46">
        <v>2021</v>
      </c>
      <c r="C799" s="45" t="s">
        <v>128</v>
      </c>
      <c r="D799" s="47">
        <v>6</v>
      </c>
      <c r="E799" s="48">
        <v>3530</v>
      </c>
      <c r="F799" s="48">
        <v>138.5</v>
      </c>
      <c r="G799" s="48">
        <v>3668.5</v>
      </c>
      <c r="H799" s="48">
        <v>30729.3</v>
      </c>
      <c r="I799" s="48">
        <v>2906.6</v>
      </c>
      <c r="J799" s="48">
        <v>33635.9</v>
      </c>
      <c r="K799" s="48">
        <v>692</v>
      </c>
      <c r="L799" s="48">
        <v>766.4</v>
      </c>
      <c r="M799" s="48">
        <v>1129.4000000000001</v>
      </c>
      <c r="N799" s="48">
        <v>820</v>
      </c>
    </row>
    <row r="800" spans="1:14" ht="10.050000000000001" customHeight="1">
      <c r="A800" s="45" t="s">
        <v>127</v>
      </c>
      <c r="B800" s="46">
        <v>2021</v>
      </c>
      <c r="C800" s="45" t="s">
        <v>128</v>
      </c>
      <c r="D800" s="47">
        <v>6</v>
      </c>
      <c r="E800" s="48">
        <v>998.2</v>
      </c>
      <c r="F800" s="48">
        <v>10.7</v>
      </c>
      <c r="G800" s="48">
        <v>1008.9</v>
      </c>
      <c r="H800" s="48">
        <v>21049.200000000001</v>
      </c>
      <c r="I800" s="48">
        <v>1905.3</v>
      </c>
      <c r="J800" s="48">
        <v>22954.5</v>
      </c>
      <c r="K800" s="48">
        <v>11.9</v>
      </c>
      <c r="L800" s="48">
        <v>6.3</v>
      </c>
      <c r="M800" s="48">
        <v>470.8</v>
      </c>
      <c r="N800" s="48">
        <v>0</v>
      </c>
    </row>
    <row r="801" spans="1:14" ht="10.050000000000001" customHeight="1">
      <c r="A801" s="45" t="s">
        <v>84</v>
      </c>
      <c r="B801" s="46">
        <v>2021</v>
      </c>
      <c r="C801" s="45" t="s">
        <v>129</v>
      </c>
      <c r="D801" s="47">
        <v>7</v>
      </c>
      <c r="E801" s="48">
        <v>18062</v>
      </c>
      <c r="F801" s="48">
        <v>185.8</v>
      </c>
      <c r="G801" s="48">
        <v>18247.8</v>
      </c>
      <c r="H801" s="48">
        <v>26540.9</v>
      </c>
      <c r="I801" s="48">
        <v>1075.4000000000001</v>
      </c>
      <c r="J801" s="48">
        <v>27616.3</v>
      </c>
      <c r="K801" s="48">
        <v>6696.4</v>
      </c>
      <c r="L801" s="48">
        <v>7102.1</v>
      </c>
      <c r="M801" s="48">
        <v>651.5</v>
      </c>
      <c r="N801" s="48">
        <v>37</v>
      </c>
    </row>
    <row r="802" spans="1:14" ht="10.050000000000001" customHeight="1">
      <c r="A802" s="45" t="s">
        <v>86</v>
      </c>
      <c r="B802" s="46">
        <v>2021</v>
      </c>
      <c r="C802" s="45" t="s">
        <v>129</v>
      </c>
      <c r="D802" s="47">
        <v>7</v>
      </c>
      <c r="E802" s="48">
        <v>712.4</v>
      </c>
      <c r="F802" s="48">
        <v>0</v>
      </c>
      <c r="G802" s="48">
        <v>712.4</v>
      </c>
      <c r="H802" s="48">
        <v>6826.8</v>
      </c>
      <c r="I802" s="48">
        <v>127.3</v>
      </c>
      <c r="J802" s="48">
        <v>6954.1</v>
      </c>
      <c r="K802" s="48">
        <v>171.2</v>
      </c>
      <c r="L802" s="48">
        <v>114.9</v>
      </c>
      <c r="M802" s="48">
        <v>0</v>
      </c>
      <c r="N802" s="48">
        <v>101.2</v>
      </c>
    </row>
    <row r="803" spans="1:14" ht="10.050000000000001" customHeight="1">
      <c r="A803" s="45" t="s">
        <v>89</v>
      </c>
      <c r="B803" s="46">
        <v>2021</v>
      </c>
      <c r="C803" s="45" t="s">
        <v>129</v>
      </c>
      <c r="D803" s="47">
        <v>7</v>
      </c>
      <c r="E803" s="48">
        <v>214.8</v>
      </c>
      <c r="F803" s="48">
        <v>0</v>
      </c>
      <c r="G803" s="48">
        <v>214.8</v>
      </c>
      <c r="H803" s="48">
        <v>1302.4000000000001</v>
      </c>
      <c r="I803" s="48">
        <v>399.8</v>
      </c>
      <c r="J803" s="48">
        <v>1702.2</v>
      </c>
      <c r="K803" s="48">
        <v>71.3</v>
      </c>
      <c r="L803" s="48">
        <v>32.6</v>
      </c>
      <c r="M803" s="48">
        <v>3.5</v>
      </c>
      <c r="N803" s="48">
        <v>21.9</v>
      </c>
    </row>
    <row r="804" spans="1:14" ht="10.050000000000001" customHeight="1">
      <c r="A804" s="45" t="s">
        <v>87</v>
      </c>
      <c r="B804" s="46">
        <v>2021</v>
      </c>
      <c r="C804" s="45" t="s">
        <v>129</v>
      </c>
      <c r="D804" s="47">
        <v>7</v>
      </c>
      <c r="E804" s="48">
        <v>228905.3</v>
      </c>
      <c r="F804" s="48">
        <v>4517.3999999999996</v>
      </c>
      <c r="G804" s="48">
        <v>233422.7</v>
      </c>
      <c r="H804" s="48">
        <v>238116.5</v>
      </c>
      <c r="I804" s="48">
        <v>5918.6</v>
      </c>
      <c r="J804" s="48">
        <v>244035.1</v>
      </c>
      <c r="K804" s="48">
        <v>70377.399999999994</v>
      </c>
      <c r="L804" s="48">
        <v>84434.1</v>
      </c>
      <c r="M804" s="48">
        <v>14531.9</v>
      </c>
      <c r="N804" s="48">
        <v>191.2</v>
      </c>
    </row>
    <row r="805" spans="1:14" ht="10.050000000000001" customHeight="1">
      <c r="A805" s="45" t="s">
        <v>127</v>
      </c>
      <c r="B805" s="46">
        <v>2021</v>
      </c>
      <c r="C805" s="45" t="s">
        <v>129</v>
      </c>
      <c r="D805" s="47">
        <v>7</v>
      </c>
      <c r="E805" s="48">
        <v>496.2</v>
      </c>
      <c r="F805" s="48">
        <v>935.9</v>
      </c>
      <c r="G805" s="48">
        <v>1432.1</v>
      </c>
      <c r="H805" s="48">
        <v>21033.599999999999</v>
      </c>
      <c r="I805" s="48">
        <v>2787.8</v>
      </c>
      <c r="J805" s="48">
        <v>23821.4</v>
      </c>
      <c r="K805" s="48">
        <v>62.7</v>
      </c>
      <c r="L805" s="48">
        <v>109.7</v>
      </c>
      <c r="M805" s="48">
        <v>0</v>
      </c>
      <c r="N805" s="48">
        <v>58.8</v>
      </c>
    </row>
    <row r="806" spans="1:14" ht="10.050000000000001" customHeight="1">
      <c r="A806" s="45" t="s">
        <v>84</v>
      </c>
      <c r="B806" s="46">
        <v>2021</v>
      </c>
      <c r="C806" s="45" t="s">
        <v>129</v>
      </c>
      <c r="D806" s="47">
        <v>8</v>
      </c>
      <c r="E806" s="48">
        <v>30149.1</v>
      </c>
      <c r="F806" s="48">
        <v>1250.8</v>
      </c>
      <c r="G806" s="48">
        <v>31399.9</v>
      </c>
      <c r="H806" s="48">
        <v>51674.5</v>
      </c>
      <c r="I806" s="48">
        <v>1759.4</v>
      </c>
      <c r="J806" s="48">
        <v>53433.9</v>
      </c>
      <c r="K806" s="48">
        <v>14353.1</v>
      </c>
      <c r="L806" s="48">
        <v>14655.7</v>
      </c>
      <c r="M806" s="48">
        <v>6746.1</v>
      </c>
      <c r="N806" s="48">
        <v>221.1</v>
      </c>
    </row>
    <row r="807" spans="1:14" ht="10.050000000000001" customHeight="1">
      <c r="A807" s="45" t="s">
        <v>86</v>
      </c>
      <c r="B807" s="46">
        <v>2021</v>
      </c>
      <c r="C807" s="45" t="s">
        <v>129</v>
      </c>
      <c r="D807" s="47">
        <v>8</v>
      </c>
      <c r="E807" s="48">
        <v>3213.7</v>
      </c>
      <c r="F807" s="48">
        <v>5</v>
      </c>
      <c r="G807" s="48">
        <v>3218.7</v>
      </c>
      <c r="H807" s="48">
        <v>9261.4</v>
      </c>
      <c r="I807" s="48">
        <v>107.6</v>
      </c>
      <c r="J807" s="48">
        <v>9369</v>
      </c>
      <c r="K807" s="48">
        <v>468.9</v>
      </c>
      <c r="L807" s="48">
        <v>451.6</v>
      </c>
      <c r="M807" s="48">
        <v>101.3</v>
      </c>
      <c r="N807" s="48">
        <v>52.6</v>
      </c>
    </row>
    <row r="808" spans="1:14" ht="10.050000000000001" customHeight="1">
      <c r="A808" s="45" t="s">
        <v>89</v>
      </c>
      <c r="B808" s="46">
        <v>2021</v>
      </c>
      <c r="C808" s="45" t="s">
        <v>129</v>
      </c>
      <c r="D808" s="47">
        <v>8</v>
      </c>
      <c r="E808" s="48">
        <v>5505.1</v>
      </c>
      <c r="F808" s="48">
        <v>0</v>
      </c>
      <c r="G808" s="48">
        <v>5505.1</v>
      </c>
      <c r="H808" s="48">
        <v>6541.8</v>
      </c>
      <c r="I808" s="48">
        <v>87.2</v>
      </c>
      <c r="J808" s="48">
        <v>6629</v>
      </c>
      <c r="K808" s="48">
        <v>392.1</v>
      </c>
      <c r="L808" s="48">
        <v>1412</v>
      </c>
      <c r="M808" s="48">
        <v>1062.5</v>
      </c>
      <c r="N808" s="48">
        <v>28.7</v>
      </c>
    </row>
    <row r="809" spans="1:14" ht="10.050000000000001" customHeight="1">
      <c r="A809" s="45" t="s">
        <v>87</v>
      </c>
      <c r="B809" s="46">
        <v>2021</v>
      </c>
      <c r="C809" s="45" t="s">
        <v>129</v>
      </c>
      <c r="D809" s="47">
        <v>8</v>
      </c>
      <c r="E809" s="48">
        <v>77796.5</v>
      </c>
      <c r="F809" s="48">
        <v>2024.4</v>
      </c>
      <c r="G809" s="48">
        <v>79820.899999999994</v>
      </c>
      <c r="H809" s="48">
        <v>257484.6</v>
      </c>
      <c r="I809" s="48">
        <v>6966.3</v>
      </c>
      <c r="J809" s="48">
        <v>264450.90000000002</v>
      </c>
      <c r="K809" s="48">
        <v>66566.899999999994</v>
      </c>
      <c r="L809" s="48">
        <v>27347.3</v>
      </c>
      <c r="M809" s="48">
        <v>30854</v>
      </c>
      <c r="N809" s="48">
        <v>307.8</v>
      </c>
    </row>
    <row r="810" spans="1:14" ht="10.050000000000001" customHeight="1">
      <c r="A810" s="45" t="s">
        <v>127</v>
      </c>
      <c r="B810" s="46">
        <v>2021</v>
      </c>
      <c r="C810" s="45" t="s">
        <v>129</v>
      </c>
      <c r="D810" s="47">
        <v>8</v>
      </c>
      <c r="E810" s="48">
        <v>2723.5</v>
      </c>
      <c r="F810" s="48">
        <v>735.7</v>
      </c>
      <c r="G810" s="48">
        <v>3459.2</v>
      </c>
      <c r="H810" s="48">
        <v>22243.599999999999</v>
      </c>
      <c r="I810" s="48">
        <v>3433.9</v>
      </c>
      <c r="J810" s="48">
        <v>25677.5</v>
      </c>
      <c r="K810" s="48">
        <v>64.3</v>
      </c>
      <c r="L810" s="48">
        <v>7.7</v>
      </c>
      <c r="M810" s="48">
        <v>0</v>
      </c>
      <c r="N810" s="48">
        <v>6.1</v>
      </c>
    </row>
    <row r="811" spans="1:14" ht="10.050000000000001" customHeight="1">
      <c r="A811" s="45" t="s">
        <v>84</v>
      </c>
      <c r="B811" s="46">
        <v>2021</v>
      </c>
      <c r="C811" s="45" t="s">
        <v>129</v>
      </c>
      <c r="D811" s="47">
        <v>9</v>
      </c>
      <c r="E811" s="48">
        <v>27223.4</v>
      </c>
      <c r="F811" s="48">
        <v>2078.6999999999998</v>
      </c>
      <c r="G811" s="48">
        <v>29302.1</v>
      </c>
      <c r="H811" s="48">
        <v>67610.899999999994</v>
      </c>
      <c r="I811" s="48">
        <v>2581.8000000000002</v>
      </c>
      <c r="J811" s="48">
        <v>70192.7</v>
      </c>
      <c r="K811" s="48">
        <v>12004.9</v>
      </c>
      <c r="L811" s="48">
        <v>7152.3</v>
      </c>
      <c r="M811" s="48">
        <v>9067.2999999999993</v>
      </c>
      <c r="N811" s="48">
        <v>408.3</v>
      </c>
    </row>
    <row r="812" spans="1:14" ht="10.050000000000001" customHeight="1">
      <c r="A812" s="45" t="s">
        <v>86</v>
      </c>
      <c r="B812" s="46">
        <v>2021</v>
      </c>
      <c r="C812" s="45" t="s">
        <v>129</v>
      </c>
      <c r="D812" s="47">
        <v>9</v>
      </c>
      <c r="E812" s="48">
        <v>2563.6999999999998</v>
      </c>
      <c r="F812" s="48">
        <v>16.399999999999999</v>
      </c>
      <c r="G812" s="48">
        <v>2580.1</v>
      </c>
      <c r="H812" s="48">
        <v>11353.9</v>
      </c>
      <c r="I812" s="48">
        <v>123.6</v>
      </c>
      <c r="J812" s="48">
        <v>11477.5</v>
      </c>
      <c r="K812" s="48">
        <v>577</v>
      </c>
      <c r="L812" s="48">
        <v>387.6</v>
      </c>
      <c r="M812" s="48">
        <v>263.60000000000002</v>
      </c>
      <c r="N812" s="48">
        <v>27.7</v>
      </c>
    </row>
    <row r="813" spans="1:14" ht="10.050000000000001" customHeight="1">
      <c r="A813" s="45" t="s">
        <v>89</v>
      </c>
      <c r="B813" s="46">
        <v>2021</v>
      </c>
      <c r="C813" s="45" t="s">
        <v>129</v>
      </c>
      <c r="D813" s="47">
        <v>9</v>
      </c>
      <c r="E813" s="48">
        <v>2003.6</v>
      </c>
      <c r="F813" s="48">
        <v>863.5</v>
      </c>
      <c r="G813" s="48">
        <v>2867.1</v>
      </c>
      <c r="H813" s="48">
        <v>7834.7</v>
      </c>
      <c r="I813" s="48">
        <v>947.3</v>
      </c>
      <c r="J813" s="48">
        <v>8782</v>
      </c>
      <c r="K813" s="48">
        <v>825.2</v>
      </c>
      <c r="L813" s="48">
        <v>1032.9000000000001</v>
      </c>
      <c r="M813" s="48">
        <v>579.5</v>
      </c>
      <c r="N813" s="48">
        <v>20.3</v>
      </c>
    </row>
    <row r="814" spans="1:14" ht="10.050000000000001" customHeight="1">
      <c r="A814" s="45" t="s">
        <v>87</v>
      </c>
      <c r="B814" s="46">
        <v>2021</v>
      </c>
      <c r="C814" s="45" t="s">
        <v>129</v>
      </c>
      <c r="D814" s="47">
        <v>9</v>
      </c>
      <c r="E814" s="48">
        <v>41508.199999999997</v>
      </c>
      <c r="F814" s="48">
        <v>2243.1</v>
      </c>
      <c r="G814" s="48">
        <v>43751.3</v>
      </c>
      <c r="H814" s="48">
        <v>249897.1</v>
      </c>
      <c r="I814" s="48">
        <v>7280</v>
      </c>
      <c r="J814" s="48">
        <v>257177.1</v>
      </c>
      <c r="K814" s="48">
        <v>43212.7</v>
      </c>
      <c r="L814" s="48">
        <v>4460.6000000000004</v>
      </c>
      <c r="M814" s="48">
        <v>27332</v>
      </c>
      <c r="N814" s="48">
        <v>482.9</v>
      </c>
    </row>
    <row r="815" spans="1:14" ht="10.050000000000001" customHeight="1">
      <c r="A815" s="45" t="s">
        <v>127</v>
      </c>
      <c r="B815" s="46">
        <v>2021</v>
      </c>
      <c r="C815" s="45" t="s">
        <v>129</v>
      </c>
      <c r="D815" s="47">
        <v>9</v>
      </c>
      <c r="E815" s="48">
        <v>6707.2</v>
      </c>
      <c r="F815" s="48">
        <v>0</v>
      </c>
      <c r="G815" s="48">
        <v>6707.2</v>
      </c>
      <c r="H815" s="48">
        <v>26314.6</v>
      </c>
      <c r="I815" s="48">
        <v>3256.6</v>
      </c>
      <c r="J815" s="48">
        <v>29571.200000000001</v>
      </c>
      <c r="K815" s="48">
        <v>752.9</v>
      </c>
      <c r="L815" s="48">
        <v>688.5</v>
      </c>
      <c r="M815" s="48">
        <v>0</v>
      </c>
      <c r="N815" s="48">
        <v>0</v>
      </c>
    </row>
    <row r="816" spans="1:14" ht="10.050000000000001" customHeight="1">
      <c r="A816" s="45" t="s">
        <v>84</v>
      </c>
      <c r="B816" s="46">
        <v>2021</v>
      </c>
      <c r="C816" s="45" t="s">
        <v>129</v>
      </c>
      <c r="D816" s="47">
        <v>10</v>
      </c>
      <c r="E816" s="48">
        <v>6589.2</v>
      </c>
      <c r="F816" s="48">
        <v>1712.1</v>
      </c>
      <c r="G816" s="48">
        <v>8301.2999999999993</v>
      </c>
      <c r="H816" s="48">
        <v>65485.9</v>
      </c>
      <c r="I816" s="48">
        <v>2599.1</v>
      </c>
      <c r="J816" s="48">
        <v>68085</v>
      </c>
      <c r="K816" s="48">
        <v>8643.4</v>
      </c>
      <c r="L816" s="48">
        <v>865.9</v>
      </c>
      <c r="M816" s="48">
        <v>3925.1</v>
      </c>
      <c r="N816" s="48">
        <v>310.60000000000002</v>
      </c>
    </row>
    <row r="817" spans="1:14" ht="10.050000000000001" customHeight="1">
      <c r="A817" s="45" t="s">
        <v>86</v>
      </c>
      <c r="B817" s="46">
        <v>2021</v>
      </c>
      <c r="C817" s="45" t="s">
        <v>129</v>
      </c>
      <c r="D817" s="47">
        <v>10</v>
      </c>
      <c r="E817" s="48">
        <v>1010.1</v>
      </c>
      <c r="F817" s="48">
        <v>216.3</v>
      </c>
      <c r="G817" s="48">
        <v>1226.4000000000001</v>
      </c>
      <c r="H817" s="48">
        <v>12305.7</v>
      </c>
      <c r="I817" s="48">
        <v>256.89999999999998</v>
      </c>
      <c r="J817" s="48">
        <v>12562.6</v>
      </c>
      <c r="K817" s="48">
        <v>493.7</v>
      </c>
      <c r="L817" s="48">
        <v>8.4</v>
      </c>
      <c r="M817" s="48">
        <v>68</v>
      </c>
      <c r="N817" s="48">
        <v>32</v>
      </c>
    </row>
    <row r="818" spans="1:14" ht="10.050000000000001" customHeight="1">
      <c r="A818" s="45" t="s">
        <v>89</v>
      </c>
      <c r="B818" s="46">
        <v>2021</v>
      </c>
      <c r="C818" s="45" t="s">
        <v>129</v>
      </c>
      <c r="D818" s="47">
        <v>10</v>
      </c>
      <c r="E818" s="48">
        <v>1014.9</v>
      </c>
      <c r="F818" s="48">
        <v>123</v>
      </c>
      <c r="G818" s="48">
        <v>1137.9000000000001</v>
      </c>
      <c r="H818" s="48">
        <v>8029.7</v>
      </c>
      <c r="I818" s="48">
        <v>699.4</v>
      </c>
      <c r="J818" s="48">
        <v>8729.1</v>
      </c>
      <c r="K818" s="48">
        <v>440.4</v>
      </c>
      <c r="L818" s="48">
        <v>252.8</v>
      </c>
      <c r="M818" s="48">
        <v>597</v>
      </c>
      <c r="N818" s="48">
        <v>40.700000000000003</v>
      </c>
    </row>
    <row r="819" spans="1:14" ht="10.050000000000001" customHeight="1">
      <c r="A819" s="45" t="s">
        <v>87</v>
      </c>
      <c r="B819" s="46">
        <v>2021</v>
      </c>
      <c r="C819" s="45" t="s">
        <v>129</v>
      </c>
      <c r="D819" s="47">
        <v>10</v>
      </c>
      <c r="E819" s="48">
        <v>14552.6</v>
      </c>
      <c r="F819" s="48">
        <v>4733</v>
      </c>
      <c r="G819" s="48">
        <v>19285.599999999999</v>
      </c>
      <c r="H819" s="48">
        <v>231069</v>
      </c>
      <c r="I819" s="48">
        <v>7048.7</v>
      </c>
      <c r="J819" s="48">
        <v>238117.7</v>
      </c>
      <c r="K819" s="48">
        <v>34019.5</v>
      </c>
      <c r="L819" s="48">
        <v>982.7</v>
      </c>
      <c r="M819" s="48">
        <v>9759</v>
      </c>
      <c r="N819" s="48">
        <v>414.2</v>
      </c>
    </row>
    <row r="820" spans="1:14" ht="10.050000000000001" customHeight="1">
      <c r="A820" s="45" t="s">
        <v>127</v>
      </c>
      <c r="B820" s="46">
        <v>2021</v>
      </c>
      <c r="C820" s="45" t="s">
        <v>129</v>
      </c>
      <c r="D820" s="47">
        <v>10</v>
      </c>
      <c r="E820" s="48">
        <v>2218.5</v>
      </c>
      <c r="F820" s="48">
        <v>11.3</v>
      </c>
      <c r="G820" s="48">
        <v>2229.8000000000002</v>
      </c>
      <c r="H820" s="48">
        <v>26214.400000000001</v>
      </c>
      <c r="I820" s="48">
        <v>3217.2</v>
      </c>
      <c r="J820" s="48">
        <v>29431.599999999999</v>
      </c>
      <c r="K820" s="48">
        <v>776.4</v>
      </c>
      <c r="L820" s="48">
        <v>494.6</v>
      </c>
      <c r="M820" s="48">
        <v>465.5</v>
      </c>
      <c r="N820" s="48">
        <v>5.5</v>
      </c>
    </row>
    <row r="821" spans="1:14" ht="10.050000000000001" customHeight="1">
      <c r="A821" s="45" t="s">
        <v>84</v>
      </c>
      <c r="B821" s="46">
        <v>2021</v>
      </c>
      <c r="C821" s="45" t="s">
        <v>129</v>
      </c>
      <c r="D821" s="47">
        <v>11</v>
      </c>
      <c r="E821" s="48">
        <v>3895.9</v>
      </c>
      <c r="F821" s="48">
        <v>1616</v>
      </c>
      <c r="G821" s="48">
        <v>5511.9</v>
      </c>
      <c r="H821" s="48">
        <v>61416.3</v>
      </c>
      <c r="I821" s="48">
        <v>3030.4</v>
      </c>
      <c r="J821" s="48">
        <v>64446.7</v>
      </c>
      <c r="K821" s="48">
        <v>6883.6</v>
      </c>
      <c r="L821" s="48">
        <v>439</v>
      </c>
      <c r="M821" s="48">
        <v>2020.1</v>
      </c>
      <c r="N821" s="48">
        <v>320.8</v>
      </c>
    </row>
    <row r="822" spans="1:14" ht="10.050000000000001" customHeight="1">
      <c r="A822" s="45" t="s">
        <v>86</v>
      </c>
      <c r="B822" s="46">
        <v>2021</v>
      </c>
      <c r="C822" s="45" t="s">
        <v>129</v>
      </c>
      <c r="D822" s="47">
        <v>11</v>
      </c>
      <c r="E822" s="48">
        <v>275.39999999999998</v>
      </c>
      <c r="F822" s="48">
        <v>137</v>
      </c>
      <c r="G822" s="48">
        <v>412.4</v>
      </c>
      <c r="H822" s="48">
        <v>11882.5</v>
      </c>
      <c r="I822" s="48">
        <v>348.5</v>
      </c>
      <c r="J822" s="48">
        <v>12231</v>
      </c>
      <c r="K822" s="48">
        <v>255.3</v>
      </c>
      <c r="L822" s="48">
        <v>17.399999999999999</v>
      </c>
      <c r="M822" s="48">
        <v>195.2</v>
      </c>
      <c r="N822" s="48">
        <v>84</v>
      </c>
    </row>
    <row r="823" spans="1:14" ht="10.050000000000001" customHeight="1">
      <c r="A823" s="45" t="s">
        <v>89</v>
      </c>
      <c r="B823" s="46">
        <v>2021</v>
      </c>
      <c r="C823" s="45" t="s">
        <v>129</v>
      </c>
      <c r="D823" s="47">
        <v>11</v>
      </c>
      <c r="E823" s="48">
        <v>82.6</v>
      </c>
      <c r="F823" s="48">
        <v>52.4</v>
      </c>
      <c r="G823" s="48">
        <v>135</v>
      </c>
      <c r="H823" s="48">
        <v>7339.7</v>
      </c>
      <c r="I823" s="48">
        <v>390.8</v>
      </c>
      <c r="J823" s="48">
        <v>7730.5</v>
      </c>
      <c r="K823" s="48">
        <v>345.2</v>
      </c>
      <c r="L823" s="48">
        <v>33.700000000000003</v>
      </c>
      <c r="M823" s="48">
        <v>67.3</v>
      </c>
      <c r="N823" s="48">
        <v>61.7</v>
      </c>
    </row>
    <row r="824" spans="1:14" ht="10.050000000000001" customHeight="1">
      <c r="A824" s="45" t="s">
        <v>87</v>
      </c>
      <c r="B824" s="46">
        <v>2021</v>
      </c>
      <c r="C824" s="45" t="s">
        <v>129</v>
      </c>
      <c r="D824" s="47">
        <v>11</v>
      </c>
      <c r="E824" s="48">
        <v>13276.1</v>
      </c>
      <c r="F824" s="48">
        <v>4508.3</v>
      </c>
      <c r="G824" s="48">
        <v>17784.400000000001</v>
      </c>
      <c r="H824" s="48">
        <v>212577.1</v>
      </c>
      <c r="I824" s="48">
        <v>7637.5</v>
      </c>
      <c r="J824" s="48">
        <v>220214.6</v>
      </c>
      <c r="K824" s="48">
        <v>25954.1</v>
      </c>
      <c r="L824" s="48">
        <v>1006</v>
      </c>
      <c r="M824" s="48">
        <v>8657.8000000000102</v>
      </c>
      <c r="N824" s="48">
        <v>343.3</v>
      </c>
    </row>
    <row r="825" spans="1:14" ht="10.050000000000001" customHeight="1">
      <c r="A825" s="45" t="s">
        <v>127</v>
      </c>
      <c r="B825" s="46">
        <v>2021</v>
      </c>
      <c r="C825" s="45" t="s">
        <v>129</v>
      </c>
      <c r="D825" s="47">
        <v>11</v>
      </c>
      <c r="E825" s="48">
        <v>608.20000000000005</v>
      </c>
      <c r="F825" s="48">
        <v>16</v>
      </c>
      <c r="G825" s="48">
        <v>624.20000000000005</v>
      </c>
      <c r="H825" s="48">
        <v>23454.400000000001</v>
      </c>
      <c r="I825" s="48">
        <v>3134.1</v>
      </c>
      <c r="J825" s="48">
        <v>26588.5</v>
      </c>
      <c r="K825" s="48">
        <v>432.6</v>
      </c>
      <c r="L825" s="48">
        <v>7.5</v>
      </c>
      <c r="M825" s="48">
        <v>334.1</v>
      </c>
      <c r="N825" s="48">
        <v>46.7</v>
      </c>
    </row>
    <row r="826" spans="1:14" ht="10.050000000000001" customHeight="1">
      <c r="A826" s="45" t="s">
        <v>84</v>
      </c>
      <c r="B826" s="46">
        <v>2021</v>
      </c>
      <c r="C826" s="45" t="s">
        <v>129</v>
      </c>
      <c r="D826" s="47">
        <v>12</v>
      </c>
      <c r="E826" s="48">
        <v>3656.3</v>
      </c>
      <c r="F826" s="48">
        <v>927.5</v>
      </c>
      <c r="G826" s="48">
        <v>4583.8</v>
      </c>
      <c r="H826" s="48">
        <v>58207.1</v>
      </c>
      <c r="I826" s="48">
        <v>3649.1</v>
      </c>
      <c r="J826" s="48">
        <v>61856.200000000099</v>
      </c>
      <c r="K826" s="48">
        <v>5853</v>
      </c>
      <c r="L826" s="48">
        <v>498</v>
      </c>
      <c r="M826" s="48">
        <v>1377.9</v>
      </c>
      <c r="N826" s="48">
        <v>163.9</v>
      </c>
    </row>
    <row r="827" spans="1:14" ht="10.050000000000001" customHeight="1">
      <c r="A827" s="45" t="s">
        <v>86</v>
      </c>
      <c r="B827" s="46">
        <v>2021</v>
      </c>
      <c r="C827" s="45" t="s">
        <v>129</v>
      </c>
      <c r="D827" s="47">
        <v>12</v>
      </c>
      <c r="E827" s="48">
        <v>163</v>
      </c>
      <c r="F827" s="48">
        <v>198.3</v>
      </c>
      <c r="G827" s="48">
        <v>361.3</v>
      </c>
      <c r="H827" s="48">
        <v>10930.1</v>
      </c>
      <c r="I827" s="48">
        <v>522.9</v>
      </c>
      <c r="J827" s="48">
        <v>11453</v>
      </c>
      <c r="K827" s="48">
        <v>233.4</v>
      </c>
      <c r="L827" s="48">
        <v>10.3</v>
      </c>
      <c r="M827" s="48">
        <v>18.899999999999999</v>
      </c>
      <c r="N827" s="48">
        <v>42.2</v>
      </c>
    </row>
    <row r="828" spans="1:14" ht="10.050000000000001" customHeight="1">
      <c r="A828" s="45" t="s">
        <v>89</v>
      </c>
      <c r="B828" s="46">
        <v>2021</v>
      </c>
      <c r="C828" s="45" t="s">
        <v>129</v>
      </c>
      <c r="D828" s="47">
        <v>12</v>
      </c>
      <c r="E828" s="48">
        <v>25.1</v>
      </c>
      <c r="F828" s="48">
        <v>0</v>
      </c>
      <c r="G828" s="48">
        <v>25.1</v>
      </c>
      <c r="H828" s="48">
        <v>6594.8</v>
      </c>
      <c r="I828" s="48">
        <v>364.6</v>
      </c>
      <c r="J828" s="48">
        <v>6959.4</v>
      </c>
      <c r="K828" s="48">
        <v>310.5</v>
      </c>
      <c r="L828" s="48">
        <v>0</v>
      </c>
      <c r="M828" s="48">
        <v>11</v>
      </c>
      <c r="N828" s="48">
        <v>23.7</v>
      </c>
    </row>
    <row r="829" spans="1:14" ht="10.050000000000001" customHeight="1">
      <c r="A829" s="45" t="s">
        <v>87</v>
      </c>
      <c r="B829" s="46">
        <v>2021</v>
      </c>
      <c r="C829" s="45" t="s">
        <v>129</v>
      </c>
      <c r="D829" s="47">
        <v>12</v>
      </c>
      <c r="E829" s="48">
        <v>10978.5</v>
      </c>
      <c r="F829" s="48">
        <v>1688.4</v>
      </c>
      <c r="G829" s="48">
        <v>12666.9</v>
      </c>
      <c r="H829" s="48">
        <v>196832.5</v>
      </c>
      <c r="I829" s="48">
        <v>7961.6</v>
      </c>
      <c r="J829" s="48">
        <v>204794.1</v>
      </c>
      <c r="K829" s="48">
        <v>22561.4</v>
      </c>
      <c r="L829" s="48">
        <v>2910.3</v>
      </c>
      <c r="M829" s="48">
        <v>5926</v>
      </c>
      <c r="N829" s="48">
        <v>376.8</v>
      </c>
    </row>
    <row r="830" spans="1:14" ht="10.050000000000001" customHeight="1">
      <c r="A830" s="45" t="s">
        <v>127</v>
      </c>
      <c r="B830" s="46">
        <v>2021</v>
      </c>
      <c r="C830" s="45" t="s">
        <v>129</v>
      </c>
      <c r="D830" s="47">
        <v>12</v>
      </c>
      <c r="E830" s="48">
        <v>590.4</v>
      </c>
      <c r="F830" s="48">
        <v>415.6</v>
      </c>
      <c r="G830" s="48">
        <v>1006</v>
      </c>
      <c r="H830" s="48">
        <v>21501.3</v>
      </c>
      <c r="I830" s="48">
        <v>2142.1</v>
      </c>
      <c r="J830" s="48">
        <v>23643.4</v>
      </c>
      <c r="K830" s="48">
        <v>370.5</v>
      </c>
      <c r="L830" s="48">
        <v>38.5</v>
      </c>
      <c r="M830" s="48">
        <v>71.2</v>
      </c>
      <c r="N830" s="48">
        <v>0</v>
      </c>
    </row>
    <row r="831" spans="1:14" ht="10.050000000000001" customHeight="1">
      <c r="A831" s="45" t="s">
        <v>84</v>
      </c>
      <c r="B831" s="46">
        <v>2022</v>
      </c>
      <c r="C831" s="45" t="s">
        <v>129</v>
      </c>
      <c r="D831" s="47">
        <v>1</v>
      </c>
      <c r="E831" s="48">
        <v>3087.9</v>
      </c>
      <c r="F831" s="48">
        <v>542.4</v>
      </c>
      <c r="G831" s="48">
        <v>3630.3</v>
      </c>
      <c r="H831" s="48">
        <v>54804.6</v>
      </c>
      <c r="I831" s="48">
        <v>2686.4</v>
      </c>
      <c r="J831" s="48">
        <v>57491</v>
      </c>
      <c r="K831" s="48">
        <v>4437.3</v>
      </c>
      <c r="L831" s="48">
        <v>362.6</v>
      </c>
      <c r="M831" s="48">
        <v>1554.6</v>
      </c>
      <c r="N831" s="48">
        <v>227.7</v>
      </c>
    </row>
    <row r="832" spans="1:14" ht="10.050000000000001" customHeight="1">
      <c r="A832" s="45" t="s">
        <v>86</v>
      </c>
      <c r="B832" s="46">
        <v>2022</v>
      </c>
      <c r="C832" s="45" t="s">
        <v>129</v>
      </c>
      <c r="D832" s="47">
        <v>1</v>
      </c>
      <c r="E832" s="48">
        <v>177.7</v>
      </c>
      <c r="F832" s="48">
        <v>78.599999999999994</v>
      </c>
      <c r="G832" s="48">
        <v>256.3</v>
      </c>
      <c r="H832" s="48">
        <v>9968.1000000000095</v>
      </c>
      <c r="I832" s="48">
        <v>523.70000000000005</v>
      </c>
      <c r="J832" s="48">
        <v>10491.8</v>
      </c>
      <c r="K832" s="48">
        <v>167.3</v>
      </c>
      <c r="L832" s="48">
        <v>-18.3</v>
      </c>
      <c r="M832" s="48">
        <v>-7</v>
      </c>
      <c r="N832" s="48">
        <v>39.200000000000003</v>
      </c>
    </row>
    <row r="833" spans="1:14" ht="10.050000000000001" customHeight="1">
      <c r="A833" s="45" t="s">
        <v>89</v>
      </c>
      <c r="B833" s="46">
        <v>2022</v>
      </c>
      <c r="C833" s="45" t="s">
        <v>129</v>
      </c>
      <c r="D833" s="47">
        <v>1</v>
      </c>
      <c r="E833" s="48">
        <v>59.3</v>
      </c>
      <c r="F833" s="48">
        <v>0</v>
      </c>
      <c r="G833" s="48">
        <v>59.3</v>
      </c>
      <c r="H833" s="48">
        <v>6051</v>
      </c>
      <c r="I833" s="48">
        <v>361.5</v>
      </c>
      <c r="J833" s="48">
        <v>6412.5</v>
      </c>
      <c r="K833" s="48">
        <v>264.39999999999998</v>
      </c>
      <c r="L833" s="48">
        <v>22.9</v>
      </c>
      <c r="M833" s="48">
        <v>13.8</v>
      </c>
      <c r="N833" s="48">
        <v>55.3</v>
      </c>
    </row>
    <row r="834" spans="1:14" ht="10.050000000000001" customHeight="1">
      <c r="A834" s="45" t="s">
        <v>87</v>
      </c>
      <c r="B834" s="46">
        <v>2022</v>
      </c>
      <c r="C834" s="45" t="s">
        <v>129</v>
      </c>
      <c r="D834" s="47">
        <v>1</v>
      </c>
      <c r="E834" s="48">
        <v>10364.200000000001</v>
      </c>
      <c r="F834" s="48">
        <v>2431.3000000000002</v>
      </c>
      <c r="G834" s="48">
        <v>12795.5</v>
      </c>
      <c r="H834" s="48">
        <v>172509.6</v>
      </c>
      <c r="I834" s="48">
        <v>5801.9</v>
      </c>
      <c r="J834" s="48">
        <v>178311.5</v>
      </c>
      <c r="K834" s="48">
        <v>19850.5</v>
      </c>
      <c r="L834" s="48">
        <v>2694</v>
      </c>
      <c r="M834" s="48">
        <v>5180.2</v>
      </c>
      <c r="N834" s="48">
        <v>224.6</v>
      </c>
    </row>
    <row r="835" spans="1:14" ht="10.050000000000001" customHeight="1">
      <c r="A835" s="45" t="s">
        <v>127</v>
      </c>
      <c r="B835" s="46">
        <v>2022</v>
      </c>
      <c r="C835" s="45" t="s">
        <v>129</v>
      </c>
      <c r="D835" s="47">
        <v>1</v>
      </c>
      <c r="E835" s="48">
        <v>695.3</v>
      </c>
      <c r="F835" s="48">
        <v>0</v>
      </c>
      <c r="G835" s="48">
        <v>695.3</v>
      </c>
      <c r="H835" s="48">
        <v>18517.599999999999</v>
      </c>
      <c r="I835" s="48">
        <v>1719.1</v>
      </c>
      <c r="J835" s="48">
        <v>20236.7</v>
      </c>
      <c r="K835" s="48">
        <v>289.3</v>
      </c>
      <c r="L835" s="48">
        <v>7.5</v>
      </c>
      <c r="M835" s="48">
        <v>78</v>
      </c>
      <c r="N835" s="48">
        <v>10.7</v>
      </c>
    </row>
    <row r="836" spans="1:14" ht="10.050000000000001" customHeight="1">
      <c r="A836" s="45" t="s">
        <v>84</v>
      </c>
      <c r="B836" s="46">
        <v>2022</v>
      </c>
      <c r="C836" s="45" t="s">
        <v>129</v>
      </c>
      <c r="D836" s="47">
        <v>2</v>
      </c>
      <c r="E836" s="48">
        <v>2788.5</v>
      </c>
      <c r="F836" s="48">
        <v>257.5</v>
      </c>
      <c r="G836" s="48">
        <v>3046</v>
      </c>
      <c r="H836" s="48">
        <v>50465.8</v>
      </c>
      <c r="I836" s="48">
        <v>2135.4</v>
      </c>
      <c r="J836" s="48">
        <v>52601.2</v>
      </c>
      <c r="K836" s="48">
        <v>3595.3</v>
      </c>
      <c r="L836" s="48">
        <v>383.3</v>
      </c>
      <c r="M836" s="48">
        <v>1101</v>
      </c>
      <c r="N836" s="48">
        <v>57.8</v>
      </c>
    </row>
    <row r="837" spans="1:14" ht="10.050000000000001" customHeight="1">
      <c r="A837" s="45" t="s">
        <v>86</v>
      </c>
      <c r="B837" s="46">
        <v>2022</v>
      </c>
      <c r="C837" s="45" t="s">
        <v>129</v>
      </c>
      <c r="D837" s="47">
        <v>2</v>
      </c>
      <c r="E837" s="48">
        <v>99.5</v>
      </c>
      <c r="F837" s="48">
        <v>270.5</v>
      </c>
      <c r="G837" s="48">
        <v>370</v>
      </c>
      <c r="H837" s="48">
        <v>8838.2000000000007</v>
      </c>
      <c r="I837" s="48">
        <v>104.9</v>
      </c>
      <c r="J837" s="48">
        <v>8943.1</v>
      </c>
      <c r="K837" s="48">
        <v>165.6</v>
      </c>
      <c r="L837" s="48">
        <v>3.1</v>
      </c>
      <c r="M837" s="48">
        <v>3.1</v>
      </c>
      <c r="N837" s="48">
        <v>0</v>
      </c>
    </row>
    <row r="838" spans="1:14" ht="10.050000000000001" customHeight="1">
      <c r="A838" s="45" t="s">
        <v>89</v>
      </c>
      <c r="B838" s="46">
        <v>2022</v>
      </c>
      <c r="C838" s="45" t="s">
        <v>129</v>
      </c>
      <c r="D838" s="47">
        <v>2</v>
      </c>
      <c r="E838" s="48">
        <v>11.4</v>
      </c>
      <c r="F838" s="48">
        <v>0</v>
      </c>
      <c r="G838" s="48">
        <v>11.4</v>
      </c>
      <c r="H838" s="48">
        <v>5117.3999999999996</v>
      </c>
      <c r="I838" s="48">
        <v>320.3</v>
      </c>
      <c r="J838" s="48">
        <v>5437.7</v>
      </c>
      <c r="K838" s="48">
        <v>235.8</v>
      </c>
      <c r="L838" s="48">
        <v>0</v>
      </c>
      <c r="M838" s="48">
        <v>0</v>
      </c>
      <c r="N838" s="48">
        <v>28.6</v>
      </c>
    </row>
    <row r="839" spans="1:14" ht="10.050000000000001" customHeight="1">
      <c r="A839" s="45" t="s">
        <v>87</v>
      </c>
      <c r="B839" s="46">
        <v>2022</v>
      </c>
      <c r="C839" s="45" t="s">
        <v>129</v>
      </c>
      <c r="D839" s="47">
        <v>2</v>
      </c>
      <c r="E839" s="48">
        <v>10363.6</v>
      </c>
      <c r="F839" s="48">
        <v>2102.3000000000002</v>
      </c>
      <c r="G839" s="48">
        <v>12465.9</v>
      </c>
      <c r="H839" s="48">
        <v>152342.79999999999</v>
      </c>
      <c r="I839" s="48">
        <v>4439.2</v>
      </c>
      <c r="J839" s="48">
        <v>156782</v>
      </c>
      <c r="K839" s="48">
        <v>15946.1</v>
      </c>
      <c r="L839" s="48">
        <v>1139.5999999999999</v>
      </c>
      <c r="M839" s="48">
        <v>4839.3</v>
      </c>
      <c r="N839" s="48">
        <v>205.1</v>
      </c>
    </row>
    <row r="840" spans="1:14" ht="10.050000000000001" customHeight="1">
      <c r="A840" s="45" t="s">
        <v>127</v>
      </c>
      <c r="B840" s="46">
        <v>2022</v>
      </c>
      <c r="C840" s="45" t="s">
        <v>129</v>
      </c>
      <c r="D840" s="47">
        <v>2</v>
      </c>
      <c r="E840" s="48">
        <v>59.5</v>
      </c>
      <c r="F840" s="48">
        <v>0</v>
      </c>
      <c r="G840" s="48">
        <v>59.5</v>
      </c>
      <c r="H840" s="48">
        <v>16191.7</v>
      </c>
      <c r="I840" s="48">
        <v>947.6</v>
      </c>
      <c r="J840" s="48">
        <v>17139.3</v>
      </c>
      <c r="K840" s="48">
        <v>289.7</v>
      </c>
      <c r="L840" s="48">
        <v>0.5</v>
      </c>
      <c r="M840" s="48">
        <v>0</v>
      </c>
      <c r="N840" s="48">
        <v>20</v>
      </c>
    </row>
    <row r="841" spans="1:14" ht="10.050000000000001" customHeight="1">
      <c r="A841" s="45" t="s">
        <v>84</v>
      </c>
      <c r="B841" s="46">
        <v>2022</v>
      </c>
      <c r="C841" s="45" t="s">
        <v>129</v>
      </c>
      <c r="D841" s="47">
        <v>3</v>
      </c>
      <c r="E841" s="48">
        <v>3623.5</v>
      </c>
      <c r="F841" s="48">
        <v>342.5</v>
      </c>
      <c r="G841" s="48">
        <v>3966</v>
      </c>
      <c r="H841" s="48">
        <v>43434.5</v>
      </c>
      <c r="I841" s="48">
        <v>2038.6</v>
      </c>
      <c r="J841" s="48">
        <v>45473.1</v>
      </c>
      <c r="K841" s="48">
        <v>2306.3000000000002</v>
      </c>
      <c r="L841" s="48">
        <v>401.3</v>
      </c>
      <c r="M841" s="48">
        <v>1672</v>
      </c>
      <c r="N841" s="48">
        <v>112.5</v>
      </c>
    </row>
    <row r="842" spans="1:14" ht="10.050000000000001" customHeight="1">
      <c r="A842" s="45" t="s">
        <v>86</v>
      </c>
      <c r="B842" s="46">
        <v>2022</v>
      </c>
      <c r="C842" s="45" t="s">
        <v>129</v>
      </c>
      <c r="D842" s="47">
        <v>3</v>
      </c>
      <c r="E842" s="48">
        <v>128.69999999999999</v>
      </c>
      <c r="F842" s="48">
        <v>37.799999999999997</v>
      </c>
      <c r="G842" s="48">
        <v>166.5</v>
      </c>
      <c r="H842" s="48">
        <v>7121.7</v>
      </c>
      <c r="I842" s="48">
        <v>75.099999999999994</v>
      </c>
      <c r="J842" s="48">
        <v>7196.8</v>
      </c>
      <c r="K842" s="48">
        <v>149.6</v>
      </c>
      <c r="L842" s="48">
        <v>0</v>
      </c>
      <c r="M842" s="48">
        <v>12.8</v>
      </c>
      <c r="N842" s="48">
        <v>3.3</v>
      </c>
    </row>
    <row r="843" spans="1:14" ht="10.050000000000001" customHeight="1">
      <c r="A843" s="45" t="s">
        <v>89</v>
      </c>
      <c r="B843" s="46">
        <v>2022</v>
      </c>
      <c r="C843" s="45" t="s">
        <v>129</v>
      </c>
      <c r="D843" s="47">
        <v>3</v>
      </c>
      <c r="E843" s="48">
        <v>60.8</v>
      </c>
      <c r="F843" s="48">
        <v>18.899999999999999</v>
      </c>
      <c r="G843" s="48">
        <v>79.7</v>
      </c>
      <c r="H843" s="48">
        <v>4582.3</v>
      </c>
      <c r="I843" s="48">
        <v>312.39999999999998</v>
      </c>
      <c r="J843" s="48">
        <v>4894.7</v>
      </c>
      <c r="K843" s="48">
        <v>176.3</v>
      </c>
      <c r="L843" s="48">
        <v>30.3</v>
      </c>
      <c r="M843" s="48">
        <v>41.4</v>
      </c>
      <c r="N843" s="48">
        <v>48.4</v>
      </c>
    </row>
    <row r="844" spans="1:14" ht="10.050000000000001" customHeight="1">
      <c r="A844" s="45" t="s">
        <v>87</v>
      </c>
      <c r="B844" s="46">
        <v>2022</v>
      </c>
      <c r="C844" s="45" t="s">
        <v>129</v>
      </c>
      <c r="D844" s="47">
        <v>3</v>
      </c>
      <c r="E844" s="48">
        <v>10479.700000000001</v>
      </c>
      <c r="F844" s="48">
        <v>857.8</v>
      </c>
      <c r="G844" s="48">
        <v>11337.5</v>
      </c>
      <c r="H844" s="48">
        <v>122018.1</v>
      </c>
      <c r="I844" s="48">
        <v>3036.1</v>
      </c>
      <c r="J844" s="48">
        <v>125054.2</v>
      </c>
      <c r="K844" s="48">
        <v>11456.2</v>
      </c>
      <c r="L844" s="48">
        <v>363.2</v>
      </c>
      <c r="M844" s="48">
        <v>4567.8</v>
      </c>
      <c r="N844" s="48">
        <v>284.89999999999998</v>
      </c>
    </row>
    <row r="845" spans="1:14" ht="10.050000000000001" customHeight="1">
      <c r="A845" s="45" t="s">
        <v>127</v>
      </c>
      <c r="B845" s="46">
        <v>2022</v>
      </c>
      <c r="C845" s="45" t="s">
        <v>129</v>
      </c>
      <c r="D845" s="47">
        <v>3</v>
      </c>
      <c r="E845" s="48">
        <v>176.9</v>
      </c>
      <c r="F845" s="48">
        <v>0</v>
      </c>
      <c r="G845" s="48">
        <v>176.9</v>
      </c>
      <c r="H845" s="48">
        <v>13806.9</v>
      </c>
      <c r="I845" s="48">
        <v>760.2</v>
      </c>
      <c r="J845" s="48">
        <v>14567.1</v>
      </c>
      <c r="K845" s="48">
        <v>168</v>
      </c>
      <c r="L845" s="48">
        <v>0</v>
      </c>
      <c r="M845" s="48">
        <v>79.5</v>
      </c>
      <c r="N845" s="48">
        <v>42.1</v>
      </c>
    </row>
    <row r="846" spans="1:14" ht="10.050000000000001" customHeight="1">
      <c r="A846" s="45" t="s">
        <v>84</v>
      </c>
      <c r="B846" s="46">
        <v>2022</v>
      </c>
      <c r="C846" s="45" t="s">
        <v>129</v>
      </c>
      <c r="D846" s="47">
        <v>4</v>
      </c>
      <c r="E846" s="48">
        <v>2037.3</v>
      </c>
      <c r="F846" s="48">
        <v>6.9</v>
      </c>
      <c r="G846" s="48">
        <v>2044.2</v>
      </c>
      <c r="H846" s="48">
        <v>37593.699999999997</v>
      </c>
      <c r="I846" s="48">
        <v>1915.7</v>
      </c>
      <c r="J846" s="48">
        <v>39509.4</v>
      </c>
      <c r="K846" s="48">
        <v>1597.9</v>
      </c>
      <c r="L846" s="48">
        <v>214.7</v>
      </c>
      <c r="M846" s="48">
        <v>882</v>
      </c>
      <c r="N846" s="48">
        <v>78.099999999999994</v>
      </c>
    </row>
    <row r="847" spans="1:14" ht="10.050000000000001" customHeight="1">
      <c r="A847" s="45" t="s">
        <v>86</v>
      </c>
      <c r="B847" s="46">
        <v>2022</v>
      </c>
      <c r="C847" s="45" t="s">
        <v>129</v>
      </c>
      <c r="D847" s="47">
        <v>4</v>
      </c>
      <c r="E847" s="48">
        <v>60.6</v>
      </c>
      <c r="F847" s="48">
        <v>2.8</v>
      </c>
      <c r="G847" s="48">
        <v>63.4</v>
      </c>
      <c r="H847" s="48">
        <v>5753.6</v>
      </c>
      <c r="I847" s="48">
        <v>81.7</v>
      </c>
      <c r="J847" s="48">
        <v>5835.3</v>
      </c>
      <c r="K847" s="48">
        <v>110.3</v>
      </c>
      <c r="L847" s="48">
        <v>15.1</v>
      </c>
      <c r="M847" s="48">
        <v>14.4</v>
      </c>
      <c r="N847" s="48">
        <v>40</v>
      </c>
    </row>
    <row r="848" spans="1:14" ht="10.050000000000001" customHeight="1">
      <c r="A848" s="45" t="s">
        <v>89</v>
      </c>
      <c r="B848" s="46">
        <v>2022</v>
      </c>
      <c r="C848" s="45" t="s">
        <v>129</v>
      </c>
      <c r="D848" s="47">
        <v>4</v>
      </c>
      <c r="E848" s="48">
        <v>42.4</v>
      </c>
      <c r="F848" s="48">
        <v>109.9</v>
      </c>
      <c r="G848" s="48">
        <v>152.30000000000001</v>
      </c>
      <c r="H848" s="48">
        <v>3953.9</v>
      </c>
      <c r="I848" s="48">
        <v>306.39999999999998</v>
      </c>
      <c r="J848" s="48">
        <v>4260.3</v>
      </c>
      <c r="K848" s="48">
        <v>119.2</v>
      </c>
      <c r="L848" s="48">
        <v>0</v>
      </c>
      <c r="M848" s="48">
        <v>15.2</v>
      </c>
      <c r="N848" s="48">
        <v>42</v>
      </c>
    </row>
    <row r="849" spans="1:14" ht="10.050000000000001" customHeight="1">
      <c r="A849" s="45" t="s">
        <v>87</v>
      </c>
      <c r="B849" s="46">
        <v>2022</v>
      </c>
      <c r="C849" s="45" t="s">
        <v>129</v>
      </c>
      <c r="D849" s="47">
        <v>4</v>
      </c>
      <c r="E849" s="48">
        <v>8467.9</v>
      </c>
      <c r="F849" s="48">
        <v>111.7</v>
      </c>
      <c r="G849" s="48">
        <v>8579.6</v>
      </c>
      <c r="H849" s="48">
        <v>101939.8</v>
      </c>
      <c r="I849" s="48">
        <v>2848.3</v>
      </c>
      <c r="J849" s="48">
        <v>104788.1</v>
      </c>
      <c r="K849" s="48">
        <v>6646.9</v>
      </c>
      <c r="L849" s="48">
        <v>-606.20000000000005</v>
      </c>
      <c r="M849" s="48">
        <v>3665</v>
      </c>
      <c r="N849" s="48">
        <v>590.20000000000005</v>
      </c>
    </row>
    <row r="850" spans="1:14" ht="10.050000000000001" customHeight="1">
      <c r="A850" s="45" t="s">
        <v>127</v>
      </c>
      <c r="B850" s="46">
        <v>2022</v>
      </c>
      <c r="C850" s="45" t="s">
        <v>129</v>
      </c>
      <c r="D850" s="47">
        <v>4</v>
      </c>
      <c r="E850" s="48">
        <v>72.099999999999994</v>
      </c>
      <c r="F850" s="48">
        <v>0</v>
      </c>
      <c r="G850" s="48">
        <v>72.099999999999994</v>
      </c>
      <c r="H850" s="48">
        <v>12736.5</v>
      </c>
      <c r="I850" s="48">
        <v>389.6</v>
      </c>
      <c r="J850" s="48">
        <v>13126.1</v>
      </c>
      <c r="K850" s="48">
        <v>137.80000000000001</v>
      </c>
      <c r="L850" s="48">
        <v>0</v>
      </c>
      <c r="M850" s="48">
        <v>12.3</v>
      </c>
      <c r="N850" s="48">
        <v>17.899999999999999</v>
      </c>
    </row>
    <row r="851" spans="1:14" ht="10.050000000000001" customHeight="1">
      <c r="A851" s="45" t="s">
        <v>84</v>
      </c>
      <c r="B851" s="46">
        <v>2022</v>
      </c>
      <c r="C851" s="45" t="s">
        <v>129</v>
      </c>
      <c r="D851" s="47">
        <v>5</v>
      </c>
      <c r="E851" s="48">
        <v>1900</v>
      </c>
      <c r="F851" s="48">
        <v>21.7</v>
      </c>
      <c r="G851" s="48">
        <v>1921.7</v>
      </c>
      <c r="H851" s="48">
        <v>28728.5</v>
      </c>
      <c r="I851" s="48">
        <v>1731.7</v>
      </c>
      <c r="J851" s="48">
        <v>30460.2</v>
      </c>
      <c r="K851" s="48">
        <v>840.3</v>
      </c>
      <c r="L851" s="48">
        <v>183.4</v>
      </c>
      <c r="M851" s="48">
        <v>633.5</v>
      </c>
      <c r="N851" s="48">
        <v>50.8</v>
      </c>
    </row>
    <row r="852" spans="1:14" ht="10.050000000000001" customHeight="1">
      <c r="A852" s="45" t="s">
        <v>86</v>
      </c>
      <c r="B852" s="46">
        <v>2022</v>
      </c>
      <c r="C852" s="45" t="s">
        <v>129</v>
      </c>
      <c r="D852" s="47">
        <v>5</v>
      </c>
      <c r="E852" s="48">
        <v>30.8</v>
      </c>
      <c r="F852" s="48">
        <v>17.600000000000001</v>
      </c>
      <c r="G852" s="48">
        <v>48.4</v>
      </c>
      <c r="H852" s="48">
        <v>4532.6000000000004</v>
      </c>
      <c r="I852" s="48">
        <v>77.2</v>
      </c>
      <c r="J852" s="48">
        <v>4609.8</v>
      </c>
      <c r="K852" s="48">
        <v>22.2</v>
      </c>
      <c r="L852" s="48">
        <v>0</v>
      </c>
      <c r="M852" s="48">
        <v>0</v>
      </c>
      <c r="N852" s="48">
        <v>63.9</v>
      </c>
    </row>
    <row r="853" spans="1:14" ht="10.050000000000001" customHeight="1">
      <c r="A853" s="45" t="s">
        <v>89</v>
      </c>
      <c r="B853" s="46">
        <v>2022</v>
      </c>
      <c r="C853" s="45" t="s">
        <v>129</v>
      </c>
      <c r="D853" s="47">
        <v>5</v>
      </c>
      <c r="E853" s="48">
        <v>118.9</v>
      </c>
      <c r="F853" s="48">
        <v>0</v>
      </c>
      <c r="G853" s="48">
        <v>118.9</v>
      </c>
      <c r="H853" s="48">
        <v>3070.7</v>
      </c>
      <c r="I853" s="48">
        <v>305.8</v>
      </c>
      <c r="J853" s="48">
        <v>3376.5</v>
      </c>
      <c r="K853" s="48">
        <v>96.6</v>
      </c>
      <c r="L853" s="48">
        <v>108.9</v>
      </c>
      <c r="M853" s="48">
        <v>118.9</v>
      </c>
      <c r="N853" s="48">
        <v>12.6</v>
      </c>
    </row>
    <row r="854" spans="1:14" ht="10.050000000000001" customHeight="1">
      <c r="A854" s="45" t="s">
        <v>87</v>
      </c>
      <c r="B854" s="46">
        <v>2022</v>
      </c>
      <c r="C854" s="45" t="s">
        <v>129</v>
      </c>
      <c r="D854" s="47">
        <v>5</v>
      </c>
      <c r="E854" s="48">
        <v>6460.9</v>
      </c>
      <c r="F854" s="48">
        <v>53.8</v>
      </c>
      <c r="G854" s="48">
        <v>6514.7</v>
      </c>
      <c r="H854" s="48">
        <v>81634.3</v>
      </c>
      <c r="I854" s="48">
        <v>2379.8000000000002</v>
      </c>
      <c r="J854" s="48">
        <v>84014.1</v>
      </c>
      <c r="K854" s="48">
        <v>2605.8000000000002</v>
      </c>
      <c r="L854" s="48">
        <v>-244.4</v>
      </c>
      <c r="M854" s="48">
        <v>3575.2</v>
      </c>
      <c r="N854" s="48">
        <v>198.2</v>
      </c>
    </row>
    <row r="855" spans="1:14" ht="10.050000000000001" customHeight="1">
      <c r="A855" s="45" t="s">
        <v>127</v>
      </c>
      <c r="B855" s="46">
        <v>2022</v>
      </c>
      <c r="C855" s="45" t="s">
        <v>129</v>
      </c>
      <c r="D855" s="47">
        <v>5</v>
      </c>
      <c r="E855" s="48">
        <v>607.6</v>
      </c>
      <c r="F855" s="48">
        <v>0</v>
      </c>
      <c r="G855" s="48">
        <v>607.6</v>
      </c>
      <c r="H855" s="48">
        <v>11201.3</v>
      </c>
      <c r="I855" s="48">
        <v>388.8</v>
      </c>
      <c r="J855" s="48">
        <v>11590.1</v>
      </c>
      <c r="K855" s="48">
        <v>90.8</v>
      </c>
      <c r="L855" s="48">
        <v>0</v>
      </c>
      <c r="M855" s="48">
        <v>24.9</v>
      </c>
      <c r="N855" s="48">
        <v>22.1</v>
      </c>
    </row>
    <row r="856" spans="1:14" ht="10.050000000000001" customHeight="1">
      <c r="A856" s="45" t="s">
        <v>84</v>
      </c>
      <c r="B856" s="46">
        <v>2022</v>
      </c>
      <c r="C856" s="45" t="s">
        <v>129</v>
      </c>
      <c r="D856" s="47">
        <v>6</v>
      </c>
      <c r="E856" s="48">
        <v>2192</v>
      </c>
      <c r="F856" s="48">
        <v>56.3</v>
      </c>
      <c r="G856" s="48">
        <v>2248.3000000000002</v>
      </c>
      <c r="H856" s="48">
        <v>18269.5</v>
      </c>
      <c r="I856" s="48">
        <v>1503.5</v>
      </c>
      <c r="J856" s="48">
        <v>19773</v>
      </c>
      <c r="K856" s="48">
        <v>468.5</v>
      </c>
      <c r="L856" s="48">
        <v>559.70000000000005</v>
      </c>
      <c r="M856" s="48">
        <v>603.6</v>
      </c>
      <c r="N856" s="48">
        <v>328.2</v>
      </c>
    </row>
    <row r="857" spans="1:14" ht="10.050000000000001" customHeight="1">
      <c r="A857" s="45" t="s">
        <v>86</v>
      </c>
      <c r="B857" s="46">
        <v>2022</v>
      </c>
      <c r="C857" s="45" t="s">
        <v>129</v>
      </c>
      <c r="D857" s="47">
        <v>6</v>
      </c>
      <c r="E857" s="48">
        <v>144.19999999999999</v>
      </c>
      <c r="F857" s="48">
        <v>4.3</v>
      </c>
      <c r="G857" s="48">
        <v>148.5</v>
      </c>
      <c r="H857" s="48">
        <v>2982.7</v>
      </c>
      <c r="I857" s="48">
        <v>52.6</v>
      </c>
      <c r="J857" s="48">
        <v>3035.3</v>
      </c>
      <c r="K857" s="48">
        <v>26.5</v>
      </c>
      <c r="L857" s="48">
        <v>9.6</v>
      </c>
      <c r="M857" s="48">
        <v>1.8</v>
      </c>
      <c r="N857" s="48">
        <v>3.5</v>
      </c>
    </row>
    <row r="858" spans="1:14" ht="10.050000000000001" customHeight="1">
      <c r="A858" s="45" t="s">
        <v>89</v>
      </c>
      <c r="B858" s="46">
        <v>2022</v>
      </c>
      <c r="C858" s="45" t="s">
        <v>129</v>
      </c>
      <c r="D858" s="47">
        <v>6</v>
      </c>
      <c r="E858" s="48">
        <v>0</v>
      </c>
      <c r="F858" s="48">
        <v>0</v>
      </c>
      <c r="G858" s="48">
        <v>0</v>
      </c>
      <c r="H858" s="48">
        <v>2113.8000000000002</v>
      </c>
      <c r="I858" s="48">
        <v>546.79999999999995</v>
      </c>
      <c r="J858" s="48">
        <v>2660.6</v>
      </c>
      <c r="K858" s="48">
        <v>73.599999999999994</v>
      </c>
      <c r="L858" s="48">
        <v>0</v>
      </c>
      <c r="M858" s="48">
        <v>0</v>
      </c>
      <c r="N858" s="48">
        <v>23</v>
      </c>
    </row>
    <row r="859" spans="1:14" ht="10.050000000000001" customHeight="1">
      <c r="A859" s="45" t="s">
        <v>87</v>
      </c>
      <c r="B859" s="46">
        <v>2022</v>
      </c>
      <c r="C859" s="45" t="s">
        <v>129</v>
      </c>
      <c r="D859" s="47">
        <v>6</v>
      </c>
      <c r="E859" s="48">
        <v>3425.2</v>
      </c>
      <c r="F859" s="48">
        <v>36.200000000000003</v>
      </c>
      <c r="G859" s="48">
        <v>3461.4</v>
      </c>
      <c r="H859" s="48">
        <v>52408.3</v>
      </c>
      <c r="I859" s="48">
        <v>2186.5</v>
      </c>
      <c r="J859" s="48">
        <v>54594.8</v>
      </c>
      <c r="K859" s="48">
        <v>1084.9000000000001</v>
      </c>
      <c r="L859" s="48">
        <v>253.4</v>
      </c>
      <c r="M859" s="48">
        <v>1296</v>
      </c>
      <c r="N859" s="48">
        <v>489.6</v>
      </c>
    </row>
    <row r="860" spans="1:14" ht="10.050000000000001" customHeight="1">
      <c r="A860" s="45" t="s">
        <v>127</v>
      </c>
      <c r="B860" s="46">
        <v>2022</v>
      </c>
      <c r="C860" s="45" t="s">
        <v>129</v>
      </c>
      <c r="D860" s="47">
        <v>6</v>
      </c>
      <c r="E860" s="48">
        <v>164.9</v>
      </c>
      <c r="F860" s="48">
        <v>50.2</v>
      </c>
      <c r="G860" s="48">
        <v>215.1</v>
      </c>
      <c r="H860" s="48">
        <v>8606.1</v>
      </c>
      <c r="I860" s="48">
        <v>1068.0999999999999</v>
      </c>
      <c r="J860" s="48">
        <v>9674.2000000000007</v>
      </c>
      <c r="K860" s="48">
        <v>57.4</v>
      </c>
      <c r="L860" s="48">
        <v>0</v>
      </c>
      <c r="M860" s="48">
        <v>11.7</v>
      </c>
      <c r="N860" s="48">
        <v>70.099999999999994</v>
      </c>
    </row>
    <row r="861" spans="1:14" ht="10.050000000000001" customHeight="1">
      <c r="A861" s="45" t="s">
        <v>84</v>
      </c>
      <c r="B861" s="46">
        <v>2022</v>
      </c>
      <c r="C861" s="45" t="s">
        <v>130</v>
      </c>
      <c r="D861" s="47">
        <v>7</v>
      </c>
      <c r="E861" s="48">
        <v>33853.4</v>
      </c>
      <c r="F861" s="48">
        <v>433</v>
      </c>
      <c r="G861" s="48">
        <v>34286.400000000001</v>
      </c>
      <c r="H861" s="48">
        <v>47190.6</v>
      </c>
      <c r="I861" s="48">
        <v>1786.2</v>
      </c>
      <c r="J861" s="48">
        <v>48976.800000000003</v>
      </c>
      <c r="K861" s="48">
        <v>14742.3</v>
      </c>
      <c r="L861" s="48">
        <v>17750.7</v>
      </c>
      <c r="M861" s="48">
        <v>3259.5</v>
      </c>
      <c r="N861" s="48">
        <v>185.7</v>
      </c>
    </row>
    <row r="862" spans="1:14" ht="10.050000000000001" customHeight="1">
      <c r="A862" s="45" t="s">
        <v>86</v>
      </c>
      <c r="B862" s="46">
        <v>2022</v>
      </c>
      <c r="C862" s="45" t="s">
        <v>130</v>
      </c>
      <c r="D862" s="47">
        <v>7</v>
      </c>
      <c r="E862" s="48">
        <v>9487.4</v>
      </c>
      <c r="F862" s="48">
        <v>3.9</v>
      </c>
      <c r="G862" s="48">
        <v>9491.2999999999993</v>
      </c>
      <c r="H862" s="48">
        <v>14026</v>
      </c>
      <c r="I862" s="48">
        <v>48.3</v>
      </c>
      <c r="J862" s="48">
        <v>14074.3</v>
      </c>
      <c r="K862" s="48">
        <v>1330.4</v>
      </c>
      <c r="L862" s="48">
        <v>1854.4</v>
      </c>
      <c r="M862" s="48">
        <v>517.5</v>
      </c>
      <c r="N862" s="48">
        <v>12.2</v>
      </c>
    </row>
    <row r="863" spans="1:14" ht="10.050000000000001" customHeight="1">
      <c r="A863" s="45" t="s">
        <v>89</v>
      </c>
      <c r="B863" s="46">
        <v>2022</v>
      </c>
      <c r="C863" s="45" t="s">
        <v>130</v>
      </c>
      <c r="D863" s="47">
        <v>7</v>
      </c>
      <c r="E863" s="48">
        <v>3547.2</v>
      </c>
      <c r="F863" s="48">
        <v>0</v>
      </c>
      <c r="G863" s="48">
        <v>3547.2</v>
      </c>
      <c r="H863" s="48">
        <v>5026.2</v>
      </c>
      <c r="I863" s="48">
        <v>546.6</v>
      </c>
      <c r="J863" s="48">
        <v>5572.8</v>
      </c>
      <c r="K863" s="48">
        <v>980.4</v>
      </c>
      <c r="L863" s="48">
        <v>987.6</v>
      </c>
      <c r="M863" s="48">
        <v>44.1</v>
      </c>
      <c r="N863" s="48">
        <v>36.799999999999997</v>
      </c>
    </row>
    <row r="864" spans="1:14" ht="10.050000000000001" customHeight="1">
      <c r="A864" s="45" t="s">
        <v>87</v>
      </c>
      <c r="B864" s="46">
        <v>2022</v>
      </c>
      <c r="C864" s="45" t="s">
        <v>130</v>
      </c>
      <c r="D864" s="47">
        <v>7</v>
      </c>
      <c r="E864" s="48">
        <v>190932.1</v>
      </c>
      <c r="F864" s="48">
        <v>5223.3999999999996</v>
      </c>
      <c r="G864" s="48">
        <v>196155.5</v>
      </c>
      <c r="H864" s="48">
        <v>226883.4</v>
      </c>
      <c r="I864" s="48">
        <v>6323.4</v>
      </c>
      <c r="J864" s="48">
        <v>233206.8</v>
      </c>
      <c r="K864" s="48">
        <v>72029.899999999994</v>
      </c>
      <c r="L864" s="48">
        <v>95854.5</v>
      </c>
      <c r="M864" s="48">
        <v>24486.3</v>
      </c>
      <c r="N864" s="48">
        <v>393.7</v>
      </c>
    </row>
    <row r="865" spans="1:14" ht="10.050000000000001" customHeight="1">
      <c r="A865" s="45" t="s">
        <v>127</v>
      </c>
      <c r="B865" s="46">
        <v>2022</v>
      </c>
      <c r="C865" s="45" t="s">
        <v>130</v>
      </c>
      <c r="D865" s="47">
        <v>7</v>
      </c>
      <c r="E865" s="48">
        <v>3098.7</v>
      </c>
      <c r="F865" s="48">
        <v>1844.3</v>
      </c>
      <c r="G865" s="48">
        <v>4943</v>
      </c>
      <c r="H865" s="48">
        <v>11075.4</v>
      </c>
      <c r="I865" s="48">
        <v>3101.9</v>
      </c>
      <c r="J865" s="48">
        <v>14177.3</v>
      </c>
      <c r="K865" s="48">
        <v>842.9</v>
      </c>
      <c r="L865" s="48">
        <v>873.4</v>
      </c>
      <c r="M865" s="48">
        <v>88</v>
      </c>
      <c r="N865" s="48">
        <v>0</v>
      </c>
    </row>
    <row r="866" spans="1:14" ht="10.050000000000001" customHeight="1">
      <c r="A866" s="45" t="s">
        <v>84</v>
      </c>
      <c r="B866" s="46">
        <v>2022</v>
      </c>
      <c r="C866" s="45" t="s">
        <v>130</v>
      </c>
      <c r="D866" s="47">
        <v>8</v>
      </c>
      <c r="E866" s="48">
        <v>23122.6</v>
      </c>
      <c r="F866" s="48">
        <v>1139.5999999999999</v>
      </c>
      <c r="G866" s="48">
        <v>24262.2</v>
      </c>
      <c r="H866" s="48">
        <v>61050.7</v>
      </c>
      <c r="I866" s="48">
        <v>2502.6</v>
      </c>
      <c r="J866" s="48">
        <v>63553.3</v>
      </c>
      <c r="K866" s="48">
        <v>13217</v>
      </c>
      <c r="L866" s="48">
        <v>6406.2</v>
      </c>
      <c r="M866" s="48">
        <v>7533.2</v>
      </c>
      <c r="N866" s="48">
        <v>384.9</v>
      </c>
    </row>
    <row r="867" spans="1:14" ht="10.050000000000001" customHeight="1">
      <c r="A867" s="45" t="s">
        <v>86</v>
      </c>
      <c r="B867" s="46">
        <v>2022</v>
      </c>
      <c r="C867" s="45" t="s">
        <v>130</v>
      </c>
      <c r="D867" s="47">
        <v>8</v>
      </c>
      <c r="E867" s="48">
        <v>4022.3</v>
      </c>
      <c r="F867" s="48">
        <v>3.9</v>
      </c>
      <c r="G867" s="48">
        <v>4026.2</v>
      </c>
      <c r="H867" s="48">
        <v>15626.3</v>
      </c>
      <c r="I867" s="48">
        <v>52.2</v>
      </c>
      <c r="J867" s="48">
        <v>15678.5</v>
      </c>
      <c r="K867" s="48">
        <v>1022.7</v>
      </c>
      <c r="L867" s="48">
        <v>644.4</v>
      </c>
      <c r="M867" s="48">
        <v>940.9</v>
      </c>
      <c r="N867" s="48">
        <v>11.1</v>
      </c>
    </row>
    <row r="868" spans="1:14" ht="10.050000000000001" customHeight="1">
      <c r="A868" s="45" t="s">
        <v>89</v>
      </c>
      <c r="B868" s="46">
        <v>2022</v>
      </c>
      <c r="C868" s="45" t="s">
        <v>130</v>
      </c>
      <c r="D868" s="47">
        <v>8</v>
      </c>
      <c r="E868" s="48">
        <v>1650.3</v>
      </c>
      <c r="F868" s="48">
        <v>1.9</v>
      </c>
      <c r="G868" s="48">
        <v>1652.2</v>
      </c>
      <c r="H868" s="48">
        <v>5845.2</v>
      </c>
      <c r="I868" s="48">
        <v>548.29999999999995</v>
      </c>
      <c r="J868" s="48">
        <v>6393.5</v>
      </c>
      <c r="K868" s="48">
        <v>659.8</v>
      </c>
      <c r="L868" s="48">
        <v>433.1</v>
      </c>
      <c r="M868" s="48">
        <v>692.9</v>
      </c>
      <c r="N868" s="48">
        <v>60.7</v>
      </c>
    </row>
    <row r="869" spans="1:14" ht="10.050000000000001" customHeight="1">
      <c r="A869" s="45" t="s">
        <v>87</v>
      </c>
      <c r="B869" s="46">
        <v>2022</v>
      </c>
      <c r="C869" s="45" t="s">
        <v>130</v>
      </c>
      <c r="D869" s="47">
        <v>8</v>
      </c>
      <c r="E869" s="48">
        <v>26223.3</v>
      </c>
      <c r="F869" s="48">
        <v>2711.2</v>
      </c>
      <c r="G869" s="48">
        <v>28934.5</v>
      </c>
      <c r="H869" s="48">
        <v>228492.6</v>
      </c>
      <c r="I869" s="48">
        <v>7255</v>
      </c>
      <c r="J869" s="48">
        <v>235747.6</v>
      </c>
      <c r="K869" s="48">
        <v>53494.2</v>
      </c>
      <c r="L869" s="48">
        <v>1472</v>
      </c>
      <c r="M869" s="48">
        <v>19354.400000000001</v>
      </c>
      <c r="N869" s="48">
        <v>665.2</v>
      </c>
    </row>
    <row r="870" spans="1:14" ht="10.050000000000001" customHeight="1">
      <c r="A870" s="45" t="s">
        <v>127</v>
      </c>
      <c r="B870" s="46">
        <v>2022</v>
      </c>
      <c r="C870" s="45" t="s">
        <v>130</v>
      </c>
      <c r="D870" s="47">
        <v>8</v>
      </c>
      <c r="E870" s="48">
        <v>2720.1</v>
      </c>
      <c r="F870" s="48">
        <v>73.3</v>
      </c>
      <c r="G870" s="48">
        <v>2793.4</v>
      </c>
      <c r="H870" s="48">
        <v>12394.4</v>
      </c>
      <c r="I870" s="48">
        <v>3095.2</v>
      </c>
      <c r="J870" s="48">
        <v>15489.6</v>
      </c>
      <c r="K870" s="48">
        <v>1617.8</v>
      </c>
      <c r="L870" s="48">
        <v>973.1</v>
      </c>
      <c r="M870" s="48">
        <v>148</v>
      </c>
      <c r="N870" s="48">
        <v>1.8</v>
      </c>
    </row>
    <row r="871" spans="1:14" ht="10.050000000000001" customHeight="1">
      <c r="A871" s="45" t="s">
        <v>84</v>
      </c>
      <c r="B871" s="46">
        <v>2022</v>
      </c>
      <c r="C871" s="45" t="s">
        <v>130</v>
      </c>
      <c r="D871" s="47">
        <v>9</v>
      </c>
      <c r="E871" s="48">
        <v>8307.7000000000007</v>
      </c>
      <c r="F871" s="48">
        <v>2174.6999999999998</v>
      </c>
      <c r="G871" s="48">
        <v>10482.4</v>
      </c>
      <c r="H871" s="48">
        <v>60022.8</v>
      </c>
      <c r="I871" s="48">
        <v>2965.3</v>
      </c>
      <c r="J871" s="48">
        <v>62988.1</v>
      </c>
      <c r="K871" s="48">
        <v>9720.7000000000007</v>
      </c>
      <c r="L871" s="48">
        <v>1466</v>
      </c>
      <c r="M871" s="48">
        <v>4596.5</v>
      </c>
      <c r="N871" s="48">
        <v>338</v>
      </c>
    </row>
    <row r="872" spans="1:14" ht="10.050000000000001" customHeight="1">
      <c r="A872" s="45" t="s">
        <v>86</v>
      </c>
      <c r="B872" s="46">
        <v>2022</v>
      </c>
      <c r="C872" s="45" t="s">
        <v>130</v>
      </c>
      <c r="D872" s="47">
        <v>9</v>
      </c>
      <c r="E872" s="48">
        <v>901.2</v>
      </c>
      <c r="F872" s="48">
        <v>120.3</v>
      </c>
      <c r="G872" s="48">
        <v>1021.5</v>
      </c>
      <c r="H872" s="48">
        <v>15156.8</v>
      </c>
      <c r="I872" s="48">
        <v>96.4</v>
      </c>
      <c r="J872" s="48">
        <v>15253.2</v>
      </c>
      <c r="K872" s="48">
        <v>842.4</v>
      </c>
      <c r="L872" s="48">
        <v>132.30000000000001</v>
      </c>
      <c r="M872" s="48">
        <v>312.7</v>
      </c>
      <c r="N872" s="48">
        <v>0</v>
      </c>
    </row>
    <row r="873" spans="1:14" ht="10.050000000000001" customHeight="1">
      <c r="A873" s="45" t="s">
        <v>89</v>
      </c>
      <c r="B873" s="46">
        <v>2022</v>
      </c>
      <c r="C873" s="45" t="s">
        <v>130</v>
      </c>
      <c r="D873" s="47">
        <v>9</v>
      </c>
      <c r="E873" s="48">
        <v>576.70000000000005</v>
      </c>
      <c r="F873" s="48">
        <v>0</v>
      </c>
      <c r="G873" s="48">
        <v>576.70000000000005</v>
      </c>
      <c r="H873" s="48">
        <v>5716.5</v>
      </c>
      <c r="I873" s="48">
        <v>548.4</v>
      </c>
      <c r="J873" s="48">
        <v>6264.9</v>
      </c>
      <c r="K873" s="48">
        <v>568.1</v>
      </c>
      <c r="L873" s="48">
        <v>123.2</v>
      </c>
      <c r="M873" s="48">
        <v>194.6</v>
      </c>
      <c r="N873" s="48">
        <v>20.3</v>
      </c>
    </row>
    <row r="874" spans="1:14" ht="10.050000000000001" customHeight="1">
      <c r="A874" s="45" t="s">
        <v>87</v>
      </c>
      <c r="B874" s="46">
        <v>2022</v>
      </c>
      <c r="C874" s="45" t="s">
        <v>130</v>
      </c>
      <c r="D874" s="47">
        <v>9</v>
      </c>
      <c r="E874" s="48">
        <v>23215.8</v>
      </c>
      <c r="F874" s="48">
        <v>3300.2</v>
      </c>
      <c r="G874" s="48">
        <v>26516</v>
      </c>
      <c r="H874" s="48">
        <v>223104.1</v>
      </c>
      <c r="I874" s="48">
        <v>7385.4</v>
      </c>
      <c r="J874" s="48">
        <v>230489.5</v>
      </c>
      <c r="K874" s="48">
        <v>39002.6</v>
      </c>
      <c r="L874" s="48">
        <v>2163</v>
      </c>
      <c r="M874" s="48">
        <v>16254.8</v>
      </c>
      <c r="N874" s="48">
        <v>400.1</v>
      </c>
    </row>
    <row r="875" spans="1:14" ht="10.050000000000001" customHeight="1">
      <c r="A875" s="45" t="s">
        <v>127</v>
      </c>
      <c r="B875" s="46">
        <v>2022</v>
      </c>
      <c r="C875" s="45" t="s">
        <v>130</v>
      </c>
      <c r="D875" s="47">
        <v>9</v>
      </c>
      <c r="E875" s="48">
        <v>2290.4</v>
      </c>
      <c r="F875" s="48">
        <v>0</v>
      </c>
      <c r="G875" s="48">
        <v>2290.4</v>
      </c>
      <c r="H875" s="48">
        <v>12937.8</v>
      </c>
      <c r="I875" s="48">
        <v>2790.4</v>
      </c>
      <c r="J875" s="48">
        <v>15728.2</v>
      </c>
      <c r="K875" s="48">
        <v>1420.3</v>
      </c>
      <c r="L875" s="48">
        <v>233</v>
      </c>
      <c r="M875" s="48">
        <v>416.9</v>
      </c>
      <c r="N875" s="48">
        <v>13.7</v>
      </c>
    </row>
    <row r="876" spans="1:14" ht="10.050000000000001" customHeight="1">
      <c r="A876" s="45" t="s">
        <v>84</v>
      </c>
      <c r="B876" s="46">
        <v>2022</v>
      </c>
      <c r="C876" s="45" t="s">
        <v>130</v>
      </c>
      <c r="D876" s="47">
        <v>10</v>
      </c>
      <c r="E876" s="48">
        <v>4036.2</v>
      </c>
      <c r="F876" s="48">
        <v>1336.2</v>
      </c>
      <c r="G876" s="48">
        <v>5372.4</v>
      </c>
      <c r="H876" s="48">
        <v>55009.7</v>
      </c>
      <c r="I876" s="48">
        <v>2736.5</v>
      </c>
      <c r="J876" s="48">
        <v>57746.2</v>
      </c>
      <c r="K876" s="48">
        <v>7624.9</v>
      </c>
      <c r="L876" s="48">
        <v>586.79999999999995</v>
      </c>
      <c r="M876" s="48">
        <v>2457</v>
      </c>
      <c r="N876" s="48">
        <v>225.9</v>
      </c>
    </row>
    <row r="877" spans="1:14" ht="10.050000000000001" customHeight="1">
      <c r="A877" s="45" t="s">
        <v>86</v>
      </c>
      <c r="B877" s="46">
        <v>2022</v>
      </c>
      <c r="C877" s="45" t="s">
        <v>130</v>
      </c>
      <c r="D877" s="47">
        <v>10</v>
      </c>
      <c r="E877" s="48">
        <v>717.9</v>
      </c>
      <c r="F877" s="48">
        <v>183.9</v>
      </c>
      <c r="G877" s="48">
        <v>901.8</v>
      </c>
      <c r="H877" s="48">
        <v>13810.3</v>
      </c>
      <c r="I877" s="48">
        <v>207.7</v>
      </c>
      <c r="J877" s="48">
        <v>14018</v>
      </c>
      <c r="K877" s="48">
        <v>481.4</v>
      </c>
      <c r="L877" s="48">
        <v>16.600000000000001</v>
      </c>
      <c r="M877" s="48">
        <v>294.2</v>
      </c>
      <c r="N877" s="48">
        <v>83.2</v>
      </c>
    </row>
    <row r="878" spans="1:14" ht="10.050000000000001" customHeight="1">
      <c r="A878" s="45" t="s">
        <v>89</v>
      </c>
      <c r="B878" s="46">
        <v>2022</v>
      </c>
      <c r="C878" s="45" t="s">
        <v>130</v>
      </c>
      <c r="D878" s="47">
        <v>10</v>
      </c>
      <c r="E878" s="48">
        <v>178.1</v>
      </c>
      <c r="F878" s="48">
        <v>450.9</v>
      </c>
      <c r="G878" s="48">
        <v>629</v>
      </c>
      <c r="H878" s="48">
        <v>5400.9</v>
      </c>
      <c r="I878" s="48">
        <v>688.1</v>
      </c>
      <c r="J878" s="48">
        <v>6089</v>
      </c>
      <c r="K878" s="48">
        <v>512</v>
      </c>
      <c r="L878" s="48">
        <v>75.5</v>
      </c>
      <c r="M878" s="48">
        <v>87.6</v>
      </c>
      <c r="N878" s="48">
        <v>44</v>
      </c>
    </row>
    <row r="879" spans="1:14" ht="10.050000000000001" customHeight="1">
      <c r="A879" s="45" t="s">
        <v>87</v>
      </c>
      <c r="B879" s="46">
        <v>2022</v>
      </c>
      <c r="C879" s="45" t="s">
        <v>130</v>
      </c>
      <c r="D879" s="47">
        <v>10</v>
      </c>
      <c r="E879" s="48">
        <v>9798.6</v>
      </c>
      <c r="F879" s="48">
        <v>6208.3</v>
      </c>
      <c r="G879" s="48">
        <v>16006.9</v>
      </c>
      <c r="H879" s="48">
        <v>203425.2</v>
      </c>
      <c r="I879" s="48">
        <v>8745.1</v>
      </c>
      <c r="J879" s="48">
        <v>212170.3</v>
      </c>
      <c r="K879" s="48">
        <v>32454.400000000001</v>
      </c>
      <c r="L879" s="48">
        <v>333.8</v>
      </c>
      <c r="M879" s="48">
        <v>6455.8</v>
      </c>
      <c r="N879" s="48">
        <v>424.4</v>
      </c>
    </row>
    <row r="880" spans="1:14" ht="10.050000000000001" customHeight="1">
      <c r="A880" s="45" t="s">
        <v>127</v>
      </c>
      <c r="B880" s="46">
        <v>2022</v>
      </c>
      <c r="C880" s="45" t="s">
        <v>130</v>
      </c>
      <c r="D880" s="47">
        <v>10</v>
      </c>
      <c r="E880" s="48">
        <v>1224.5</v>
      </c>
      <c r="F880" s="48">
        <v>37.4</v>
      </c>
      <c r="G880" s="48">
        <v>1261.9000000000001</v>
      </c>
      <c r="H880" s="48">
        <v>12133.2</v>
      </c>
      <c r="I880" s="48">
        <v>2683.9</v>
      </c>
      <c r="J880" s="48">
        <v>14817.1</v>
      </c>
      <c r="K880" s="48">
        <v>520.29999999999995</v>
      </c>
      <c r="L880" s="48">
        <v>38.4</v>
      </c>
      <c r="M880" s="48">
        <v>938.5</v>
      </c>
      <c r="N880" s="48">
        <v>0</v>
      </c>
    </row>
    <row r="881" spans="1:14" ht="10.050000000000001" customHeight="1">
      <c r="A881" s="45" t="s">
        <v>84</v>
      </c>
      <c r="B881" s="46">
        <v>2022</v>
      </c>
      <c r="C881" s="45" t="s">
        <v>130</v>
      </c>
      <c r="D881" s="47">
        <v>11</v>
      </c>
      <c r="E881" s="48">
        <v>3480.1</v>
      </c>
      <c r="F881" s="48">
        <v>920.3</v>
      </c>
      <c r="G881" s="48">
        <v>4400.3999999999996</v>
      </c>
      <c r="H881" s="48">
        <v>52110.400000000001</v>
      </c>
      <c r="I881" s="48">
        <v>3065.2</v>
      </c>
      <c r="J881" s="48">
        <v>55175.6</v>
      </c>
      <c r="K881" s="48">
        <v>6008</v>
      </c>
      <c r="L881" s="48">
        <v>530.5</v>
      </c>
      <c r="M881" s="48">
        <v>1943</v>
      </c>
      <c r="N881" s="48">
        <v>206.3</v>
      </c>
    </row>
    <row r="882" spans="1:14" ht="10.050000000000001" customHeight="1">
      <c r="A882" s="45" t="s">
        <v>86</v>
      </c>
      <c r="B882" s="46">
        <v>2022</v>
      </c>
      <c r="C882" s="45" t="s">
        <v>130</v>
      </c>
      <c r="D882" s="47">
        <v>11</v>
      </c>
      <c r="E882" s="48">
        <v>681.3</v>
      </c>
      <c r="F882" s="48">
        <v>298.3</v>
      </c>
      <c r="G882" s="48">
        <v>979.6</v>
      </c>
      <c r="H882" s="48">
        <v>10879</v>
      </c>
      <c r="I882" s="48">
        <v>400.8</v>
      </c>
      <c r="J882" s="48">
        <v>11279.8</v>
      </c>
      <c r="K882" s="48">
        <v>284.2</v>
      </c>
      <c r="L882" s="48">
        <v>55.7</v>
      </c>
      <c r="M882" s="48">
        <v>241.1</v>
      </c>
      <c r="N882" s="48">
        <v>11.9</v>
      </c>
    </row>
    <row r="883" spans="1:14" ht="10.050000000000001" customHeight="1">
      <c r="A883" s="45" t="s">
        <v>89</v>
      </c>
      <c r="B883" s="46">
        <v>2022</v>
      </c>
      <c r="C883" s="45" t="s">
        <v>130</v>
      </c>
      <c r="D883" s="47">
        <v>11</v>
      </c>
      <c r="E883" s="48">
        <v>260.89999999999998</v>
      </c>
      <c r="F883" s="48">
        <v>3.7</v>
      </c>
      <c r="G883" s="48">
        <v>264.60000000000002</v>
      </c>
      <c r="H883" s="48">
        <v>5011.8</v>
      </c>
      <c r="I883" s="48">
        <v>686.7</v>
      </c>
      <c r="J883" s="48">
        <v>5698.5</v>
      </c>
      <c r="K883" s="48">
        <v>386.1</v>
      </c>
      <c r="L883" s="48">
        <v>3.4</v>
      </c>
      <c r="M883" s="48">
        <v>81.900000000000006</v>
      </c>
      <c r="N883" s="48">
        <v>47.3</v>
      </c>
    </row>
    <row r="884" spans="1:14" ht="10.050000000000001" customHeight="1">
      <c r="A884" s="45" t="s">
        <v>87</v>
      </c>
      <c r="B884" s="46">
        <v>2022</v>
      </c>
      <c r="C884" s="45" t="s">
        <v>130</v>
      </c>
      <c r="D884" s="47">
        <v>11</v>
      </c>
      <c r="E884" s="48">
        <v>9897.3000000000102</v>
      </c>
      <c r="F884" s="48">
        <v>4169.6000000000004</v>
      </c>
      <c r="G884" s="48">
        <v>14066.9</v>
      </c>
      <c r="H884" s="48">
        <v>182551.8</v>
      </c>
      <c r="I884" s="48">
        <v>10227</v>
      </c>
      <c r="J884" s="48">
        <v>192778.8</v>
      </c>
      <c r="K884" s="48">
        <v>27041.9</v>
      </c>
      <c r="L884" s="48">
        <v>865.8</v>
      </c>
      <c r="M884" s="48">
        <v>6148.2</v>
      </c>
      <c r="N884" s="48">
        <v>129.9</v>
      </c>
    </row>
    <row r="885" spans="1:14" ht="10.050000000000001" customHeight="1">
      <c r="A885" s="45" t="s">
        <v>127</v>
      </c>
      <c r="B885" s="46">
        <v>2022</v>
      </c>
      <c r="C885" s="45" t="s">
        <v>130</v>
      </c>
      <c r="D885" s="47">
        <v>11</v>
      </c>
      <c r="E885" s="48">
        <v>508.9</v>
      </c>
      <c r="F885" s="48">
        <v>25</v>
      </c>
      <c r="G885" s="48">
        <v>533.9</v>
      </c>
      <c r="H885" s="48">
        <v>11127.9</v>
      </c>
      <c r="I885" s="48">
        <v>1690.4</v>
      </c>
      <c r="J885" s="48">
        <v>12818.3</v>
      </c>
      <c r="K885" s="48">
        <v>244.6</v>
      </c>
      <c r="L885" s="48">
        <v>0</v>
      </c>
      <c r="M885" s="48">
        <v>275.7</v>
      </c>
      <c r="N885" s="48">
        <v>0</v>
      </c>
    </row>
    <row r="886" spans="1:14" ht="10.050000000000001" customHeight="1">
      <c r="A886" s="45" t="s">
        <v>84</v>
      </c>
      <c r="B886" s="46">
        <v>2022</v>
      </c>
      <c r="C886" s="45" t="s">
        <v>130</v>
      </c>
      <c r="D886" s="47">
        <v>12</v>
      </c>
      <c r="E886" s="48">
        <v>3125.9</v>
      </c>
      <c r="F886" s="48">
        <v>643.9</v>
      </c>
      <c r="G886" s="48">
        <v>3769.8</v>
      </c>
      <c r="H886" s="48">
        <v>48812.6</v>
      </c>
      <c r="I886" s="48">
        <v>3462.1</v>
      </c>
      <c r="J886" s="48">
        <v>52274.7</v>
      </c>
      <c r="K886" s="48">
        <v>4407.8999999999996</v>
      </c>
      <c r="L886" s="48">
        <v>446.2</v>
      </c>
      <c r="M886" s="48">
        <v>1732.8</v>
      </c>
      <c r="N886" s="48">
        <v>276.5</v>
      </c>
    </row>
    <row r="887" spans="1:14" ht="10.050000000000001" customHeight="1">
      <c r="A887" s="45" t="s">
        <v>86</v>
      </c>
      <c r="B887" s="46">
        <v>2022</v>
      </c>
      <c r="C887" s="45" t="s">
        <v>130</v>
      </c>
      <c r="D887" s="47">
        <v>12</v>
      </c>
      <c r="E887" s="48">
        <v>106.7</v>
      </c>
      <c r="F887" s="48">
        <v>177.8</v>
      </c>
      <c r="G887" s="48">
        <v>284.5</v>
      </c>
      <c r="H887" s="48">
        <v>9221.8000000000102</v>
      </c>
      <c r="I887" s="48">
        <v>518.70000000000005</v>
      </c>
      <c r="J887" s="48">
        <v>9740.5</v>
      </c>
      <c r="K887" s="48">
        <v>261.5</v>
      </c>
      <c r="L887" s="48">
        <v>9</v>
      </c>
      <c r="M887" s="48">
        <v>17.100000000000001</v>
      </c>
      <c r="N887" s="48">
        <v>5.7</v>
      </c>
    </row>
    <row r="888" spans="1:14" ht="10.050000000000001" customHeight="1">
      <c r="A888" s="45" t="s">
        <v>89</v>
      </c>
      <c r="B888" s="46">
        <v>2022</v>
      </c>
      <c r="C888" s="45" t="s">
        <v>130</v>
      </c>
      <c r="D888" s="47">
        <v>12</v>
      </c>
      <c r="E888" s="48">
        <v>193.3</v>
      </c>
      <c r="F888" s="48">
        <v>0</v>
      </c>
      <c r="G888" s="48">
        <v>193.3</v>
      </c>
      <c r="H888" s="48">
        <v>4839.1000000000004</v>
      </c>
      <c r="I888" s="48">
        <v>564</v>
      </c>
      <c r="J888" s="48">
        <v>5403.1</v>
      </c>
      <c r="K888" s="48">
        <v>299.60000000000002</v>
      </c>
      <c r="L888" s="48">
        <v>0</v>
      </c>
      <c r="M888" s="48">
        <v>59.9</v>
      </c>
      <c r="N888" s="48">
        <v>26.7</v>
      </c>
    </row>
    <row r="889" spans="1:14" ht="10.050000000000001" customHeight="1">
      <c r="A889" s="45" t="s">
        <v>87</v>
      </c>
      <c r="B889" s="46">
        <v>2022</v>
      </c>
      <c r="C889" s="45" t="s">
        <v>130</v>
      </c>
      <c r="D889" s="47">
        <v>12</v>
      </c>
      <c r="E889" s="48">
        <v>6876</v>
      </c>
      <c r="F889" s="48">
        <v>2315.1999999999998</v>
      </c>
      <c r="G889" s="48">
        <v>9191.2000000000007</v>
      </c>
      <c r="H889" s="48">
        <v>166959.79999999999</v>
      </c>
      <c r="I889" s="48">
        <v>10627.8</v>
      </c>
      <c r="J889" s="48">
        <v>177587.6</v>
      </c>
      <c r="K889" s="48">
        <v>23585.8</v>
      </c>
      <c r="L889" s="48">
        <v>708.5</v>
      </c>
      <c r="M889" s="48">
        <v>4001.8</v>
      </c>
      <c r="N889" s="48">
        <v>164.2</v>
      </c>
    </row>
    <row r="890" spans="1:14" ht="10.050000000000001" customHeight="1">
      <c r="A890" s="45" t="s">
        <v>127</v>
      </c>
      <c r="B890" s="46">
        <v>2022</v>
      </c>
      <c r="C890" s="45" t="s">
        <v>130</v>
      </c>
      <c r="D890" s="47">
        <v>12</v>
      </c>
      <c r="E890" s="48">
        <v>108.2</v>
      </c>
      <c r="F890" s="48">
        <v>209.9</v>
      </c>
      <c r="G890" s="48">
        <v>318.10000000000002</v>
      </c>
      <c r="H890" s="48">
        <v>9590.5</v>
      </c>
      <c r="I890" s="48">
        <v>1391</v>
      </c>
      <c r="J890" s="48">
        <v>10981.5</v>
      </c>
      <c r="K890" s="48">
        <v>252.3</v>
      </c>
      <c r="L890" s="48">
        <v>10.4</v>
      </c>
      <c r="M890" s="48">
        <v>0.5</v>
      </c>
      <c r="N890" s="48">
        <v>2.2000000000000002</v>
      </c>
    </row>
    <row r="891" spans="1:14" ht="10.050000000000001" customHeight="1">
      <c r="A891" s="45" t="s">
        <v>84</v>
      </c>
      <c r="B891" s="46">
        <v>2023</v>
      </c>
      <c r="C891" s="45" t="s">
        <v>130</v>
      </c>
      <c r="D891" s="47">
        <v>1</v>
      </c>
      <c r="E891" s="48">
        <v>2174.6999999999998</v>
      </c>
      <c r="F891" s="48">
        <v>300</v>
      </c>
      <c r="G891" s="48">
        <v>2474.6999999999998</v>
      </c>
      <c r="H891" s="48">
        <v>42761.5</v>
      </c>
      <c r="I891" s="48">
        <v>2286.5</v>
      </c>
      <c r="J891" s="48">
        <v>45048</v>
      </c>
      <c r="K891" s="48">
        <v>3890.2</v>
      </c>
      <c r="L891" s="48">
        <v>680.7</v>
      </c>
      <c r="M891" s="48">
        <v>748.6</v>
      </c>
      <c r="N891" s="48">
        <v>473.2</v>
      </c>
    </row>
    <row r="892" spans="1:14" ht="10.050000000000001" customHeight="1">
      <c r="A892" s="45" t="s">
        <v>86</v>
      </c>
      <c r="B892" s="46">
        <v>2023</v>
      </c>
      <c r="C892" s="45" t="s">
        <v>130</v>
      </c>
      <c r="D892" s="47">
        <v>1</v>
      </c>
      <c r="E892" s="48">
        <v>170.9</v>
      </c>
      <c r="F892" s="48">
        <v>902.6</v>
      </c>
      <c r="G892" s="48">
        <v>1073.5</v>
      </c>
      <c r="H892" s="48">
        <v>8246.2000000000007</v>
      </c>
      <c r="I892" s="48">
        <v>695.9</v>
      </c>
      <c r="J892" s="48">
        <v>8942.1</v>
      </c>
      <c r="K892" s="48">
        <v>210.3</v>
      </c>
      <c r="L892" s="48">
        <v>24.6</v>
      </c>
      <c r="M892" s="48">
        <v>64.8</v>
      </c>
      <c r="N892" s="48">
        <v>10.9</v>
      </c>
    </row>
    <row r="893" spans="1:14" ht="10.050000000000001" customHeight="1">
      <c r="A893" s="45" t="s">
        <v>89</v>
      </c>
      <c r="B893" s="46">
        <v>2023</v>
      </c>
      <c r="C893" s="45" t="s">
        <v>130</v>
      </c>
      <c r="D893" s="47">
        <v>1</v>
      </c>
      <c r="E893" s="48">
        <v>65.099999999999994</v>
      </c>
      <c r="F893" s="48">
        <v>15.9</v>
      </c>
      <c r="G893" s="48">
        <v>81</v>
      </c>
      <c r="H893" s="48">
        <v>4655.8</v>
      </c>
      <c r="I893" s="48">
        <v>472.2</v>
      </c>
      <c r="J893" s="48">
        <v>5128</v>
      </c>
      <c r="K893" s="48">
        <v>179.2</v>
      </c>
      <c r="L893" s="48">
        <v>251.3</v>
      </c>
      <c r="M893" s="48">
        <v>65.099999999999994</v>
      </c>
      <c r="N893" s="48">
        <v>306.60000000000002</v>
      </c>
    </row>
    <row r="894" spans="1:14" ht="10.050000000000001" customHeight="1">
      <c r="A894" s="45" t="s">
        <v>87</v>
      </c>
      <c r="B894" s="46">
        <v>2023</v>
      </c>
      <c r="C894" s="45" t="s">
        <v>130</v>
      </c>
      <c r="D894" s="47">
        <v>1</v>
      </c>
      <c r="E894" s="48">
        <v>8790.2000000000007</v>
      </c>
      <c r="F894" s="48">
        <v>2850.8</v>
      </c>
      <c r="G894" s="48">
        <v>11641</v>
      </c>
      <c r="H894" s="48">
        <v>154272.5</v>
      </c>
      <c r="I894" s="48">
        <v>8699.9</v>
      </c>
      <c r="J894" s="48">
        <v>162972.4</v>
      </c>
      <c r="K894" s="48">
        <v>19840.7</v>
      </c>
      <c r="L894" s="48">
        <v>1374.7</v>
      </c>
      <c r="M894" s="48">
        <v>4678.6000000000004</v>
      </c>
      <c r="N894" s="48">
        <v>459.6</v>
      </c>
    </row>
    <row r="895" spans="1:14" ht="10.050000000000001" customHeight="1">
      <c r="A895" s="45" t="s">
        <v>127</v>
      </c>
      <c r="B895" s="46">
        <v>2023</v>
      </c>
      <c r="C895" s="45" t="s">
        <v>130</v>
      </c>
      <c r="D895" s="47">
        <v>1</v>
      </c>
      <c r="E895" s="48">
        <v>182.9</v>
      </c>
      <c r="F895" s="48">
        <v>0</v>
      </c>
      <c r="G895" s="48">
        <v>182.9</v>
      </c>
      <c r="H895" s="48">
        <v>8536.7000000000007</v>
      </c>
      <c r="I895" s="48">
        <v>745.2</v>
      </c>
      <c r="J895" s="48">
        <v>9281.9000000000106</v>
      </c>
      <c r="K895" s="48">
        <v>147</v>
      </c>
      <c r="L895" s="48">
        <v>0</v>
      </c>
      <c r="M895" s="48">
        <v>105.2</v>
      </c>
      <c r="N895" s="48">
        <v>0</v>
      </c>
    </row>
    <row r="896" spans="1:14" ht="10.050000000000001" customHeight="1">
      <c r="A896" s="45" t="s">
        <v>84</v>
      </c>
      <c r="B896" s="46">
        <v>2023</v>
      </c>
      <c r="C896" s="45" t="s">
        <v>130</v>
      </c>
      <c r="D896" s="47">
        <v>2</v>
      </c>
      <c r="E896" s="48">
        <v>1612.1</v>
      </c>
      <c r="F896" s="48">
        <v>80.2</v>
      </c>
      <c r="G896" s="48">
        <v>1692.3</v>
      </c>
      <c r="H896" s="48">
        <v>38769.800000000003</v>
      </c>
      <c r="I896" s="48">
        <v>1666</v>
      </c>
      <c r="J896" s="48">
        <v>40435.800000000003</v>
      </c>
      <c r="K896" s="48">
        <v>3481.4</v>
      </c>
      <c r="L896" s="48">
        <v>145.30000000000001</v>
      </c>
      <c r="M896" s="48">
        <v>503.5</v>
      </c>
      <c r="N896" s="48">
        <v>50.7</v>
      </c>
    </row>
    <row r="897" spans="1:14" ht="10.050000000000001" customHeight="1">
      <c r="A897" s="45" t="s">
        <v>86</v>
      </c>
      <c r="B897" s="46">
        <v>2023</v>
      </c>
      <c r="C897" s="45" t="s">
        <v>130</v>
      </c>
      <c r="D897" s="47">
        <v>2</v>
      </c>
      <c r="E897" s="48">
        <v>298.3</v>
      </c>
      <c r="F897" s="48">
        <v>145.30000000000001</v>
      </c>
      <c r="G897" s="48">
        <v>443.6</v>
      </c>
      <c r="H897" s="48">
        <v>6718.3</v>
      </c>
      <c r="I897" s="48">
        <v>216.5</v>
      </c>
      <c r="J897" s="48">
        <v>6934.8</v>
      </c>
      <c r="K897" s="48">
        <v>209.5</v>
      </c>
      <c r="L897" s="48">
        <v>0</v>
      </c>
      <c r="M897" s="48">
        <v>0</v>
      </c>
      <c r="N897" s="48">
        <v>0.9</v>
      </c>
    </row>
    <row r="898" spans="1:14" ht="10.050000000000001" customHeight="1">
      <c r="A898" s="45" t="s">
        <v>89</v>
      </c>
      <c r="B898" s="46">
        <v>2023</v>
      </c>
      <c r="C898" s="45" t="s">
        <v>130</v>
      </c>
      <c r="D898" s="47">
        <v>2</v>
      </c>
      <c r="E898" s="48">
        <v>7.5</v>
      </c>
      <c r="F898" s="48">
        <v>23.4</v>
      </c>
      <c r="G898" s="48">
        <v>30.9</v>
      </c>
      <c r="H898" s="48">
        <v>4360.3999999999996</v>
      </c>
      <c r="I898" s="48">
        <v>478.3</v>
      </c>
      <c r="J898" s="48">
        <v>4838.7</v>
      </c>
      <c r="K898" s="48">
        <v>145.5</v>
      </c>
      <c r="L898" s="48">
        <v>0</v>
      </c>
      <c r="M898" s="48">
        <v>0</v>
      </c>
      <c r="N898" s="48">
        <v>33.700000000000003</v>
      </c>
    </row>
    <row r="899" spans="1:14" ht="10.050000000000001" customHeight="1">
      <c r="A899" s="45" t="s">
        <v>87</v>
      </c>
      <c r="B899" s="46">
        <v>2023</v>
      </c>
      <c r="C899" s="45" t="s">
        <v>130</v>
      </c>
      <c r="D899" s="47">
        <v>2</v>
      </c>
      <c r="E899" s="48">
        <v>6092.2</v>
      </c>
      <c r="F899" s="48">
        <v>1222.9000000000001</v>
      </c>
      <c r="G899" s="48">
        <v>7315.1</v>
      </c>
      <c r="H899" s="48">
        <v>136860.79999999999</v>
      </c>
      <c r="I899" s="48">
        <v>5618.8</v>
      </c>
      <c r="J899" s="48">
        <v>142479.6</v>
      </c>
      <c r="K899" s="48">
        <v>17175</v>
      </c>
      <c r="L899" s="48">
        <v>634</v>
      </c>
      <c r="M899" s="48">
        <v>3145</v>
      </c>
      <c r="N899" s="48">
        <v>154.80000000000001</v>
      </c>
    </row>
    <row r="900" spans="1:14" ht="10.050000000000001" customHeight="1">
      <c r="A900" s="45" t="s">
        <v>127</v>
      </c>
      <c r="B900" s="46">
        <v>2023</v>
      </c>
      <c r="C900" s="45" t="s">
        <v>130</v>
      </c>
      <c r="D900" s="47">
        <v>2</v>
      </c>
      <c r="E900" s="48">
        <v>149</v>
      </c>
      <c r="F900" s="48">
        <v>0</v>
      </c>
      <c r="G900" s="48">
        <v>149</v>
      </c>
      <c r="H900" s="48">
        <v>7162.3</v>
      </c>
      <c r="I900" s="48">
        <v>482.9</v>
      </c>
      <c r="J900" s="48">
        <v>7645.2</v>
      </c>
      <c r="K900" s="48">
        <v>64.900000000000006</v>
      </c>
      <c r="L900" s="48">
        <v>16.100000000000001</v>
      </c>
      <c r="M900" s="48">
        <v>98.4</v>
      </c>
      <c r="N900" s="48">
        <v>0</v>
      </c>
    </row>
    <row r="901" spans="1:14" ht="10.050000000000001" customHeight="1">
      <c r="A901" s="45" t="s">
        <v>84</v>
      </c>
      <c r="B901" s="46">
        <v>2023</v>
      </c>
      <c r="C901" s="45" t="s">
        <v>130</v>
      </c>
      <c r="D901" s="47">
        <v>3</v>
      </c>
      <c r="E901" s="48">
        <v>2362.5</v>
      </c>
      <c r="F901" s="48">
        <v>7.4</v>
      </c>
      <c r="G901" s="48">
        <v>2369.9</v>
      </c>
      <c r="H901" s="48">
        <v>32840</v>
      </c>
      <c r="I901" s="48">
        <v>1562</v>
      </c>
      <c r="J901" s="48">
        <v>34402</v>
      </c>
      <c r="K901" s="48">
        <v>2486.4</v>
      </c>
      <c r="L901" s="48">
        <v>320.3</v>
      </c>
      <c r="M901" s="48">
        <v>1254</v>
      </c>
      <c r="N901" s="48">
        <v>61.5</v>
      </c>
    </row>
    <row r="902" spans="1:14" ht="10.050000000000001" customHeight="1">
      <c r="A902" s="45" t="s">
        <v>86</v>
      </c>
      <c r="B902" s="46">
        <v>2023</v>
      </c>
      <c r="C902" s="45" t="s">
        <v>130</v>
      </c>
      <c r="D902" s="47">
        <v>3</v>
      </c>
      <c r="E902" s="48">
        <v>194.3</v>
      </c>
      <c r="F902" s="48">
        <v>52.6</v>
      </c>
      <c r="G902" s="48">
        <v>246.9</v>
      </c>
      <c r="H902" s="48">
        <v>5256.6</v>
      </c>
      <c r="I902" s="48">
        <v>194.5</v>
      </c>
      <c r="J902" s="48">
        <v>5451.1</v>
      </c>
      <c r="K902" s="48">
        <v>195.8</v>
      </c>
      <c r="L902" s="48">
        <v>0</v>
      </c>
      <c r="M902" s="48">
        <v>0</v>
      </c>
      <c r="N902" s="48">
        <v>13.6</v>
      </c>
    </row>
    <row r="903" spans="1:14" ht="10.050000000000001" customHeight="1">
      <c r="A903" s="45" t="s">
        <v>89</v>
      </c>
      <c r="B903" s="46">
        <v>2023</v>
      </c>
      <c r="C903" s="45" t="s">
        <v>130</v>
      </c>
      <c r="D903" s="47">
        <v>3</v>
      </c>
      <c r="E903" s="48">
        <v>13.6</v>
      </c>
      <c r="F903" s="48">
        <v>0</v>
      </c>
      <c r="G903" s="48">
        <v>13.6</v>
      </c>
      <c r="H903" s="48">
        <v>3845.8</v>
      </c>
      <c r="I903" s="48">
        <v>392.6</v>
      </c>
      <c r="J903" s="48">
        <v>4238.3999999999996</v>
      </c>
      <c r="K903" s="48">
        <v>102.1</v>
      </c>
      <c r="L903" s="48">
        <v>0</v>
      </c>
      <c r="M903" s="48">
        <v>0</v>
      </c>
      <c r="N903" s="48">
        <v>43.5</v>
      </c>
    </row>
    <row r="904" spans="1:14" ht="10.050000000000001" customHeight="1">
      <c r="A904" s="45" t="s">
        <v>87</v>
      </c>
      <c r="B904" s="46">
        <v>2023</v>
      </c>
      <c r="C904" s="45" t="s">
        <v>130</v>
      </c>
      <c r="D904" s="47">
        <v>3</v>
      </c>
      <c r="E904" s="48">
        <v>10762.1</v>
      </c>
      <c r="F904" s="48">
        <v>1289.4000000000001</v>
      </c>
      <c r="G904" s="48">
        <v>12051.5</v>
      </c>
      <c r="H904" s="48">
        <v>117730.1</v>
      </c>
      <c r="I904" s="48">
        <v>5770.8</v>
      </c>
      <c r="J904" s="48">
        <v>123500.9</v>
      </c>
      <c r="K904" s="48">
        <v>11822.3</v>
      </c>
      <c r="L904" s="48">
        <v>1275.5999999999999</v>
      </c>
      <c r="M904" s="48">
        <v>6410.8</v>
      </c>
      <c r="N904" s="48">
        <v>218</v>
      </c>
    </row>
    <row r="905" spans="1:14" ht="10.050000000000001" customHeight="1">
      <c r="A905" s="45" t="s">
        <v>127</v>
      </c>
      <c r="B905" s="46">
        <v>2023</v>
      </c>
      <c r="C905" s="45" t="s">
        <v>130</v>
      </c>
      <c r="D905" s="47">
        <v>3</v>
      </c>
      <c r="E905" s="48">
        <v>171.5</v>
      </c>
      <c r="F905" s="48">
        <v>0</v>
      </c>
      <c r="G905" s="48">
        <v>171.5</v>
      </c>
      <c r="H905" s="48">
        <v>6627.4</v>
      </c>
      <c r="I905" s="48">
        <v>438.2</v>
      </c>
      <c r="J905" s="48">
        <v>7065.6</v>
      </c>
      <c r="K905" s="48">
        <v>35.299999999999997</v>
      </c>
      <c r="L905" s="48">
        <v>0</v>
      </c>
      <c r="M905" s="48">
        <v>7.1</v>
      </c>
      <c r="N905" s="48">
        <v>22.5</v>
      </c>
    </row>
    <row r="906" spans="1:14" ht="10.050000000000001" customHeight="1">
      <c r="A906" s="45" t="s">
        <v>84</v>
      </c>
      <c r="B906" s="46">
        <v>2023</v>
      </c>
      <c r="C906" s="45" t="s">
        <v>130</v>
      </c>
      <c r="D906" s="47">
        <v>4</v>
      </c>
      <c r="E906" s="48">
        <v>1890.8</v>
      </c>
      <c r="F906" s="48">
        <v>18.399999999999999</v>
      </c>
      <c r="G906" s="48">
        <v>1909.2</v>
      </c>
      <c r="H906" s="48">
        <v>29446.6</v>
      </c>
      <c r="I906" s="48">
        <v>1277.0999999999999</v>
      </c>
      <c r="J906" s="48">
        <v>30723.7</v>
      </c>
      <c r="K906" s="48">
        <v>1624.9</v>
      </c>
      <c r="L906" s="48">
        <v>181.9</v>
      </c>
      <c r="M906" s="48">
        <v>1018.2</v>
      </c>
      <c r="N906" s="48">
        <v>56.6</v>
      </c>
    </row>
    <row r="907" spans="1:14" ht="10.050000000000001" customHeight="1">
      <c r="A907" s="45" t="s">
        <v>86</v>
      </c>
      <c r="B907" s="46">
        <v>2023</v>
      </c>
      <c r="C907" s="45" t="s">
        <v>130</v>
      </c>
      <c r="D907" s="47">
        <v>4</v>
      </c>
      <c r="E907" s="48">
        <v>88.3</v>
      </c>
      <c r="F907" s="48">
        <v>0</v>
      </c>
      <c r="G907" s="48">
        <v>88.3</v>
      </c>
      <c r="H907" s="48">
        <v>4295.3999999999996</v>
      </c>
      <c r="I907" s="48">
        <v>212.3</v>
      </c>
      <c r="J907" s="48">
        <v>4507.7</v>
      </c>
      <c r="K907" s="48">
        <v>190.4</v>
      </c>
      <c r="L907" s="48">
        <v>46.7</v>
      </c>
      <c r="M907" s="48">
        <v>5.4</v>
      </c>
      <c r="N907" s="48">
        <v>0</v>
      </c>
    </row>
    <row r="908" spans="1:14" ht="10.050000000000001" customHeight="1">
      <c r="A908" s="45" t="s">
        <v>89</v>
      </c>
      <c r="B908" s="46">
        <v>2023</v>
      </c>
      <c r="C908" s="45" t="s">
        <v>130</v>
      </c>
      <c r="D908" s="47">
        <v>4</v>
      </c>
      <c r="E908" s="48">
        <v>38.9</v>
      </c>
      <c r="F908" s="48">
        <v>0</v>
      </c>
      <c r="G908" s="48">
        <v>38.9</v>
      </c>
      <c r="H908" s="48">
        <v>3774.3</v>
      </c>
      <c r="I908" s="48">
        <v>391.1</v>
      </c>
      <c r="J908" s="48">
        <v>4165.3999999999996</v>
      </c>
      <c r="K908" s="48">
        <v>143.19999999999999</v>
      </c>
      <c r="L908" s="48">
        <v>187.6</v>
      </c>
      <c r="M908" s="48">
        <v>38.9</v>
      </c>
      <c r="N908" s="48">
        <v>107.6</v>
      </c>
    </row>
    <row r="909" spans="1:14" ht="10.050000000000001" customHeight="1">
      <c r="A909" s="45" t="s">
        <v>87</v>
      </c>
      <c r="B909" s="46">
        <v>2023</v>
      </c>
      <c r="C909" s="45" t="s">
        <v>130</v>
      </c>
      <c r="D909" s="47">
        <v>4</v>
      </c>
      <c r="E909" s="48">
        <v>8176.7</v>
      </c>
      <c r="F909" s="48">
        <v>193.7</v>
      </c>
      <c r="G909" s="48">
        <v>8370.4</v>
      </c>
      <c r="H909" s="48">
        <v>104679.2</v>
      </c>
      <c r="I909" s="48">
        <v>4539.1000000000004</v>
      </c>
      <c r="J909" s="48">
        <v>109218.3</v>
      </c>
      <c r="K909" s="48">
        <v>7197.2</v>
      </c>
      <c r="L909" s="48">
        <v>578.29999999999995</v>
      </c>
      <c r="M909" s="48">
        <v>4819.2</v>
      </c>
      <c r="N909" s="48">
        <v>389.7</v>
      </c>
    </row>
    <row r="910" spans="1:14" ht="10.050000000000001" customHeight="1">
      <c r="A910" s="45" t="s">
        <v>127</v>
      </c>
      <c r="B910" s="46">
        <v>2023</v>
      </c>
      <c r="C910" s="45" t="s">
        <v>130</v>
      </c>
      <c r="D910" s="47">
        <v>4</v>
      </c>
      <c r="E910" s="48">
        <v>0</v>
      </c>
      <c r="F910" s="48">
        <v>0</v>
      </c>
      <c r="G910" s="48">
        <v>0</v>
      </c>
      <c r="H910" s="48">
        <v>5787.1</v>
      </c>
      <c r="I910" s="48">
        <v>155.30000000000001</v>
      </c>
      <c r="J910" s="48">
        <v>5942.4</v>
      </c>
      <c r="K910" s="48">
        <v>35.299999999999997</v>
      </c>
      <c r="L910" s="48">
        <v>0</v>
      </c>
      <c r="M910" s="48">
        <v>0</v>
      </c>
      <c r="N910" s="48">
        <v>0</v>
      </c>
    </row>
    <row r="911" spans="1:14" ht="10.050000000000001" customHeight="1">
      <c r="A911" s="45" t="s">
        <v>84</v>
      </c>
      <c r="B911" s="46">
        <v>2023</v>
      </c>
      <c r="C911" s="45" t="s">
        <v>130</v>
      </c>
      <c r="D911" s="47">
        <v>5</v>
      </c>
      <c r="E911" s="48">
        <v>2377.3000000000002</v>
      </c>
      <c r="F911" s="48">
        <v>0</v>
      </c>
      <c r="G911" s="48">
        <v>2377.3000000000002</v>
      </c>
      <c r="H911" s="48">
        <v>23350.400000000001</v>
      </c>
      <c r="I911" s="48">
        <v>1198.3</v>
      </c>
      <c r="J911" s="48">
        <v>24548.7</v>
      </c>
      <c r="K911" s="48">
        <v>626.29999999999995</v>
      </c>
      <c r="L911" s="48">
        <v>233.8</v>
      </c>
      <c r="M911" s="48">
        <v>1118</v>
      </c>
      <c r="N911" s="48">
        <v>110</v>
      </c>
    </row>
    <row r="912" spans="1:14" ht="10.050000000000001" customHeight="1">
      <c r="A912" s="45" t="s">
        <v>86</v>
      </c>
      <c r="B912" s="46">
        <v>2023</v>
      </c>
      <c r="C912" s="45" t="s">
        <v>130</v>
      </c>
      <c r="D912" s="47">
        <v>5</v>
      </c>
      <c r="E912" s="48">
        <v>211.7</v>
      </c>
      <c r="F912" s="48">
        <v>15.6</v>
      </c>
      <c r="G912" s="48">
        <v>227.3</v>
      </c>
      <c r="H912" s="48">
        <v>3818.3</v>
      </c>
      <c r="I912" s="48">
        <v>202.1</v>
      </c>
      <c r="J912" s="48">
        <v>4020.4</v>
      </c>
      <c r="K912" s="48">
        <v>10.8</v>
      </c>
      <c r="L912" s="48">
        <v>0</v>
      </c>
      <c r="M912" s="48">
        <v>71.3</v>
      </c>
      <c r="N912" s="48">
        <v>108.2</v>
      </c>
    </row>
    <row r="913" spans="1:14" ht="10.050000000000001" customHeight="1">
      <c r="A913" s="45" t="s">
        <v>89</v>
      </c>
      <c r="B913" s="46">
        <v>2023</v>
      </c>
      <c r="C913" s="45" t="s">
        <v>130</v>
      </c>
      <c r="D913" s="47">
        <v>5</v>
      </c>
      <c r="E913" s="48">
        <v>88.8</v>
      </c>
      <c r="F913" s="48">
        <v>0</v>
      </c>
      <c r="G913" s="48">
        <v>88.8</v>
      </c>
      <c r="H913" s="48">
        <v>2863</v>
      </c>
      <c r="I913" s="48">
        <v>344.9</v>
      </c>
      <c r="J913" s="48">
        <v>3207.9</v>
      </c>
      <c r="K913" s="48">
        <v>32.6</v>
      </c>
      <c r="L913" s="48">
        <v>88.8</v>
      </c>
      <c r="M913" s="48">
        <v>88.8</v>
      </c>
      <c r="N913" s="48">
        <v>110.7</v>
      </c>
    </row>
    <row r="914" spans="1:14" ht="10.050000000000001" customHeight="1">
      <c r="A914" s="45" t="s">
        <v>87</v>
      </c>
      <c r="B914" s="46">
        <v>2023</v>
      </c>
      <c r="C914" s="45" t="s">
        <v>130</v>
      </c>
      <c r="D914" s="47">
        <v>5</v>
      </c>
      <c r="E914" s="48">
        <v>6881.1</v>
      </c>
      <c r="F914" s="48">
        <v>29.1</v>
      </c>
      <c r="G914" s="48">
        <v>6910.2</v>
      </c>
      <c r="H914" s="48">
        <v>82151.100000000006</v>
      </c>
      <c r="I914" s="48">
        <v>3932</v>
      </c>
      <c r="J914" s="48">
        <v>86083.1</v>
      </c>
      <c r="K914" s="48">
        <v>2762.3</v>
      </c>
      <c r="L914" s="48">
        <v>458.1</v>
      </c>
      <c r="M914" s="48">
        <v>4472.2</v>
      </c>
      <c r="N914" s="48">
        <v>415.6</v>
      </c>
    </row>
    <row r="915" spans="1:14" ht="10.050000000000001" customHeight="1">
      <c r="A915" s="45" t="s">
        <v>127</v>
      </c>
      <c r="B915" s="46">
        <v>2023</v>
      </c>
      <c r="C915" s="45" t="s">
        <v>130</v>
      </c>
      <c r="D915" s="47">
        <v>5</v>
      </c>
      <c r="E915" s="48">
        <v>35.5</v>
      </c>
      <c r="F915" s="48">
        <v>0</v>
      </c>
      <c r="G915" s="48">
        <v>35.5</v>
      </c>
      <c r="H915" s="48">
        <v>5219.8999999999996</v>
      </c>
      <c r="I915" s="48">
        <v>155.30000000000001</v>
      </c>
      <c r="J915" s="48">
        <v>5375.2</v>
      </c>
      <c r="K915" s="48">
        <v>25.1</v>
      </c>
      <c r="L915" s="48">
        <v>30.5</v>
      </c>
      <c r="M915" s="48">
        <v>32.9</v>
      </c>
      <c r="N915" s="48">
        <v>7.7</v>
      </c>
    </row>
    <row r="916" spans="1:14" ht="10.050000000000001" customHeight="1">
      <c r="A916" s="45" t="s">
        <v>84</v>
      </c>
      <c r="B916" s="46">
        <v>2023</v>
      </c>
      <c r="C916" s="45" t="s">
        <v>130</v>
      </c>
      <c r="D916" s="47">
        <v>6</v>
      </c>
      <c r="E916" s="48">
        <v>2225.4</v>
      </c>
      <c r="F916" s="48">
        <v>7.8</v>
      </c>
      <c r="G916" s="48">
        <v>2233.1999999999998</v>
      </c>
      <c r="H916" s="48">
        <v>12658.4</v>
      </c>
      <c r="I916" s="48">
        <v>1144.5999999999999</v>
      </c>
      <c r="J916" s="48">
        <v>13803</v>
      </c>
      <c r="K916" s="48">
        <v>336.5</v>
      </c>
      <c r="L916" s="48">
        <v>562.9</v>
      </c>
      <c r="M916" s="48">
        <v>773.8</v>
      </c>
      <c r="N916" s="48">
        <v>86.7</v>
      </c>
    </row>
    <row r="917" spans="1:14" ht="10.050000000000001" customHeight="1">
      <c r="A917" s="45" t="s">
        <v>86</v>
      </c>
      <c r="B917" s="46">
        <v>2023</v>
      </c>
      <c r="C917" s="45" t="s">
        <v>130</v>
      </c>
      <c r="D917" s="47">
        <v>6</v>
      </c>
      <c r="E917" s="48">
        <v>141.9</v>
      </c>
      <c r="F917" s="48">
        <v>1.5</v>
      </c>
      <c r="G917" s="48">
        <v>143.4</v>
      </c>
      <c r="H917" s="48">
        <v>2671.2</v>
      </c>
      <c r="I917" s="48">
        <v>135.69999999999999</v>
      </c>
      <c r="J917" s="48">
        <v>2806.9</v>
      </c>
      <c r="K917" s="48">
        <v>0.1</v>
      </c>
      <c r="L917" s="48">
        <v>0</v>
      </c>
      <c r="M917" s="48">
        <v>10.7</v>
      </c>
      <c r="N917" s="48">
        <v>0</v>
      </c>
    </row>
    <row r="918" spans="1:14" ht="10.050000000000001" customHeight="1">
      <c r="A918" s="45" t="s">
        <v>89</v>
      </c>
      <c r="B918" s="46">
        <v>2023</v>
      </c>
      <c r="C918" s="45" t="s">
        <v>130</v>
      </c>
      <c r="D918" s="47">
        <v>6</v>
      </c>
      <c r="E918" s="48">
        <v>58.6</v>
      </c>
      <c r="F918" s="48">
        <v>0</v>
      </c>
      <c r="G918" s="48">
        <v>58.6</v>
      </c>
      <c r="H918" s="48">
        <v>2067.3000000000002</v>
      </c>
      <c r="I918" s="48">
        <v>298.10000000000002</v>
      </c>
      <c r="J918" s="48">
        <v>2365.4</v>
      </c>
      <c r="K918" s="48">
        <v>6.2</v>
      </c>
      <c r="L918" s="48">
        <v>0</v>
      </c>
      <c r="M918" s="48">
        <v>26.4</v>
      </c>
      <c r="N918" s="48">
        <v>0</v>
      </c>
    </row>
    <row r="919" spans="1:14" ht="10.050000000000001" customHeight="1">
      <c r="A919" s="45" t="s">
        <v>87</v>
      </c>
      <c r="B919" s="46">
        <v>2023</v>
      </c>
      <c r="C919" s="45" t="s">
        <v>130</v>
      </c>
      <c r="D919" s="47">
        <v>6</v>
      </c>
      <c r="E919" s="48">
        <v>4235.8999999999996</v>
      </c>
      <c r="F919" s="48">
        <v>209.5</v>
      </c>
      <c r="G919" s="48">
        <v>4445.3999999999996</v>
      </c>
      <c r="H919" s="48">
        <v>50159.199999999997</v>
      </c>
      <c r="I919" s="48">
        <v>3600</v>
      </c>
      <c r="J919" s="48">
        <v>53759.199999999997</v>
      </c>
      <c r="K919" s="48">
        <v>2033.6</v>
      </c>
      <c r="L919" s="48">
        <v>1275</v>
      </c>
      <c r="M919" s="48">
        <v>1499.6</v>
      </c>
      <c r="N919" s="48">
        <v>522</v>
      </c>
    </row>
    <row r="920" spans="1:14" ht="10.050000000000001" customHeight="1">
      <c r="A920" s="45" t="s">
        <v>127</v>
      </c>
      <c r="B920" s="46">
        <v>2023</v>
      </c>
      <c r="C920" s="45" t="s">
        <v>130</v>
      </c>
      <c r="D920" s="47">
        <v>6</v>
      </c>
      <c r="E920" s="48">
        <v>166.3</v>
      </c>
      <c r="F920" s="48">
        <v>0</v>
      </c>
      <c r="G920" s="48">
        <v>166.3</v>
      </c>
      <c r="H920" s="48">
        <v>3249.6</v>
      </c>
      <c r="I920" s="48">
        <v>155.30000000000001</v>
      </c>
      <c r="J920" s="48">
        <v>3404.9</v>
      </c>
      <c r="K920" s="48">
        <v>12.8</v>
      </c>
      <c r="L920" s="48">
        <v>5.2</v>
      </c>
      <c r="M920" s="48">
        <v>5.2</v>
      </c>
      <c r="N920" s="48">
        <v>12.3</v>
      </c>
    </row>
    <row r="921" spans="1:14" ht="10.050000000000001" customHeight="1">
      <c r="A921" s="45" t="s">
        <v>84</v>
      </c>
      <c r="B921" s="46">
        <v>2023</v>
      </c>
      <c r="C921" s="45" t="s">
        <v>131</v>
      </c>
      <c r="D921" s="47">
        <v>7</v>
      </c>
      <c r="E921" s="48">
        <v>41016.400000000001</v>
      </c>
      <c r="F921" s="48">
        <v>1041.2</v>
      </c>
      <c r="G921" s="48">
        <v>42057.599999999999</v>
      </c>
      <c r="H921" s="48">
        <v>47612</v>
      </c>
      <c r="I921" s="48">
        <v>1476.1</v>
      </c>
      <c r="J921" s="48">
        <v>49088.1</v>
      </c>
      <c r="K921" s="48">
        <v>23401.1</v>
      </c>
      <c r="L921" s="48">
        <v>28016</v>
      </c>
      <c r="M921" s="48">
        <v>4501.6000000000004</v>
      </c>
      <c r="N921" s="48">
        <v>475.1</v>
      </c>
    </row>
    <row r="922" spans="1:14" ht="10.050000000000001" customHeight="1">
      <c r="A922" s="45" t="s">
        <v>86</v>
      </c>
      <c r="B922" s="46">
        <v>2023</v>
      </c>
      <c r="C922" s="45" t="s">
        <v>131</v>
      </c>
      <c r="D922" s="47">
        <v>7</v>
      </c>
      <c r="E922" s="48">
        <v>5919.3</v>
      </c>
      <c r="F922" s="48">
        <v>45.4</v>
      </c>
      <c r="G922" s="48">
        <v>5964.7</v>
      </c>
      <c r="H922" s="48">
        <v>8347.1</v>
      </c>
      <c r="I922" s="48">
        <v>148.6</v>
      </c>
      <c r="J922" s="48">
        <v>8495.7000000000007</v>
      </c>
      <c r="K922" s="48">
        <v>1095.2</v>
      </c>
      <c r="L922" s="48">
        <v>1604.6</v>
      </c>
      <c r="M922" s="48">
        <v>525.5</v>
      </c>
      <c r="N922" s="48">
        <v>0</v>
      </c>
    </row>
    <row r="923" spans="1:14" ht="10.050000000000001" customHeight="1">
      <c r="A923" s="45" t="s">
        <v>89</v>
      </c>
      <c r="B923" s="46">
        <v>2023</v>
      </c>
      <c r="C923" s="45" t="s">
        <v>131</v>
      </c>
      <c r="D923" s="47">
        <v>7</v>
      </c>
      <c r="E923" s="48">
        <v>2455.6</v>
      </c>
      <c r="F923" s="48">
        <v>0</v>
      </c>
      <c r="G923" s="48">
        <v>2455.6</v>
      </c>
      <c r="H923" s="48">
        <v>4067.4</v>
      </c>
      <c r="I923" s="48">
        <v>298.10000000000002</v>
      </c>
      <c r="J923" s="48">
        <v>4365.5</v>
      </c>
      <c r="K923" s="48">
        <v>397</v>
      </c>
      <c r="L923" s="48">
        <v>413.5</v>
      </c>
      <c r="M923" s="48">
        <v>0</v>
      </c>
      <c r="N923" s="48">
        <v>22.7</v>
      </c>
    </row>
    <row r="924" spans="1:14" ht="10.050000000000001" customHeight="1">
      <c r="A924" s="45" t="s">
        <v>87</v>
      </c>
      <c r="B924" s="46">
        <v>2023</v>
      </c>
      <c r="C924" s="45" t="s">
        <v>131</v>
      </c>
      <c r="D924" s="47">
        <v>7</v>
      </c>
      <c r="E924" s="48">
        <v>197254.8</v>
      </c>
      <c r="F924" s="48">
        <v>7615.5</v>
      </c>
      <c r="G924" s="48">
        <v>204870.3</v>
      </c>
      <c r="H924" s="48">
        <v>226302.1</v>
      </c>
      <c r="I924" s="48">
        <v>9644.2999999999993</v>
      </c>
      <c r="J924" s="48">
        <v>235946.4</v>
      </c>
      <c r="K924" s="48">
        <v>125485.9</v>
      </c>
      <c r="L924" s="48">
        <v>145195.70000000001</v>
      </c>
      <c r="M924" s="48">
        <v>19940.5</v>
      </c>
      <c r="N924" s="48">
        <v>1691.6</v>
      </c>
    </row>
    <row r="925" spans="1:14" ht="10.050000000000001" customHeight="1">
      <c r="A925" s="45" t="s">
        <v>127</v>
      </c>
      <c r="B925" s="46">
        <v>2023</v>
      </c>
      <c r="C925" s="45" t="s">
        <v>131</v>
      </c>
      <c r="D925" s="47">
        <v>7</v>
      </c>
      <c r="E925" s="48">
        <v>2096.4</v>
      </c>
      <c r="F925" s="48">
        <v>3767</v>
      </c>
      <c r="G925" s="48">
        <v>5863.4</v>
      </c>
      <c r="H925" s="48">
        <v>4703.3999999999996</v>
      </c>
      <c r="I925" s="48">
        <v>4287</v>
      </c>
      <c r="J925" s="48">
        <v>8990.4</v>
      </c>
      <c r="K925" s="48">
        <v>655.9</v>
      </c>
      <c r="L925" s="48">
        <v>643.1</v>
      </c>
      <c r="M925" s="48">
        <v>0</v>
      </c>
      <c r="N925" s="48">
        <v>0</v>
      </c>
    </row>
    <row r="926" spans="1:14" ht="10.050000000000001" customHeight="1">
      <c r="A926" s="45" t="s">
        <v>84</v>
      </c>
      <c r="B926" s="46">
        <v>2023</v>
      </c>
      <c r="C926" s="45" t="s">
        <v>131</v>
      </c>
      <c r="D926" s="47">
        <v>8</v>
      </c>
      <c r="E926" s="48">
        <v>41639.9</v>
      </c>
      <c r="F926" s="48">
        <v>2476.1</v>
      </c>
      <c r="G926" s="48">
        <v>44116</v>
      </c>
      <c r="H926" s="48">
        <v>82045.399999999994</v>
      </c>
      <c r="I926" s="48">
        <v>2680.8</v>
      </c>
      <c r="J926" s="48">
        <v>84726.2</v>
      </c>
      <c r="K926" s="48">
        <v>29248.2</v>
      </c>
      <c r="L926" s="48">
        <v>17604.7</v>
      </c>
      <c r="M926" s="48">
        <v>10842.2</v>
      </c>
      <c r="N926" s="48">
        <v>886.6</v>
      </c>
    </row>
    <row r="927" spans="1:14" ht="10.050000000000001" customHeight="1">
      <c r="A927" s="45" t="s">
        <v>86</v>
      </c>
      <c r="B927" s="46">
        <v>2023</v>
      </c>
      <c r="C927" s="45" t="s">
        <v>131</v>
      </c>
      <c r="D927" s="47">
        <v>8</v>
      </c>
      <c r="E927" s="48">
        <v>6380.9</v>
      </c>
      <c r="F927" s="48">
        <v>50</v>
      </c>
      <c r="G927" s="48">
        <v>6430.9</v>
      </c>
      <c r="H927" s="48">
        <v>13827.5</v>
      </c>
      <c r="I927" s="48">
        <v>189.7</v>
      </c>
      <c r="J927" s="48">
        <v>14017.2</v>
      </c>
      <c r="K927" s="48">
        <v>1313.6</v>
      </c>
      <c r="L927" s="48">
        <v>719.9</v>
      </c>
      <c r="M927" s="48">
        <v>431.3</v>
      </c>
      <c r="N927" s="48">
        <v>68.5</v>
      </c>
    </row>
    <row r="928" spans="1:14" ht="10.050000000000001" customHeight="1">
      <c r="A928" s="45" t="s">
        <v>89</v>
      </c>
      <c r="B928" s="46">
        <v>2023</v>
      </c>
      <c r="C928" s="45" t="s">
        <v>131</v>
      </c>
      <c r="D928" s="47">
        <v>8</v>
      </c>
      <c r="E928" s="48">
        <v>2048.9</v>
      </c>
      <c r="F928" s="48">
        <v>0</v>
      </c>
      <c r="G928" s="48">
        <v>2048.9</v>
      </c>
      <c r="H928" s="48">
        <v>5896.8</v>
      </c>
      <c r="I928" s="48">
        <v>298.10000000000002</v>
      </c>
      <c r="J928" s="48">
        <v>6194.9</v>
      </c>
      <c r="K928" s="48">
        <v>477.4</v>
      </c>
      <c r="L928" s="48">
        <v>803.9</v>
      </c>
      <c r="M928" s="48">
        <v>659.7</v>
      </c>
      <c r="N928" s="48">
        <v>63.6</v>
      </c>
    </row>
    <row r="929" spans="1:14" ht="10.050000000000001" customHeight="1">
      <c r="A929" s="45" t="s">
        <v>87</v>
      </c>
      <c r="B929" s="46">
        <v>2023</v>
      </c>
      <c r="C929" s="45" t="s">
        <v>131</v>
      </c>
      <c r="D929" s="47">
        <v>8</v>
      </c>
      <c r="E929" s="48">
        <v>45351.7</v>
      </c>
      <c r="F929" s="48">
        <v>3318.1</v>
      </c>
      <c r="G929" s="48">
        <v>48669.8</v>
      </c>
      <c r="H929" s="48">
        <v>241203.7</v>
      </c>
      <c r="I929" s="48">
        <v>10966.4</v>
      </c>
      <c r="J929" s="48">
        <v>252170.1</v>
      </c>
      <c r="K929" s="48">
        <v>100297.8</v>
      </c>
      <c r="L929" s="48">
        <v>7273.8</v>
      </c>
      <c r="M929" s="48">
        <v>26690.1</v>
      </c>
      <c r="N929" s="48">
        <v>5760.8</v>
      </c>
    </row>
    <row r="930" spans="1:14" ht="10.050000000000001" customHeight="1">
      <c r="A930" s="45" t="s">
        <v>127</v>
      </c>
      <c r="B930" s="46">
        <v>2023</v>
      </c>
      <c r="C930" s="45" t="s">
        <v>131</v>
      </c>
      <c r="D930" s="47">
        <v>8</v>
      </c>
      <c r="E930" s="48">
        <v>8499.4</v>
      </c>
      <c r="F930" s="48">
        <v>1594</v>
      </c>
      <c r="G930" s="48">
        <v>10093.4</v>
      </c>
      <c r="H930" s="48">
        <v>12259.8</v>
      </c>
      <c r="I930" s="48">
        <v>5205.2</v>
      </c>
      <c r="J930" s="48">
        <v>17465</v>
      </c>
      <c r="K930" s="48">
        <v>2621.3000000000002</v>
      </c>
      <c r="L930" s="48">
        <v>2673.9</v>
      </c>
      <c r="M930" s="48">
        <v>703.5</v>
      </c>
      <c r="N930" s="48">
        <v>5.0999999999999996</v>
      </c>
    </row>
    <row r="931" spans="1:14" ht="10.050000000000001" customHeight="1">
      <c r="A931" s="45" t="s">
        <v>84</v>
      </c>
      <c r="B931" s="46">
        <v>2023</v>
      </c>
      <c r="C931" s="45" t="s">
        <v>131</v>
      </c>
      <c r="D931" s="47">
        <v>9</v>
      </c>
      <c r="E931" s="48">
        <v>17980</v>
      </c>
      <c r="F931" s="48">
        <v>1351.4</v>
      </c>
      <c r="G931" s="48">
        <v>19331.400000000001</v>
      </c>
      <c r="H931" s="48">
        <v>88012.9</v>
      </c>
      <c r="I931" s="48">
        <v>3086.4</v>
      </c>
      <c r="J931" s="48">
        <v>91099.3</v>
      </c>
      <c r="K931" s="48">
        <v>21437.7</v>
      </c>
      <c r="L931" s="48">
        <v>3360.4</v>
      </c>
      <c r="M931" s="48">
        <v>9409.2000000000007</v>
      </c>
      <c r="N931" s="48">
        <v>1783</v>
      </c>
    </row>
    <row r="932" spans="1:14" ht="10.050000000000001" customHeight="1">
      <c r="A932" s="45" t="s">
        <v>86</v>
      </c>
      <c r="B932" s="46">
        <v>2023</v>
      </c>
      <c r="C932" s="45" t="s">
        <v>131</v>
      </c>
      <c r="D932" s="47">
        <v>9</v>
      </c>
      <c r="E932" s="48">
        <v>1247.3</v>
      </c>
      <c r="F932" s="48">
        <v>43.5</v>
      </c>
      <c r="G932" s="48">
        <v>1290.8</v>
      </c>
      <c r="H932" s="48">
        <v>13244.4</v>
      </c>
      <c r="I932" s="48">
        <v>220.8</v>
      </c>
      <c r="J932" s="48">
        <v>13465.2</v>
      </c>
      <c r="K932" s="48">
        <v>825.6</v>
      </c>
      <c r="L932" s="48">
        <v>109</v>
      </c>
      <c r="M932" s="48">
        <v>429</v>
      </c>
      <c r="N932" s="48">
        <v>167.7</v>
      </c>
    </row>
    <row r="933" spans="1:14" ht="10.050000000000001" customHeight="1">
      <c r="A933" s="45" t="s">
        <v>89</v>
      </c>
      <c r="B933" s="46">
        <v>2023</v>
      </c>
      <c r="C933" s="45" t="s">
        <v>131</v>
      </c>
      <c r="D933" s="47">
        <v>9</v>
      </c>
      <c r="E933" s="48">
        <v>394.2</v>
      </c>
      <c r="F933" s="48">
        <v>0</v>
      </c>
      <c r="G933" s="48">
        <v>394.2</v>
      </c>
      <c r="H933" s="48">
        <v>5988.4</v>
      </c>
      <c r="I933" s="48">
        <v>241.1</v>
      </c>
      <c r="J933" s="48">
        <v>6229.5</v>
      </c>
      <c r="K933" s="48">
        <v>446</v>
      </c>
      <c r="L933" s="48">
        <v>134.9</v>
      </c>
      <c r="M933" s="48">
        <v>147.69999999999999</v>
      </c>
      <c r="N933" s="48">
        <v>18.7</v>
      </c>
    </row>
    <row r="934" spans="1:14" ht="10.050000000000001" customHeight="1">
      <c r="A934" s="45" t="s">
        <v>87</v>
      </c>
      <c r="B934" s="46">
        <v>2023</v>
      </c>
      <c r="C934" s="45" t="s">
        <v>131</v>
      </c>
      <c r="D934" s="47">
        <v>9</v>
      </c>
      <c r="E934" s="48">
        <v>32956.5</v>
      </c>
      <c r="F934" s="48">
        <v>2394.6</v>
      </c>
      <c r="G934" s="48">
        <v>35351.1</v>
      </c>
      <c r="H934" s="48">
        <v>240582.9</v>
      </c>
      <c r="I934" s="48">
        <v>11067.6</v>
      </c>
      <c r="J934" s="48">
        <v>251650.5</v>
      </c>
      <c r="K934" s="48">
        <v>76266.399999999994</v>
      </c>
      <c r="L934" s="48">
        <v>5814.4</v>
      </c>
      <c r="M934" s="48">
        <v>19825.099999999999</v>
      </c>
      <c r="N934" s="48">
        <v>10047.200000000001</v>
      </c>
    </row>
    <row r="935" spans="1:14" ht="10.050000000000001" customHeight="1">
      <c r="A935" s="45" t="s">
        <v>127</v>
      </c>
      <c r="B935" s="46">
        <v>2023</v>
      </c>
      <c r="C935" s="45" t="s">
        <v>131</v>
      </c>
      <c r="D935" s="47">
        <v>9</v>
      </c>
      <c r="E935" s="48">
        <v>3837.4</v>
      </c>
      <c r="F935" s="48">
        <v>5.9</v>
      </c>
      <c r="G935" s="48">
        <v>3843.3</v>
      </c>
      <c r="H935" s="48">
        <v>14874.8</v>
      </c>
      <c r="I935" s="48">
        <v>5107.6000000000004</v>
      </c>
      <c r="J935" s="48">
        <v>19982.400000000001</v>
      </c>
      <c r="K935" s="48">
        <v>2118</v>
      </c>
      <c r="L935" s="48">
        <v>886.8</v>
      </c>
      <c r="M935" s="48">
        <v>1252.7</v>
      </c>
      <c r="N935" s="48">
        <v>137.4</v>
      </c>
    </row>
    <row r="936" spans="1:14" ht="10.050000000000001" customHeight="1">
      <c r="A936" s="45" t="s">
        <v>84</v>
      </c>
      <c r="B936" s="46">
        <v>2023</v>
      </c>
      <c r="C936" s="45" t="s">
        <v>131</v>
      </c>
      <c r="D936" s="47">
        <v>10</v>
      </c>
      <c r="E936" s="48">
        <v>6952.7</v>
      </c>
      <c r="F936" s="48">
        <v>1480.8</v>
      </c>
      <c r="G936" s="48">
        <v>8433.5</v>
      </c>
      <c r="H936" s="48">
        <v>80941</v>
      </c>
      <c r="I936" s="48">
        <v>3333.8</v>
      </c>
      <c r="J936" s="48">
        <v>84274.8</v>
      </c>
      <c r="K936" s="48">
        <v>17177.400000000001</v>
      </c>
      <c r="L936" s="48">
        <v>1122.5</v>
      </c>
      <c r="M936" s="48">
        <v>4528.8</v>
      </c>
      <c r="N936" s="48">
        <v>787.6</v>
      </c>
    </row>
    <row r="937" spans="1:14" ht="10.050000000000001" customHeight="1">
      <c r="A937" s="45" t="s">
        <v>86</v>
      </c>
      <c r="B937" s="46">
        <v>2023</v>
      </c>
      <c r="C937" s="45" t="s">
        <v>131</v>
      </c>
      <c r="D937" s="47">
        <v>10</v>
      </c>
      <c r="E937" s="48">
        <v>441.4</v>
      </c>
      <c r="F937" s="48">
        <v>223.3</v>
      </c>
      <c r="G937" s="48">
        <v>664.7</v>
      </c>
      <c r="H937" s="48">
        <v>11713.9</v>
      </c>
      <c r="I937" s="48">
        <v>428.6</v>
      </c>
      <c r="J937" s="48">
        <v>12142.5</v>
      </c>
      <c r="K937" s="48">
        <v>687.4</v>
      </c>
      <c r="L937" s="48">
        <v>62.4</v>
      </c>
      <c r="M937" s="48">
        <v>123</v>
      </c>
      <c r="N937" s="48">
        <v>77.8</v>
      </c>
    </row>
    <row r="938" spans="1:14" ht="10.050000000000001" customHeight="1">
      <c r="A938" s="45" t="s">
        <v>89</v>
      </c>
      <c r="B938" s="46">
        <v>2023</v>
      </c>
      <c r="C938" s="45" t="s">
        <v>131</v>
      </c>
      <c r="D938" s="47">
        <v>10</v>
      </c>
      <c r="E938" s="48">
        <v>253.8</v>
      </c>
      <c r="F938" s="48">
        <v>0</v>
      </c>
      <c r="G938" s="48">
        <v>253.8</v>
      </c>
      <c r="H938" s="48">
        <v>6059.7</v>
      </c>
      <c r="I938" s="48">
        <v>233.1</v>
      </c>
      <c r="J938" s="48">
        <v>6292.8</v>
      </c>
      <c r="K938" s="48">
        <v>390</v>
      </c>
      <c r="L938" s="48">
        <v>137.4</v>
      </c>
      <c r="M938" s="48">
        <v>164.1</v>
      </c>
      <c r="N938" s="48">
        <v>29.4</v>
      </c>
    </row>
    <row r="939" spans="1:14" ht="10.050000000000001" customHeight="1">
      <c r="A939" s="45" t="s">
        <v>87</v>
      </c>
      <c r="B939" s="46">
        <v>2023</v>
      </c>
      <c r="C939" s="45" t="s">
        <v>131</v>
      </c>
      <c r="D939" s="47">
        <v>10</v>
      </c>
      <c r="E939" s="48">
        <v>20405.900000000001</v>
      </c>
      <c r="F939" s="48">
        <v>4773.1000000000004</v>
      </c>
      <c r="G939" s="48">
        <v>25179</v>
      </c>
      <c r="H939" s="48">
        <v>226222.9</v>
      </c>
      <c r="I939" s="48">
        <v>11362.2</v>
      </c>
      <c r="J939" s="48">
        <v>237585.1</v>
      </c>
      <c r="K939" s="48">
        <v>60939</v>
      </c>
      <c r="L939" s="48">
        <v>1825.3</v>
      </c>
      <c r="M939" s="48">
        <v>16625.099999999999</v>
      </c>
      <c r="N939" s="48">
        <v>575.1</v>
      </c>
    </row>
    <row r="940" spans="1:14" ht="10.050000000000001" customHeight="1">
      <c r="A940" s="45" t="s">
        <v>127</v>
      </c>
      <c r="B940" s="46">
        <v>2023</v>
      </c>
      <c r="C940" s="45" t="s">
        <v>131</v>
      </c>
      <c r="D940" s="47">
        <v>10</v>
      </c>
      <c r="E940" s="48">
        <v>3828.2</v>
      </c>
      <c r="F940" s="48">
        <v>2.4</v>
      </c>
      <c r="G940" s="48">
        <v>3830.6</v>
      </c>
      <c r="H940" s="48">
        <v>16383.3</v>
      </c>
      <c r="I940" s="48">
        <v>2432</v>
      </c>
      <c r="J940" s="48">
        <v>18815.3</v>
      </c>
      <c r="K940" s="48">
        <v>713.5</v>
      </c>
      <c r="L940" s="48">
        <v>193.3</v>
      </c>
      <c r="M940" s="48">
        <v>1579.6</v>
      </c>
      <c r="N940" s="48">
        <v>18.100000000000001</v>
      </c>
    </row>
    <row r="941" spans="1:14" ht="10.050000000000001" customHeight="1">
      <c r="A941" s="45" t="s">
        <v>84</v>
      </c>
      <c r="B941" s="46">
        <v>2023</v>
      </c>
      <c r="C941" s="45" t="s">
        <v>131</v>
      </c>
      <c r="D941" s="47">
        <v>11</v>
      </c>
      <c r="E941" s="48">
        <v>4745.1000000000004</v>
      </c>
      <c r="F941" s="48">
        <v>776.8</v>
      </c>
      <c r="G941" s="48">
        <v>5521.9</v>
      </c>
      <c r="H941" s="48">
        <v>74879.100000000006</v>
      </c>
      <c r="I941" s="48">
        <v>3385.4</v>
      </c>
      <c r="J941" s="48">
        <v>78264.5</v>
      </c>
      <c r="K941" s="48">
        <v>14252.9</v>
      </c>
      <c r="L941" s="48">
        <v>516.20000000000005</v>
      </c>
      <c r="M941" s="48">
        <v>2902.7</v>
      </c>
      <c r="N941" s="48">
        <v>535.9</v>
      </c>
    </row>
    <row r="942" spans="1:14" ht="10.050000000000001" customHeight="1">
      <c r="A942" s="45" t="s">
        <v>86</v>
      </c>
      <c r="B942" s="46">
        <v>2023</v>
      </c>
      <c r="C942" s="45" t="s">
        <v>131</v>
      </c>
      <c r="D942" s="47">
        <v>11</v>
      </c>
      <c r="E942" s="48">
        <v>553.5</v>
      </c>
      <c r="F942" s="48">
        <v>439.4</v>
      </c>
      <c r="G942" s="48">
        <v>992.9</v>
      </c>
      <c r="H942" s="48">
        <v>10780.4</v>
      </c>
      <c r="I942" s="48">
        <v>696.5</v>
      </c>
      <c r="J942" s="48">
        <v>11476.9</v>
      </c>
      <c r="K942" s="48">
        <v>435.1</v>
      </c>
      <c r="L942" s="48">
        <v>16.7</v>
      </c>
      <c r="M942" s="48">
        <v>209.2</v>
      </c>
      <c r="N942" s="48">
        <v>61.7</v>
      </c>
    </row>
    <row r="943" spans="1:14" ht="10.050000000000001" customHeight="1">
      <c r="A943" s="45" t="s">
        <v>89</v>
      </c>
      <c r="B943" s="46">
        <v>2023</v>
      </c>
      <c r="C943" s="45" t="s">
        <v>131</v>
      </c>
      <c r="D943" s="47">
        <v>11</v>
      </c>
      <c r="E943" s="48">
        <v>95.2</v>
      </c>
      <c r="F943" s="48">
        <v>455</v>
      </c>
      <c r="G943" s="48">
        <v>550.20000000000005</v>
      </c>
      <c r="H943" s="48">
        <v>5574.7</v>
      </c>
      <c r="I943" s="48">
        <v>501.5</v>
      </c>
      <c r="J943" s="48">
        <v>6076.2</v>
      </c>
      <c r="K943" s="48">
        <v>287.3</v>
      </c>
      <c r="L943" s="48">
        <v>7</v>
      </c>
      <c r="M943" s="48">
        <v>95.2</v>
      </c>
      <c r="N943" s="48">
        <v>14.4</v>
      </c>
    </row>
    <row r="944" spans="1:14" ht="10.050000000000001" customHeight="1">
      <c r="A944" s="45" t="s">
        <v>87</v>
      </c>
      <c r="B944" s="46">
        <v>2023</v>
      </c>
      <c r="C944" s="45" t="s">
        <v>131</v>
      </c>
      <c r="D944" s="47">
        <v>11</v>
      </c>
      <c r="E944" s="48">
        <v>17536.599999999999</v>
      </c>
      <c r="F944" s="48">
        <v>4921.3999999999996</v>
      </c>
      <c r="G944" s="48">
        <v>22458</v>
      </c>
      <c r="H944" s="48">
        <v>211859.5</v>
      </c>
      <c r="I944" s="48">
        <v>11389.7</v>
      </c>
      <c r="J944" s="48">
        <v>223249.2</v>
      </c>
      <c r="K944" s="48">
        <v>47836.6</v>
      </c>
      <c r="L944" s="48">
        <v>985.3</v>
      </c>
      <c r="M944" s="48">
        <v>13477.1</v>
      </c>
      <c r="N944" s="48">
        <v>612.9</v>
      </c>
    </row>
    <row r="945" spans="1:14" ht="10.050000000000001" customHeight="1">
      <c r="A945" s="45" t="s">
        <v>127</v>
      </c>
      <c r="B945" s="46">
        <v>2023</v>
      </c>
      <c r="C945" s="45" t="s">
        <v>131</v>
      </c>
      <c r="D945" s="47">
        <v>11</v>
      </c>
      <c r="E945" s="48">
        <v>337.3</v>
      </c>
      <c r="F945" s="48">
        <v>9.1999999999999993</v>
      </c>
      <c r="G945" s="48">
        <v>346.5</v>
      </c>
      <c r="H945" s="48">
        <v>13230.7</v>
      </c>
      <c r="I945" s="48">
        <v>2013.1</v>
      </c>
      <c r="J945" s="48">
        <v>15243.8</v>
      </c>
      <c r="K945" s="48">
        <v>640.29999999999995</v>
      </c>
      <c r="L945" s="48">
        <v>33.1</v>
      </c>
      <c r="M945" s="48">
        <v>78.099999999999994</v>
      </c>
      <c r="N945" s="48">
        <v>28.1</v>
      </c>
    </row>
    <row r="946" spans="1:14" ht="10.050000000000001" customHeight="1">
      <c r="A946" s="45" t="s">
        <v>84</v>
      </c>
      <c r="B946" s="46">
        <v>2023</v>
      </c>
      <c r="C946" s="45" t="s">
        <v>131</v>
      </c>
      <c r="D946" s="47">
        <v>12</v>
      </c>
      <c r="E946" s="48">
        <v>4633.8</v>
      </c>
      <c r="F946" s="48">
        <v>619.70000000000005</v>
      </c>
      <c r="G946" s="48">
        <v>5253.5</v>
      </c>
      <c r="H946" s="48">
        <v>67786.600000000006</v>
      </c>
      <c r="I946" s="48">
        <v>3229.2</v>
      </c>
      <c r="J946" s="48">
        <v>71015.8</v>
      </c>
      <c r="K946" s="48">
        <v>11840.4</v>
      </c>
      <c r="L946" s="48">
        <v>493.4</v>
      </c>
      <c r="M946" s="48">
        <v>2423.3000000000002</v>
      </c>
      <c r="N946" s="48">
        <v>493.3</v>
      </c>
    </row>
    <row r="947" spans="1:14" ht="10.050000000000001" customHeight="1">
      <c r="A947" s="45" t="s">
        <v>86</v>
      </c>
      <c r="B947" s="46">
        <v>2023</v>
      </c>
      <c r="C947" s="45" t="s">
        <v>131</v>
      </c>
      <c r="D947" s="47">
        <v>12</v>
      </c>
      <c r="E947" s="48">
        <v>168</v>
      </c>
      <c r="F947" s="48">
        <v>269.2</v>
      </c>
      <c r="G947" s="48">
        <v>437.2</v>
      </c>
      <c r="H947" s="48">
        <v>10458.799999999999</v>
      </c>
      <c r="I947" s="48">
        <v>903.7</v>
      </c>
      <c r="J947" s="48">
        <v>11362.5</v>
      </c>
      <c r="K947" s="48">
        <v>433.1</v>
      </c>
      <c r="L947" s="48">
        <v>26</v>
      </c>
      <c r="M947" s="48">
        <v>25.1</v>
      </c>
      <c r="N947" s="48">
        <v>0.8</v>
      </c>
    </row>
    <row r="948" spans="1:14" ht="10.050000000000001" customHeight="1">
      <c r="A948" s="45" t="s">
        <v>89</v>
      </c>
      <c r="B948" s="46">
        <v>2023</v>
      </c>
      <c r="C948" s="45" t="s">
        <v>131</v>
      </c>
      <c r="D948" s="47">
        <v>12</v>
      </c>
      <c r="E948" s="48">
        <v>10.6</v>
      </c>
      <c r="F948" s="48">
        <v>0</v>
      </c>
      <c r="G948" s="48">
        <v>10.6</v>
      </c>
      <c r="H948" s="48">
        <v>5186.8999999999996</v>
      </c>
      <c r="I948" s="48">
        <v>501.5</v>
      </c>
      <c r="J948" s="48">
        <v>5688.4</v>
      </c>
      <c r="K948" s="48">
        <v>243.7</v>
      </c>
      <c r="L948" s="48">
        <v>0</v>
      </c>
      <c r="M948" s="48">
        <v>6.4</v>
      </c>
      <c r="N948" s="48">
        <v>37.1</v>
      </c>
    </row>
    <row r="949" spans="1:14" ht="10.050000000000001" customHeight="1">
      <c r="A949" s="45" t="s">
        <v>87</v>
      </c>
      <c r="B949" s="46">
        <v>2023</v>
      </c>
      <c r="C949" s="45" t="s">
        <v>131</v>
      </c>
      <c r="D949" s="47">
        <v>12</v>
      </c>
      <c r="E949" s="48">
        <v>12411.7</v>
      </c>
      <c r="F949" s="48">
        <v>2472.3000000000002</v>
      </c>
      <c r="G949" s="48">
        <v>14884</v>
      </c>
      <c r="H949" s="48">
        <v>196496.1</v>
      </c>
      <c r="I949" s="48">
        <v>12212.2</v>
      </c>
      <c r="J949" s="48">
        <v>208708.3</v>
      </c>
      <c r="K949" s="48">
        <v>39731.599999999999</v>
      </c>
      <c r="L949" s="48">
        <v>992.5</v>
      </c>
      <c r="M949" s="48">
        <v>8830.9</v>
      </c>
      <c r="N949" s="48">
        <v>270.2</v>
      </c>
    </row>
    <row r="950" spans="1:14" ht="10.050000000000001" customHeight="1">
      <c r="A950" s="45" t="s">
        <v>127</v>
      </c>
      <c r="B950" s="46">
        <v>2023</v>
      </c>
      <c r="C950" s="45" t="s">
        <v>131</v>
      </c>
      <c r="D950" s="47">
        <v>12</v>
      </c>
      <c r="E950" s="48">
        <v>267.89999999999998</v>
      </c>
      <c r="F950" s="48">
        <v>0</v>
      </c>
      <c r="G950" s="48">
        <v>267.89999999999998</v>
      </c>
      <c r="H950" s="48">
        <v>12133.4</v>
      </c>
      <c r="I950" s="48">
        <v>1677</v>
      </c>
      <c r="J950" s="48">
        <v>13810.4</v>
      </c>
      <c r="K950" s="48">
        <v>632.20000000000005</v>
      </c>
      <c r="L950" s="48">
        <v>96.4</v>
      </c>
      <c r="M950" s="48">
        <v>83.3</v>
      </c>
      <c r="N950" s="48">
        <v>21.2</v>
      </c>
    </row>
    <row r="951" spans="1:14" ht="10.050000000000001" customHeight="1">
      <c r="A951" s="45" t="s">
        <v>84</v>
      </c>
      <c r="B951" s="46">
        <v>2024</v>
      </c>
      <c r="C951" s="45" t="s">
        <v>131</v>
      </c>
      <c r="D951" s="47">
        <v>1</v>
      </c>
      <c r="E951" s="48">
        <v>4508.2</v>
      </c>
      <c r="F951" s="48">
        <v>567.1</v>
      </c>
      <c r="G951" s="48">
        <v>5075.3</v>
      </c>
      <c r="H951" s="48">
        <v>56029.4</v>
      </c>
      <c r="I951" s="48">
        <v>3067.6</v>
      </c>
      <c r="J951" s="48">
        <v>59097</v>
      </c>
      <c r="K951" s="48">
        <v>9338.2000000000007</v>
      </c>
      <c r="L951" s="48">
        <v>484.9</v>
      </c>
      <c r="M951" s="48">
        <v>2574.8000000000002</v>
      </c>
      <c r="N951" s="48">
        <v>462.6</v>
      </c>
    </row>
    <row r="952" spans="1:14" ht="10.050000000000001" customHeight="1">
      <c r="A952" s="45" t="s">
        <v>86</v>
      </c>
      <c r="B952" s="46">
        <v>2024</v>
      </c>
      <c r="C952" s="45" t="s">
        <v>131</v>
      </c>
      <c r="D952" s="47">
        <v>1</v>
      </c>
      <c r="E952" s="48">
        <v>159.5</v>
      </c>
      <c r="F952" s="48">
        <v>412.8</v>
      </c>
      <c r="G952" s="48">
        <v>572.29999999999995</v>
      </c>
      <c r="H952" s="48">
        <v>9131.7999999999993</v>
      </c>
      <c r="I952" s="48">
        <v>519.20000000000005</v>
      </c>
      <c r="J952" s="48">
        <v>9651</v>
      </c>
      <c r="K952" s="48">
        <v>418.4</v>
      </c>
      <c r="L952" s="48">
        <v>0</v>
      </c>
      <c r="M952" s="48">
        <v>13</v>
      </c>
      <c r="N952" s="48">
        <v>1.6</v>
      </c>
    </row>
    <row r="953" spans="1:14" ht="10.050000000000001" customHeight="1">
      <c r="A953" s="45" t="s">
        <v>89</v>
      </c>
      <c r="B953" s="46">
        <v>2024</v>
      </c>
      <c r="C953" s="45" t="s">
        <v>131</v>
      </c>
      <c r="D953" s="47">
        <v>1</v>
      </c>
      <c r="E953" s="48">
        <v>61.9</v>
      </c>
      <c r="F953" s="48">
        <v>0</v>
      </c>
      <c r="G953" s="48">
        <v>61.9</v>
      </c>
      <c r="H953" s="48">
        <v>4628.6000000000004</v>
      </c>
      <c r="I953" s="48">
        <v>448.9</v>
      </c>
      <c r="J953" s="48">
        <v>5077.5</v>
      </c>
      <c r="K953" s="48">
        <v>231.4</v>
      </c>
      <c r="L953" s="48">
        <v>77</v>
      </c>
      <c r="M953" s="48">
        <v>58.1</v>
      </c>
      <c r="N953" s="48">
        <v>31.2</v>
      </c>
    </row>
    <row r="954" spans="1:14" ht="10.050000000000001" customHeight="1">
      <c r="A954" s="45" t="s">
        <v>87</v>
      </c>
      <c r="B954" s="46">
        <v>2024</v>
      </c>
      <c r="C954" s="45" t="s">
        <v>131</v>
      </c>
      <c r="D954" s="47">
        <v>1</v>
      </c>
      <c r="E954" s="48">
        <v>11070.4</v>
      </c>
      <c r="F954" s="48">
        <v>1589.3</v>
      </c>
      <c r="G954" s="48">
        <v>12659.7</v>
      </c>
      <c r="H954" s="48">
        <v>168003.20000000001</v>
      </c>
      <c r="I954" s="48">
        <v>9887.2000000000007</v>
      </c>
      <c r="J954" s="48">
        <v>177890.4</v>
      </c>
      <c r="K954" s="48">
        <v>31431.1</v>
      </c>
      <c r="L954" s="48">
        <v>526.5</v>
      </c>
      <c r="M954" s="48">
        <v>8335.6</v>
      </c>
      <c r="N954" s="48">
        <v>467.5</v>
      </c>
    </row>
    <row r="955" spans="1:14" ht="10.050000000000001" customHeight="1">
      <c r="A955" s="45" t="s">
        <v>127</v>
      </c>
      <c r="B955" s="46">
        <v>2024</v>
      </c>
      <c r="C955" s="45" t="s">
        <v>131</v>
      </c>
      <c r="D955" s="47">
        <v>1</v>
      </c>
      <c r="E955" s="48">
        <v>270.89999999999998</v>
      </c>
      <c r="F955" s="48">
        <v>3.9</v>
      </c>
      <c r="G955" s="48">
        <v>274.8</v>
      </c>
      <c r="H955" s="48">
        <v>10208.6</v>
      </c>
      <c r="I955" s="48">
        <v>585.29999999999995</v>
      </c>
      <c r="J955" s="48">
        <v>10793.9</v>
      </c>
      <c r="K955" s="48">
        <v>576.1</v>
      </c>
      <c r="L955" s="48">
        <v>0</v>
      </c>
      <c r="M955" s="48">
        <v>50.4</v>
      </c>
      <c r="N955" s="48">
        <v>5.7</v>
      </c>
    </row>
    <row r="956" spans="1:14" ht="10.050000000000001" customHeight="1">
      <c r="A956" s="45" t="s">
        <v>84</v>
      </c>
      <c r="B956" s="46">
        <v>2024</v>
      </c>
      <c r="C956" s="45" t="s">
        <v>131</v>
      </c>
      <c r="D956" s="47">
        <v>2</v>
      </c>
      <c r="E956" s="48">
        <v>4483.5</v>
      </c>
      <c r="F956" s="48">
        <v>26</v>
      </c>
      <c r="G956" s="48">
        <v>4509.5</v>
      </c>
      <c r="H956" s="48">
        <v>47403</v>
      </c>
      <c r="I956" s="48">
        <v>2104.6</v>
      </c>
      <c r="J956" s="48">
        <v>49507.6</v>
      </c>
      <c r="K956" s="48">
        <v>7243.5</v>
      </c>
      <c r="L956" s="48">
        <v>643.4</v>
      </c>
      <c r="M956" s="48">
        <v>2362.4</v>
      </c>
      <c r="N956" s="48">
        <v>315.39999999999998</v>
      </c>
    </row>
    <row r="957" spans="1:14" ht="10.050000000000001" customHeight="1">
      <c r="A957" s="45" t="s">
        <v>86</v>
      </c>
      <c r="B957" s="46">
        <v>2024</v>
      </c>
      <c r="C957" s="45" t="s">
        <v>131</v>
      </c>
      <c r="D957" s="47">
        <v>2</v>
      </c>
      <c r="E957" s="48">
        <v>149.80000000000001</v>
      </c>
      <c r="F957" s="48">
        <v>192.9</v>
      </c>
      <c r="G957" s="48">
        <v>342.7</v>
      </c>
      <c r="H957" s="48">
        <v>8046.4</v>
      </c>
      <c r="I957" s="48">
        <v>268.10000000000002</v>
      </c>
      <c r="J957" s="48">
        <v>8314.5</v>
      </c>
      <c r="K957" s="48">
        <v>335.4</v>
      </c>
      <c r="L957" s="48">
        <v>0</v>
      </c>
      <c r="M957" s="48">
        <v>59.5</v>
      </c>
      <c r="N957" s="48">
        <v>23.4</v>
      </c>
    </row>
    <row r="958" spans="1:14" ht="10.050000000000001" customHeight="1">
      <c r="A958" s="45" t="s">
        <v>89</v>
      </c>
      <c r="B958" s="46">
        <v>2024</v>
      </c>
      <c r="C958" s="45" t="s">
        <v>131</v>
      </c>
      <c r="D958" s="47">
        <v>2</v>
      </c>
      <c r="E958" s="48">
        <v>26.8</v>
      </c>
      <c r="F958" s="48">
        <v>18.2</v>
      </c>
      <c r="G958" s="48">
        <v>45</v>
      </c>
      <c r="H958" s="48">
        <v>4172</v>
      </c>
      <c r="I958" s="48">
        <v>412.5</v>
      </c>
      <c r="J958" s="48">
        <v>4584.5</v>
      </c>
      <c r="K958" s="48">
        <v>250.2</v>
      </c>
      <c r="L958" s="48">
        <v>22.2</v>
      </c>
      <c r="M958" s="48">
        <v>1</v>
      </c>
      <c r="N958" s="48">
        <v>2.5</v>
      </c>
    </row>
    <row r="959" spans="1:14" ht="10.050000000000001" customHeight="1">
      <c r="A959" s="45" t="s">
        <v>87</v>
      </c>
      <c r="B959" s="46">
        <v>2024</v>
      </c>
      <c r="C959" s="45" t="s">
        <v>131</v>
      </c>
      <c r="D959" s="47">
        <v>2</v>
      </c>
      <c r="E959" s="48">
        <v>11176.2</v>
      </c>
      <c r="F959" s="48">
        <v>1013.2</v>
      </c>
      <c r="G959" s="48">
        <v>12189.4</v>
      </c>
      <c r="H959" s="48">
        <v>148114.70000000001</v>
      </c>
      <c r="I959" s="48">
        <v>7916.5</v>
      </c>
      <c r="J959" s="48">
        <v>156031.20000000001</v>
      </c>
      <c r="K959" s="48">
        <v>24958.799999999999</v>
      </c>
      <c r="L959" s="48">
        <v>718.6</v>
      </c>
      <c r="M959" s="48">
        <v>6976.4</v>
      </c>
      <c r="N959" s="48">
        <v>238.6</v>
      </c>
    </row>
    <row r="960" spans="1:14" ht="10.050000000000001" customHeight="1">
      <c r="A960" s="45" t="s">
        <v>127</v>
      </c>
      <c r="B960" s="46">
        <v>2024</v>
      </c>
      <c r="C960" s="45" t="s">
        <v>131</v>
      </c>
      <c r="D960" s="47">
        <v>2</v>
      </c>
      <c r="E960" s="48">
        <v>377.4</v>
      </c>
      <c r="F960" s="48">
        <v>0</v>
      </c>
      <c r="G960" s="48">
        <v>377.4</v>
      </c>
      <c r="H960" s="48">
        <v>7914.5</v>
      </c>
      <c r="I960" s="48">
        <v>413</v>
      </c>
      <c r="J960" s="48">
        <v>8327.5</v>
      </c>
      <c r="K960" s="48">
        <v>530.6</v>
      </c>
      <c r="L960" s="48">
        <v>242.3</v>
      </c>
      <c r="M960" s="48">
        <v>287.89999999999998</v>
      </c>
      <c r="N960" s="48">
        <v>0</v>
      </c>
    </row>
    <row r="961" spans="1:14" ht="10.050000000000001" customHeight="1">
      <c r="A961" s="45" t="s">
        <v>84</v>
      </c>
      <c r="B961" s="46">
        <v>2024</v>
      </c>
      <c r="C961" s="45" t="s">
        <v>131</v>
      </c>
      <c r="D961" s="47">
        <v>3</v>
      </c>
      <c r="E961" s="48">
        <v>3779.3</v>
      </c>
      <c r="F961" s="48">
        <v>0</v>
      </c>
      <c r="G961" s="48">
        <v>3779.3</v>
      </c>
      <c r="H961" s="48">
        <v>41444.6</v>
      </c>
      <c r="I961" s="48">
        <v>1847</v>
      </c>
      <c r="J961" s="48">
        <v>43291.6</v>
      </c>
      <c r="K961" s="48">
        <v>5746.2</v>
      </c>
      <c r="L961" s="48">
        <v>294.10000000000002</v>
      </c>
      <c r="M961" s="48">
        <v>1687.1</v>
      </c>
      <c r="N961" s="48">
        <v>104.8</v>
      </c>
    </row>
    <row r="962" spans="1:14" ht="10.050000000000001" customHeight="1">
      <c r="A962" s="45" t="s">
        <v>86</v>
      </c>
      <c r="B962" s="46">
        <v>2024</v>
      </c>
      <c r="C962" s="45" t="s">
        <v>131</v>
      </c>
      <c r="D962" s="47">
        <v>3</v>
      </c>
      <c r="E962" s="48">
        <v>182.2</v>
      </c>
      <c r="F962" s="48">
        <v>0</v>
      </c>
      <c r="G962" s="48">
        <v>182.2</v>
      </c>
      <c r="H962" s="48">
        <v>6448.8</v>
      </c>
      <c r="I962" s="48">
        <v>99.4</v>
      </c>
      <c r="J962" s="48">
        <v>6548.2</v>
      </c>
      <c r="K962" s="48">
        <v>326.3</v>
      </c>
      <c r="L962" s="48">
        <v>3</v>
      </c>
      <c r="M962" s="48">
        <v>0</v>
      </c>
      <c r="N962" s="48">
        <v>12.1</v>
      </c>
    </row>
    <row r="963" spans="1:14" ht="10.050000000000001" customHeight="1">
      <c r="A963" s="45" t="s">
        <v>89</v>
      </c>
      <c r="B963" s="46">
        <v>2024</v>
      </c>
      <c r="C963" s="45" t="s">
        <v>131</v>
      </c>
      <c r="D963" s="47">
        <v>3</v>
      </c>
      <c r="E963" s="48">
        <v>58.7</v>
      </c>
      <c r="F963" s="48">
        <v>0</v>
      </c>
      <c r="G963" s="48">
        <v>58.7</v>
      </c>
      <c r="H963" s="48">
        <v>3731.5</v>
      </c>
      <c r="I963" s="48">
        <v>316.5</v>
      </c>
      <c r="J963" s="48">
        <v>4048</v>
      </c>
      <c r="K963" s="48">
        <v>167.4</v>
      </c>
      <c r="L963" s="48">
        <v>0</v>
      </c>
      <c r="M963" s="48">
        <v>58.7</v>
      </c>
      <c r="N963" s="48">
        <v>24.1</v>
      </c>
    </row>
    <row r="964" spans="1:14" ht="10.050000000000001" customHeight="1">
      <c r="A964" s="45" t="s">
        <v>87</v>
      </c>
      <c r="B964" s="46">
        <v>2024</v>
      </c>
      <c r="C964" s="45" t="s">
        <v>131</v>
      </c>
      <c r="D964" s="47">
        <v>3</v>
      </c>
      <c r="E964" s="48">
        <v>10566</v>
      </c>
      <c r="F964" s="48">
        <v>436.9</v>
      </c>
      <c r="G964" s="48">
        <v>11002.9</v>
      </c>
      <c r="H964" s="48">
        <v>123054</v>
      </c>
      <c r="I964" s="48">
        <v>6789.5</v>
      </c>
      <c r="J964" s="48">
        <v>129843.5</v>
      </c>
      <c r="K964" s="48">
        <v>18886.2</v>
      </c>
      <c r="L964" s="48">
        <v>1449.8</v>
      </c>
      <c r="M964" s="48">
        <v>7195.7</v>
      </c>
      <c r="N964" s="48">
        <v>387.9</v>
      </c>
    </row>
    <row r="965" spans="1:14" ht="10.050000000000001" customHeight="1">
      <c r="A965" s="45" t="s">
        <v>127</v>
      </c>
      <c r="B965" s="46">
        <v>2024</v>
      </c>
      <c r="C965" s="45" t="s">
        <v>131</v>
      </c>
      <c r="D965" s="47">
        <v>3</v>
      </c>
      <c r="E965" s="48">
        <v>423.5</v>
      </c>
      <c r="F965" s="48">
        <v>0</v>
      </c>
      <c r="G965" s="48">
        <v>423.5</v>
      </c>
      <c r="H965" s="48">
        <v>7138.9</v>
      </c>
      <c r="I965" s="48">
        <v>421.3</v>
      </c>
      <c r="J965" s="48">
        <v>7560.2</v>
      </c>
      <c r="K965" s="48">
        <v>259.89999999999998</v>
      </c>
      <c r="L965" s="48">
        <v>0</v>
      </c>
      <c r="M965" s="48">
        <v>270.7</v>
      </c>
      <c r="N965" s="48">
        <v>0</v>
      </c>
    </row>
    <row r="966" spans="1:14" ht="10.050000000000001" customHeight="1">
      <c r="A966" s="45" t="s">
        <v>84</v>
      </c>
      <c r="B966" s="46">
        <v>2024</v>
      </c>
      <c r="C966" s="45" t="s">
        <v>131</v>
      </c>
      <c r="D966" s="47">
        <v>4</v>
      </c>
      <c r="E966" s="48">
        <v>3529.5</v>
      </c>
      <c r="F966" s="48">
        <v>0</v>
      </c>
      <c r="G966" s="48">
        <v>3529.5</v>
      </c>
      <c r="H966" s="48">
        <v>33885.199999999997</v>
      </c>
      <c r="I966" s="48">
        <v>1755.6</v>
      </c>
      <c r="J966" s="48">
        <v>35640.800000000003</v>
      </c>
      <c r="K966" s="48">
        <v>3954.1</v>
      </c>
      <c r="L966" s="48">
        <v>324.60000000000002</v>
      </c>
      <c r="M966" s="48">
        <v>1929.2</v>
      </c>
      <c r="N966" s="48">
        <v>190.9</v>
      </c>
    </row>
    <row r="967" spans="1:14" ht="10.050000000000001" customHeight="1">
      <c r="A967" s="45" t="s">
        <v>86</v>
      </c>
      <c r="B967" s="46">
        <v>2024</v>
      </c>
      <c r="C967" s="45" t="s">
        <v>131</v>
      </c>
      <c r="D967" s="47">
        <v>4</v>
      </c>
      <c r="E967" s="48">
        <v>138.80000000000001</v>
      </c>
      <c r="F967" s="48">
        <v>0</v>
      </c>
      <c r="G967" s="48">
        <v>138.80000000000001</v>
      </c>
      <c r="H967" s="48">
        <v>5019.1000000000004</v>
      </c>
      <c r="I967" s="48">
        <v>85.1</v>
      </c>
      <c r="J967" s="48">
        <v>5104.2</v>
      </c>
      <c r="K967" s="48">
        <v>323.10000000000002</v>
      </c>
      <c r="L967" s="48">
        <v>5.8</v>
      </c>
      <c r="M967" s="48">
        <v>9</v>
      </c>
      <c r="N967" s="48">
        <v>0</v>
      </c>
    </row>
    <row r="968" spans="1:14" ht="10.050000000000001" customHeight="1">
      <c r="A968" s="45" t="s">
        <v>89</v>
      </c>
      <c r="B968" s="46">
        <v>2024</v>
      </c>
      <c r="C968" s="45" t="s">
        <v>131</v>
      </c>
      <c r="D968" s="47">
        <v>4</v>
      </c>
      <c r="E968" s="48">
        <v>37.799999999999997</v>
      </c>
      <c r="F968" s="48">
        <v>0</v>
      </c>
      <c r="G968" s="48">
        <v>37.799999999999997</v>
      </c>
      <c r="H968" s="48">
        <v>3145.1</v>
      </c>
      <c r="I968" s="48">
        <v>316.5</v>
      </c>
      <c r="J968" s="48">
        <v>3461.6</v>
      </c>
      <c r="K968" s="48">
        <v>116</v>
      </c>
      <c r="L968" s="48">
        <v>0</v>
      </c>
      <c r="M968" s="48">
        <v>30.1</v>
      </c>
      <c r="N968" s="48">
        <v>21.2</v>
      </c>
    </row>
    <row r="969" spans="1:14" ht="10.050000000000001" customHeight="1">
      <c r="A969" s="45" t="s">
        <v>87</v>
      </c>
      <c r="B969" s="46">
        <v>2024</v>
      </c>
      <c r="C969" s="45" t="s">
        <v>131</v>
      </c>
      <c r="D969" s="47">
        <v>4</v>
      </c>
      <c r="E969" s="48">
        <v>11578.9</v>
      </c>
      <c r="F969" s="48">
        <v>659.9</v>
      </c>
      <c r="G969" s="48">
        <v>12238.8</v>
      </c>
      <c r="H969" s="48">
        <v>101665.8</v>
      </c>
      <c r="I969" s="48">
        <v>6220.7</v>
      </c>
      <c r="J969" s="48">
        <v>107886.5</v>
      </c>
      <c r="K969" s="48">
        <v>11007.2</v>
      </c>
      <c r="L969" s="48">
        <v>826.6</v>
      </c>
      <c r="M969" s="48">
        <v>8194.4</v>
      </c>
      <c r="N969" s="48">
        <v>524.79999999999995</v>
      </c>
    </row>
    <row r="970" spans="1:14" ht="10.050000000000001" customHeight="1">
      <c r="A970" s="45" t="s">
        <v>127</v>
      </c>
      <c r="B970" s="46">
        <v>2024</v>
      </c>
      <c r="C970" s="45" t="s">
        <v>131</v>
      </c>
      <c r="D970" s="47">
        <v>4</v>
      </c>
      <c r="E970" s="48">
        <v>13</v>
      </c>
      <c r="F970" s="48">
        <v>0</v>
      </c>
      <c r="G970" s="48">
        <v>13</v>
      </c>
      <c r="H970" s="48">
        <v>4894.2</v>
      </c>
      <c r="I970" s="48">
        <v>421.4</v>
      </c>
      <c r="J970" s="48">
        <v>5315.6</v>
      </c>
      <c r="K970" s="48">
        <v>217.8</v>
      </c>
      <c r="L970" s="48">
        <v>0</v>
      </c>
      <c r="M970" s="48">
        <v>0</v>
      </c>
      <c r="N970" s="48">
        <v>42.1</v>
      </c>
    </row>
    <row r="971" spans="1:14" ht="10.050000000000001" customHeight="1">
      <c r="A971" s="45" t="s">
        <v>84</v>
      </c>
      <c r="B971" s="46">
        <v>2024</v>
      </c>
      <c r="C971" s="45" t="s">
        <v>131</v>
      </c>
      <c r="D971" s="47">
        <v>5</v>
      </c>
      <c r="E971" s="48">
        <v>2846.7</v>
      </c>
      <c r="F971" s="48">
        <v>43.8</v>
      </c>
      <c r="G971" s="48">
        <v>2890.5</v>
      </c>
      <c r="H971" s="48">
        <v>28420.2</v>
      </c>
      <c r="I971" s="48">
        <v>1506.9</v>
      </c>
      <c r="J971" s="48">
        <v>29927.1</v>
      </c>
      <c r="K971" s="48">
        <v>2066.8000000000002</v>
      </c>
      <c r="L971" s="48">
        <v>256.60000000000002</v>
      </c>
      <c r="M971" s="48">
        <v>1952.2</v>
      </c>
      <c r="N971" s="48">
        <v>207.6</v>
      </c>
    </row>
    <row r="972" spans="1:14" ht="10.050000000000001" customHeight="1">
      <c r="A972" s="45" t="s">
        <v>86</v>
      </c>
      <c r="B972" s="46">
        <v>2024</v>
      </c>
      <c r="C972" s="45" t="s">
        <v>131</v>
      </c>
      <c r="D972" s="47">
        <v>5</v>
      </c>
      <c r="E972" s="48">
        <v>62.7</v>
      </c>
      <c r="F972" s="48">
        <v>0</v>
      </c>
      <c r="G972" s="48">
        <v>62.7</v>
      </c>
      <c r="H972" s="48">
        <v>4487.8999999999996</v>
      </c>
      <c r="I972" s="48">
        <v>83.9</v>
      </c>
      <c r="J972" s="48">
        <v>4571.8</v>
      </c>
      <c r="K972" s="48">
        <v>315.39999999999998</v>
      </c>
      <c r="L972" s="48">
        <v>0</v>
      </c>
      <c r="M972" s="48">
        <v>3.7</v>
      </c>
      <c r="N972" s="48">
        <v>4</v>
      </c>
    </row>
    <row r="973" spans="1:14" ht="10.050000000000001" customHeight="1">
      <c r="A973" s="45" t="s">
        <v>89</v>
      </c>
      <c r="B973" s="46">
        <v>2024</v>
      </c>
      <c r="C973" s="45" t="s">
        <v>131</v>
      </c>
      <c r="D973" s="47">
        <v>5</v>
      </c>
      <c r="E973" s="48">
        <v>1</v>
      </c>
      <c r="F973" s="48">
        <v>0</v>
      </c>
      <c r="G973" s="48">
        <v>1</v>
      </c>
      <c r="H973" s="48">
        <v>2674.8</v>
      </c>
      <c r="I973" s="48">
        <v>316.5</v>
      </c>
      <c r="J973" s="48">
        <v>2991.3</v>
      </c>
      <c r="K973" s="48">
        <v>102.9</v>
      </c>
      <c r="L973" s="48">
        <v>0</v>
      </c>
      <c r="M973" s="48">
        <v>1</v>
      </c>
      <c r="N973" s="48">
        <v>12</v>
      </c>
    </row>
    <row r="974" spans="1:14" ht="10.050000000000001" customHeight="1">
      <c r="A974" s="45" t="s">
        <v>87</v>
      </c>
      <c r="B974" s="46">
        <v>2024</v>
      </c>
      <c r="C974" s="45" t="s">
        <v>131</v>
      </c>
      <c r="D974" s="47">
        <v>5</v>
      </c>
      <c r="E974" s="48">
        <v>8983.6</v>
      </c>
      <c r="F974" s="48">
        <v>338.7</v>
      </c>
      <c r="G974" s="48">
        <v>9322.2999999999993</v>
      </c>
      <c r="H974" s="48">
        <v>82364.800000000003</v>
      </c>
      <c r="I974" s="48">
        <v>5615.2</v>
      </c>
      <c r="J974" s="48">
        <v>87980</v>
      </c>
      <c r="K974" s="48">
        <v>4584.2</v>
      </c>
      <c r="L974" s="48">
        <v>630.70000000000005</v>
      </c>
      <c r="M974" s="48">
        <v>6785.8</v>
      </c>
      <c r="N974" s="48">
        <v>265.5</v>
      </c>
    </row>
    <row r="975" spans="1:14" ht="10.050000000000001" customHeight="1">
      <c r="A975" s="45" t="s">
        <v>127</v>
      </c>
      <c r="B975" s="46">
        <v>2024</v>
      </c>
      <c r="C975" s="45" t="s">
        <v>131</v>
      </c>
      <c r="D975" s="47">
        <v>5</v>
      </c>
      <c r="E975" s="48">
        <v>5.0999999999999996</v>
      </c>
      <c r="F975" s="48">
        <v>0</v>
      </c>
      <c r="G975" s="48">
        <v>5.0999999999999996</v>
      </c>
      <c r="H975" s="48">
        <v>4467.8</v>
      </c>
      <c r="I975" s="48">
        <v>354.5</v>
      </c>
      <c r="J975" s="48">
        <v>4822.3</v>
      </c>
      <c r="K975" s="48">
        <v>217.8</v>
      </c>
      <c r="L975" s="48">
        <v>1.5</v>
      </c>
      <c r="M975" s="48">
        <v>1.5</v>
      </c>
      <c r="N975" s="48">
        <v>0</v>
      </c>
    </row>
    <row r="976" spans="1:14" ht="10.050000000000001" customHeight="1">
      <c r="A976" s="45" t="s">
        <v>84</v>
      </c>
      <c r="B976" s="46">
        <v>2024</v>
      </c>
      <c r="C976" s="45" t="s">
        <v>131</v>
      </c>
      <c r="D976" s="47">
        <v>6</v>
      </c>
      <c r="E976" s="48">
        <v>1801.4</v>
      </c>
      <c r="F976" s="48">
        <v>3.8</v>
      </c>
      <c r="G976" s="48">
        <v>1805.2</v>
      </c>
      <c r="H976" s="48">
        <v>17507.3</v>
      </c>
      <c r="I976" s="48">
        <v>1209.5</v>
      </c>
      <c r="J976" s="48">
        <v>18716.8</v>
      </c>
      <c r="K976" s="48">
        <v>1406</v>
      </c>
      <c r="L976" s="48">
        <v>413.3</v>
      </c>
      <c r="M976" s="48">
        <v>717.6</v>
      </c>
      <c r="N976" s="48">
        <v>363.2</v>
      </c>
    </row>
    <row r="977" spans="1:14" ht="10.050000000000001" customHeight="1">
      <c r="A977" s="45" t="s">
        <v>86</v>
      </c>
      <c r="B977" s="46">
        <v>2024</v>
      </c>
      <c r="C977" s="45" t="s">
        <v>131</v>
      </c>
      <c r="D977" s="47">
        <v>6</v>
      </c>
      <c r="E977" s="48">
        <v>248.6</v>
      </c>
      <c r="F977" s="48">
        <v>0</v>
      </c>
      <c r="G977" s="48">
        <v>248.6</v>
      </c>
      <c r="H977" s="48">
        <v>3395.7</v>
      </c>
      <c r="I977" s="48">
        <v>96.3</v>
      </c>
      <c r="J977" s="48">
        <v>3492</v>
      </c>
      <c r="K977" s="48">
        <v>300.5</v>
      </c>
      <c r="L977" s="48">
        <v>11</v>
      </c>
      <c r="M977" s="48">
        <v>0</v>
      </c>
      <c r="N977" s="48">
        <v>25.9</v>
      </c>
    </row>
    <row r="978" spans="1:14" ht="10.050000000000001" customHeight="1">
      <c r="A978" s="45" t="s">
        <v>89</v>
      </c>
      <c r="B978" s="46">
        <v>2024</v>
      </c>
      <c r="C978" s="45" t="s">
        <v>131</v>
      </c>
      <c r="D978" s="47">
        <v>6</v>
      </c>
      <c r="E978" s="48">
        <v>16.100000000000001</v>
      </c>
      <c r="F978" s="48">
        <v>9</v>
      </c>
      <c r="G978" s="48">
        <v>25.1</v>
      </c>
      <c r="H978" s="48">
        <v>2161.3000000000002</v>
      </c>
      <c r="I978" s="48">
        <v>392</v>
      </c>
      <c r="J978" s="48">
        <v>2553.3000000000002</v>
      </c>
      <c r="K978" s="48">
        <v>81.8</v>
      </c>
      <c r="L978" s="48">
        <v>0</v>
      </c>
      <c r="M978" s="48">
        <v>16.100000000000001</v>
      </c>
      <c r="N978" s="48">
        <v>5</v>
      </c>
    </row>
    <row r="979" spans="1:14" ht="10.050000000000001" customHeight="1">
      <c r="A979" s="45" t="s">
        <v>87</v>
      </c>
      <c r="B979" s="46">
        <v>2024</v>
      </c>
      <c r="C979" s="45" t="s">
        <v>131</v>
      </c>
      <c r="D979" s="47">
        <v>6</v>
      </c>
      <c r="E979" s="48">
        <v>4074.6</v>
      </c>
      <c r="F979" s="48">
        <v>4.0999999999999996</v>
      </c>
      <c r="G979" s="48">
        <v>4078.7</v>
      </c>
      <c r="H979" s="48">
        <v>53217.1</v>
      </c>
      <c r="I979" s="48">
        <v>3961</v>
      </c>
      <c r="J979" s="48">
        <v>57178.1000000001</v>
      </c>
      <c r="K979" s="48">
        <v>2676.2</v>
      </c>
      <c r="L979" s="48">
        <v>340.9</v>
      </c>
      <c r="M979" s="48">
        <v>1271.3</v>
      </c>
      <c r="N979" s="48">
        <v>975.7</v>
      </c>
    </row>
    <row r="980" spans="1:14" ht="10.050000000000001" customHeight="1">
      <c r="A980" s="45" t="s">
        <v>127</v>
      </c>
      <c r="B980" s="46">
        <v>2024</v>
      </c>
      <c r="C980" s="45" t="s">
        <v>131</v>
      </c>
      <c r="D980" s="47">
        <v>6</v>
      </c>
      <c r="E980" s="48">
        <v>41.7</v>
      </c>
      <c r="F980" s="48">
        <v>0</v>
      </c>
      <c r="G980" s="48">
        <v>41.7</v>
      </c>
      <c r="H980" s="48">
        <v>2806.6</v>
      </c>
      <c r="I980" s="48">
        <v>353.8</v>
      </c>
      <c r="J980" s="48">
        <v>3160.4</v>
      </c>
      <c r="K980" s="48">
        <v>162.4</v>
      </c>
      <c r="L980" s="48">
        <v>0</v>
      </c>
      <c r="M980" s="48">
        <v>40.9</v>
      </c>
      <c r="N980" s="48">
        <v>31</v>
      </c>
    </row>
    <row r="981" spans="1:14" ht="10.050000000000001" customHeight="1">
      <c r="A981" s="45" t="s">
        <v>84</v>
      </c>
      <c r="B981" s="46">
        <v>2024</v>
      </c>
      <c r="C981" s="45" t="s">
        <v>132</v>
      </c>
      <c r="D981" s="47">
        <v>7</v>
      </c>
      <c r="E981" s="48">
        <v>24879.9</v>
      </c>
      <c r="F981" s="48">
        <v>314.5</v>
      </c>
      <c r="G981" s="48">
        <v>25194.400000000001</v>
      </c>
      <c r="H981" s="48">
        <v>32248.5</v>
      </c>
      <c r="I981" s="48">
        <v>937.8</v>
      </c>
      <c r="J981" s="48">
        <v>33186.300000000003</v>
      </c>
      <c r="K981" s="48">
        <v>11447.5</v>
      </c>
      <c r="L981" s="48">
        <v>12523.9</v>
      </c>
      <c r="M981" s="48">
        <v>2391.1</v>
      </c>
      <c r="N981" s="48">
        <v>91.2</v>
      </c>
    </row>
    <row r="982" spans="1:14" ht="10.050000000000001" customHeight="1">
      <c r="A982" s="45" t="s">
        <v>86</v>
      </c>
      <c r="B982" s="46">
        <v>2024</v>
      </c>
      <c r="C982" s="45" t="s">
        <v>132</v>
      </c>
      <c r="D982" s="47">
        <v>7</v>
      </c>
      <c r="E982" s="48">
        <v>2347</v>
      </c>
      <c r="F982" s="48">
        <v>32.1</v>
      </c>
      <c r="G982" s="48">
        <v>2379.1</v>
      </c>
      <c r="H982" s="48">
        <v>4751.6000000000004</v>
      </c>
      <c r="I982" s="48">
        <v>129.1</v>
      </c>
      <c r="J982" s="48">
        <v>4880.7</v>
      </c>
      <c r="K982" s="48">
        <v>714.7</v>
      </c>
      <c r="L982" s="48">
        <v>931.5</v>
      </c>
      <c r="M982" s="48">
        <v>506.4</v>
      </c>
      <c r="N982" s="48">
        <v>11</v>
      </c>
    </row>
    <row r="983" spans="1:14" ht="10.050000000000001" customHeight="1">
      <c r="A983" s="45" t="s">
        <v>89</v>
      </c>
      <c r="B983" s="46">
        <v>2024</v>
      </c>
      <c r="C983" s="45" t="s">
        <v>132</v>
      </c>
      <c r="D983" s="47">
        <v>7</v>
      </c>
      <c r="E983" s="48">
        <v>164.5</v>
      </c>
      <c r="F983" s="48">
        <v>0</v>
      </c>
      <c r="G983" s="48">
        <v>164.5</v>
      </c>
      <c r="H983" s="48">
        <v>1984.3</v>
      </c>
      <c r="I983" s="48">
        <v>392</v>
      </c>
      <c r="J983" s="48">
        <v>2376.3000000000002</v>
      </c>
      <c r="K983" s="48">
        <v>58.7</v>
      </c>
      <c r="L983" s="48">
        <v>17.8</v>
      </c>
      <c r="M983" s="48">
        <v>15.5</v>
      </c>
      <c r="N983" s="48">
        <v>25.4</v>
      </c>
    </row>
    <row r="984" spans="1:14" ht="10.050000000000001" customHeight="1">
      <c r="A984" s="45" t="s">
        <v>87</v>
      </c>
      <c r="B984" s="46">
        <v>2024</v>
      </c>
      <c r="C984" s="45" t="s">
        <v>132</v>
      </c>
      <c r="D984" s="47">
        <v>7</v>
      </c>
      <c r="E984" s="48">
        <v>84701.9</v>
      </c>
      <c r="F984" s="48">
        <v>3821</v>
      </c>
      <c r="G984" s="48">
        <v>88522.899999999907</v>
      </c>
      <c r="H984" s="48">
        <v>115172.9</v>
      </c>
      <c r="I984" s="48">
        <v>7826.9</v>
      </c>
      <c r="J984" s="48">
        <v>122999.8</v>
      </c>
      <c r="K984" s="48">
        <v>49226.5</v>
      </c>
      <c r="L984" s="48">
        <v>51540</v>
      </c>
      <c r="M984" s="48">
        <v>4707.2</v>
      </c>
      <c r="N984" s="48">
        <v>273.10000000000002</v>
      </c>
    </row>
    <row r="985" spans="1:14" ht="10.050000000000001" customHeight="1">
      <c r="A985" s="45" t="s">
        <v>127</v>
      </c>
      <c r="B985" s="46">
        <v>2024</v>
      </c>
      <c r="C985" s="45" t="s">
        <v>132</v>
      </c>
      <c r="D985" s="47">
        <v>7</v>
      </c>
      <c r="E985" s="48">
        <v>1481.4</v>
      </c>
      <c r="F985" s="48">
        <v>1133.3</v>
      </c>
      <c r="G985" s="48">
        <v>2614.6999999999998</v>
      </c>
      <c r="H985" s="48">
        <v>3784.2</v>
      </c>
      <c r="I985" s="48">
        <v>1512</v>
      </c>
      <c r="J985" s="48">
        <v>5296.2</v>
      </c>
      <c r="K985" s="48">
        <v>227.9</v>
      </c>
      <c r="L985" s="48">
        <v>65.5</v>
      </c>
      <c r="M985" s="48">
        <v>0</v>
      </c>
      <c r="N985" s="48">
        <v>0</v>
      </c>
    </row>
    <row r="986" spans="1:14" ht="10.050000000000001" customHeight="1">
      <c r="A986" s="45" t="s">
        <v>84</v>
      </c>
      <c r="B986" s="46">
        <v>2024</v>
      </c>
      <c r="C986" s="45" t="s">
        <v>132</v>
      </c>
      <c r="D986" s="47">
        <v>8</v>
      </c>
      <c r="E986" s="48">
        <v>55162.7</v>
      </c>
      <c r="F986" s="48">
        <v>2543</v>
      </c>
      <c r="G986" s="48">
        <v>57705.7</v>
      </c>
      <c r="H986" s="48">
        <v>80199</v>
      </c>
      <c r="I986" s="48">
        <v>2601.4</v>
      </c>
      <c r="J986" s="48">
        <v>82800.399999999994</v>
      </c>
      <c r="K986" s="48">
        <v>25343.5</v>
      </c>
      <c r="L986" s="48">
        <v>28823.8</v>
      </c>
      <c r="M986" s="48">
        <v>13820.7</v>
      </c>
      <c r="N986" s="48">
        <v>790.2</v>
      </c>
    </row>
    <row r="987" spans="1:14" ht="10.050000000000001" customHeight="1">
      <c r="A987" s="45" t="s">
        <v>86</v>
      </c>
      <c r="B987" s="46">
        <v>2024</v>
      </c>
      <c r="C987" s="45" t="s">
        <v>132</v>
      </c>
      <c r="D987" s="47">
        <v>8</v>
      </c>
      <c r="E987" s="48">
        <v>7892.1</v>
      </c>
      <c r="F987" s="48">
        <v>142.69999999999999</v>
      </c>
      <c r="G987" s="48">
        <v>8034.8</v>
      </c>
      <c r="H987" s="48">
        <v>16687.2</v>
      </c>
      <c r="I987" s="48">
        <v>239.6</v>
      </c>
      <c r="J987" s="48">
        <v>16926.8</v>
      </c>
      <c r="K987" s="48">
        <v>4020.9</v>
      </c>
      <c r="L987" s="48">
        <v>3790.1</v>
      </c>
      <c r="M987" s="48">
        <v>434.5</v>
      </c>
      <c r="N987" s="48">
        <v>0</v>
      </c>
    </row>
    <row r="988" spans="1:14" ht="10.050000000000001" customHeight="1">
      <c r="A988" s="45" t="s">
        <v>89</v>
      </c>
      <c r="B988" s="46">
        <v>2024</v>
      </c>
      <c r="C988" s="45" t="s">
        <v>132</v>
      </c>
      <c r="D988" s="47">
        <v>8</v>
      </c>
      <c r="E988" s="48">
        <v>1335.8</v>
      </c>
      <c r="F988" s="48">
        <v>42.5</v>
      </c>
      <c r="G988" s="48">
        <v>1378.3</v>
      </c>
      <c r="H988" s="48">
        <v>2879.2</v>
      </c>
      <c r="I988" s="48">
        <v>434.6</v>
      </c>
      <c r="J988" s="48">
        <v>3313.8</v>
      </c>
      <c r="K988" s="48">
        <v>559.79999999999995</v>
      </c>
      <c r="L988" s="48">
        <v>567.5</v>
      </c>
      <c r="M988" s="48">
        <v>58.5</v>
      </c>
      <c r="N988" s="48">
        <v>7.8</v>
      </c>
    </row>
    <row r="989" spans="1:14" ht="10.050000000000001" customHeight="1">
      <c r="A989" s="45" t="s">
        <v>87</v>
      </c>
      <c r="B989" s="46">
        <v>2024</v>
      </c>
      <c r="C989" s="45" t="s">
        <v>132</v>
      </c>
      <c r="D989" s="47">
        <v>8</v>
      </c>
      <c r="E989" s="48">
        <v>60934.9</v>
      </c>
      <c r="F989" s="48">
        <v>2602.6999999999998</v>
      </c>
      <c r="G989" s="48">
        <v>63537.599999999999</v>
      </c>
      <c r="H989" s="48">
        <v>155592.4</v>
      </c>
      <c r="I989" s="48">
        <v>9797</v>
      </c>
      <c r="J989" s="48">
        <v>165389.4</v>
      </c>
      <c r="K989" s="48">
        <v>64139.9</v>
      </c>
      <c r="L989" s="48">
        <v>39567.699999999997</v>
      </c>
      <c r="M989" s="48">
        <v>23483.4</v>
      </c>
      <c r="N989" s="48">
        <v>1154</v>
      </c>
    </row>
    <row r="990" spans="1:14" ht="10.050000000000001" customHeight="1">
      <c r="A990" s="45" t="s">
        <v>127</v>
      </c>
      <c r="B990" s="46">
        <v>2024</v>
      </c>
      <c r="C990" s="45" t="s">
        <v>132</v>
      </c>
      <c r="D990" s="47">
        <v>8</v>
      </c>
      <c r="E990" s="48">
        <v>5682.4</v>
      </c>
      <c r="F990" s="48">
        <v>2576</v>
      </c>
      <c r="G990" s="48">
        <v>8258.4</v>
      </c>
      <c r="H990" s="48">
        <v>9167.7999999999993</v>
      </c>
      <c r="I990" s="48">
        <v>3982</v>
      </c>
      <c r="J990" s="48">
        <v>13149.8</v>
      </c>
      <c r="K990" s="48">
        <v>3773.3</v>
      </c>
      <c r="L990" s="48">
        <v>4402.7</v>
      </c>
      <c r="M990" s="48">
        <v>836.5</v>
      </c>
      <c r="N990" s="48">
        <v>20.7</v>
      </c>
    </row>
    <row r="991" spans="1:14" ht="10.050000000000001" customHeight="1">
      <c r="A991" s="45" t="s">
        <v>84</v>
      </c>
      <c r="B991" s="46">
        <v>2024</v>
      </c>
      <c r="C991" s="45" t="s">
        <v>132</v>
      </c>
      <c r="D991" s="47">
        <v>9</v>
      </c>
      <c r="E991" s="48">
        <v>26396.9</v>
      </c>
      <c r="F991" s="48">
        <v>2631.7</v>
      </c>
      <c r="G991" s="48">
        <v>29028.6</v>
      </c>
      <c r="H991" s="48">
        <v>91021.1</v>
      </c>
      <c r="I991" s="48">
        <v>3219.4</v>
      </c>
      <c r="J991" s="48">
        <v>94240.5</v>
      </c>
      <c r="K991" s="48">
        <v>19430</v>
      </c>
      <c r="L991" s="48">
        <v>7016.9</v>
      </c>
      <c r="M991" s="48">
        <v>11195.7</v>
      </c>
      <c r="N991" s="48">
        <v>1787.2</v>
      </c>
    </row>
    <row r="992" spans="1:14" ht="10.050000000000001" customHeight="1">
      <c r="A992" s="45" t="s">
        <v>86</v>
      </c>
      <c r="B992" s="46">
        <v>2024</v>
      </c>
      <c r="C992" s="45" t="s">
        <v>132</v>
      </c>
      <c r="D992" s="47">
        <v>9</v>
      </c>
      <c r="E992" s="48">
        <v>11096.3</v>
      </c>
      <c r="F992" s="48">
        <v>101</v>
      </c>
      <c r="G992" s="48">
        <v>11197.3</v>
      </c>
      <c r="H992" s="48">
        <v>22141.3</v>
      </c>
      <c r="I992" s="48">
        <v>264.2</v>
      </c>
      <c r="J992" s="48">
        <v>22405.5</v>
      </c>
      <c r="K992" s="48">
        <v>2181.1</v>
      </c>
      <c r="L992" s="48">
        <v>520.29999999999995</v>
      </c>
      <c r="M992" s="48">
        <v>2131.4</v>
      </c>
      <c r="N992" s="48">
        <v>228.3</v>
      </c>
    </row>
    <row r="993" spans="1:14" ht="10.050000000000001" customHeight="1">
      <c r="A993" s="45" t="s">
        <v>89</v>
      </c>
      <c r="B993" s="46">
        <v>2024</v>
      </c>
      <c r="C993" s="45" t="s">
        <v>132</v>
      </c>
      <c r="D993" s="47">
        <v>9</v>
      </c>
      <c r="E993" s="48">
        <v>1377.1</v>
      </c>
      <c r="F993" s="48">
        <v>246.1</v>
      </c>
      <c r="G993" s="48">
        <v>1623.2</v>
      </c>
      <c r="H993" s="48">
        <v>3955.3</v>
      </c>
      <c r="I993" s="48">
        <v>680.8</v>
      </c>
      <c r="J993" s="48">
        <v>4636.1000000000004</v>
      </c>
      <c r="K993" s="48">
        <v>140.6</v>
      </c>
      <c r="L993" s="48">
        <v>239.6</v>
      </c>
      <c r="M993" s="48">
        <v>642.70000000000005</v>
      </c>
      <c r="N993" s="48">
        <v>16.100000000000001</v>
      </c>
    </row>
    <row r="994" spans="1:14" ht="10.050000000000001" customHeight="1">
      <c r="A994" s="45" t="s">
        <v>87</v>
      </c>
      <c r="B994" s="46">
        <v>2024</v>
      </c>
      <c r="C994" s="45" t="s">
        <v>132</v>
      </c>
      <c r="D994" s="47">
        <v>9</v>
      </c>
      <c r="E994" s="48">
        <v>30183.9</v>
      </c>
      <c r="F994" s="48">
        <v>1402.9</v>
      </c>
      <c r="G994" s="48">
        <v>31586.799999999999</v>
      </c>
      <c r="H994" s="48">
        <v>157127.20000000001</v>
      </c>
      <c r="I994" s="48">
        <v>10345.6</v>
      </c>
      <c r="J994" s="48">
        <v>167472.79999999999</v>
      </c>
      <c r="K994" s="48">
        <v>45391</v>
      </c>
      <c r="L994" s="48">
        <v>4162.7</v>
      </c>
      <c r="M994" s="48">
        <v>17866.900000000001</v>
      </c>
      <c r="N994" s="48">
        <v>5044.7</v>
      </c>
    </row>
    <row r="995" spans="1:14" ht="10.050000000000001" customHeight="1">
      <c r="A995" s="45" t="s">
        <v>127</v>
      </c>
      <c r="B995" s="46">
        <v>2024</v>
      </c>
      <c r="C995" s="45" t="s">
        <v>132</v>
      </c>
      <c r="D995" s="47">
        <v>9</v>
      </c>
      <c r="E995" s="48">
        <v>8788.7999999999993</v>
      </c>
      <c r="F995" s="48">
        <v>637.6</v>
      </c>
      <c r="G995" s="48">
        <v>9426.4</v>
      </c>
      <c r="H995" s="48">
        <v>16287.3</v>
      </c>
      <c r="I995" s="48">
        <v>4662.3999999999996</v>
      </c>
      <c r="J995" s="48">
        <v>20949.7</v>
      </c>
      <c r="K995" s="48">
        <v>8123.1</v>
      </c>
      <c r="L995" s="48">
        <v>7634.1</v>
      </c>
      <c r="M995" s="48">
        <v>3232.9</v>
      </c>
      <c r="N995" s="48">
        <v>50.9</v>
      </c>
    </row>
    <row r="996" spans="1:14" ht="10.050000000000001" customHeight="1">
      <c r="A996" s="45" t="s">
        <v>84</v>
      </c>
      <c r="B996" s="46">
        <v>2024</v>
      </c>
      <c r="C996" s="45" t="s">
        <v>132</v>
      </c>
      <c r="D996" s="47">
        <v>10</v>
      </c>
      <c r="E996" s="48">
        <v>8943.6</v>
      </c>
      <c r="F996" s="48">
        <v>1963.7</v>
      </c>
      <c r="G996" s="48">
        <v>10907.3</v>
      </c>
      <c r="H996" s="48">
        <v>85050.4</v>
      </c>
      <c r="I996" s="48">
        <v>3554.8</v>
      </c>
      <c r="J996" s="48">
        <v>88605.2</v>
      </c>
      <c r="K996" s="48">
        <v>15458.5</v>
      </c>
      <c r="L996" s="48">
        <v>1590.7</v>
      </c>
      <c r="M996" s="48">
        <v>5002.2</v>
      </c>
      <c r="N996" s="48">
        <v>593.4</v>
      </c>
    </row>
    <row r="997" spans="1:14" ht="10.050000000000001" customHeight="1">
      <c r="A997" s="45" t="s">
        <v>86</v>
      </c>
      <c r="B997" s="46">
        <v>2024</v>
      </c>
      <c r="C997" s="45" t="s">
        <v>132</v>
      </c>
      <c r="D997" s="47">
        <v>10</v>
      </c>
      <c r="E997" s="48">
        <v>1150.5</v>
      </c>
      <c r="F997" s="48">
        <v>125.8</v>
      </c>
      <c r="G997" s="48">
        <v>1276.3</v>
      </c>
      <c r="H997" s="48">
        <v>19989.599999999999</v>
      </c>
      <c r="I997" s="48">
        <v>344.2</v>
      </c>
      <c r="J997" s="48">
        <v>20333.8</v>
      </c>
      <c r="K997" s="48">
        <v>1785.3</v>
      </c>
      <c r="L997" s="48">
        <v>65.7</v>
      </c>
      <c r="M997" s="48">
        <v>424.9</v>
      </c>
      <c r="N997" s="48">
        <v>17.2</v>
      </c>
    </row>
    <row r="998" spans="1:14" ht="10.050000000000001" customHeight="1">
      <c r="A998" s="45" t="s">
        <v>89</v>
      </c>
      <c r="B998" s="46">
        <v>2024</v>
      </c>
      <c r="C998" s="45" t="s">
        <v>132</v>
      </c>
      <c r="D998" s="47">
        <v>10</v>
      </c>
      <c r="E998" s="48">
        <v>222.4</v>
      </c>
      <c r="F998" s="48">
        <v>83.6</v>
      </c>
      <c r="G998" s="48">
        <v>306</v>
      </c>
      <c r="H998" s="48">
        <v>3861.3</v>
      </c>
      <c r="I998" s="48">
        <v>703.5</v>
      </c>
      <c r="J998" s="48">
        <v>4564.8</v>
      </c>
      <c r="K998" s="48">
        <v>158.4</v>
      </c>
      <c r="L998" s="48">
        <v>69</v>
      </c>
      <c r="M998" s="48">
        <v>40.6</v>
      </c>
      <c r="N998" s="48">
        <v>10.6</v>
      </c>
    </row>
    <row r="999" spans="1:14" ht="10.050000000000001" customHeight="1">
      <c r="A999" s="45" t="s">
        <v>87</v>
      </c>
      <c r="B999" s="46">
        <v>2024</v>
      </c>
      <c r="C999" s="45" t="s">
        <v>132</v>
      </c>
      <c r="D999" s="47">
        <v>10</v>
      </c>
      <c r="E999" s="48">
        <v>14296</v>
      </c>
      <c r="F999" s="48">
        <v>5205.6000000000004</v>
      </c>
      <c r="G999" s="48">
        <v>19501.599999999999</v>
      </c>
      <c r="H999" s="48">
        <v>147419.5</v>
      </c>
      <c r="I999" s="48">
        <v>13293.3</v>
      </c>
      <c r="J999" s="48">
        <v>160712.79999999999</v>
      </c>
      <c r="K999" s="48">
        <v>34766.6</v>
      </c>
      <c r="L999" s="48">
        <v>1869.7</v>
      </c>
      <c r="M999" s="48">
        <v>11712.6</v>
      </c>
      <c r="N999" s="48">
        <v>773.6</v>
      </c>
    </row>
    <row r="1000" spans="1:14" ht="10.050000000000001" customHeight="1">
      <c r="A1000" s="45" t="s">
        <v>127</v>
      </c>
      <c r="B1000" s="46">
        <v>2024</v>
      </c>
      <c r="C1000" s="45" t="s">
        <v>132</v>
      </c>
      <c r="D1000" s="47">
        <v>10</v>
      </c>
      <c r="E1000" s="48">
        <v>5494.9</v>
      </c>
      <c r="F1000" s="48">
        <v>351.6</v>
      </c>
      <c r="G1000" s="48">
        <v>5846.5</v>
      </c>
      <c r="H1000" s="48">
        <v>19913.599999999999</v>
      </c>
      <c r="I1000" s="48">
        <v>4799</v>
      </c>
      <c r="J1000" s="48">
        <v>24712.6</v>
      </c>
      <c r="K1000" s="48">
        <v>5003.5</v>
      </c>
      <c r="L1000" s="48">
        <v>805.7</v>
      </c>
      <c r="M1000" s="48">
        <v>3552.3</v>
      </c>
      <c r="N1000" s="48">
        <v>373</v>
      </c>
    </row>
    <row r="1001" spans="1:14" ht="10.050000000000001" customHeight="1">
      <c r="A1001" s="45" t="s">
        <v>84</v>
      </c>
      <c r="B1001" s="46">
        <v>2024</v>
      </c>
      <c r="C1001" s="45" t="s">
        <v>132</v>
      </c>
      <c r="D1001" s="47">
        <v>11</v>
      </c>
      <c r="E1001" s="48">
        <v>4183.3</v>
      </c>
      <c r="F1001" s="48">
        <v>973.6</v>
      </c>
      <c r="G1001" s="48">
        <v>5156.8999999999996</v>
      </c>
      <c r="H1001" s="48">
        <v>81778.600000000006</v>
      </c>
      <c r="I1001" s="48">
        <v>3962.3</v>
      </c>
      <c r="J1001" s="48">
        <v>85740.9</v>
      </c>
      <c r="K1001" s="48">
        <v>13347.9</v>
      </c>
      <c r="L1001" s="48">
        <v>390.5</v>
      </c>
      <c r="M1001" s="48">
        <v>2121.4</v>
      </c>
      <c r="N1001" s="48">
        <v>380.1</v>
      </c>
    </row>
    <row r="1002" spans="1:14" ht="10.050000000000001" customHeight="1">
      <c r="A1002" s="45" t="s">
        <v>86</v>
      </c>
      <c r="B1002" s="46">
        <v>2024</v>
      </c>
      <c r="C1002" s="45" t="s">
        <v>132</v>
      </c>
      <c r="D1002" s="47">
        <v>11</v>
      </c>
      <c r="E1002" s="48">
        <v>1040.7</v>
      </c>
      <c r="F1002" s="48">
        <v>625.20000000000005</v>
      </c>
      <c r="G1002" s="48">
        <v>1665.9</v>
      </c>
      <c r="H1002" s="48">
        <v>20125.900000000001</v>
      </c>
      <c r="I1002" s="48">
        <v>827.9</v>
      </c>
      <c r="J1002" s="48">
        <v>20953.8</v>
      </c>
      <c r="K1002" s="48">
        <v>1008.2</v>
      </c>
      <c r="L1002" s="48">
        <v>53.3</v>
      </c>
      <c r="M1002" s="48">
        <v>834.5</v>
      </c>
      <c r="N1002" s="48">
        <v>5.0999999999999996</v>
      </c>
    </row>
    <row r="1003" spans="1:14" ht="10.050000000000001" customHeight="1">
      <c r="A1003" s="45" t="s">
        <v>89</v>
      </c>
      <c r="B1003" s="46">
        <v>2024</v>
      </c>
      <c r="C1003" s="45" t="s">
        <v>132</v>
      </c>
      <c r="D1003" s="47">
        <v>11</v>
      </c>
      <c r="E1003" s="48">
        <v>48.2</v>
      </c>
      <c r="F1003" s="48">
        <v>0</v>
      </c>
      <c r="G1003" s="48">
        <v>48.2</v>
      </c>
      <c r="H1003" s="48">
        <v>3567.5</v>
      </c>
      <c r="I1003" s="48">
        <v>703.5</v>
      </c>
      <c r="J1003" s="48">
        <v>4271</v>
      </c>
      <c r="K1003" s="48">
        <v>126.6</v>
      </c>
      <c r="L1003" s="48">
        <v>65.7</v>
      </c>
      <c r="M1003" s="48">
        <v>48.3</v>
      </c>
      <c r="N1003" s="48">
        <v>49.2</v>
      </c>
    </row>
    <row r="1004" spans="1:14" ht="10.050000000000001" customHeight="1">
      <c r="A1004" s="45" t="s">
        <v>87</v>
      </c>
      <c r="B1004" s="46">
        <v>2024</v>
      </c>
      <c r="C1004" s="45" t="s">
        <v>132</v>
      </c>
      <c r="D1004" s="47">
        <v>11</v>
      </c>
      <c r="E1004" s="48">
        <v>7787.3</v>
      </c>
      <c r="F1004" s="48">
        <v>1724.3</v>
      </c>
      <c r="G1004" s="48">
        <v>9511.6</v>
      </c>
      <c r="H1004" s="48">
        <v>136677.6</v>
      </c>
      <c r="I1004" s="48">
        <v>13875.4</v>
      </c>
      <c r="J1004" s="48">
        <v>150553</v>
      </c>
      <c r="K1004" s="48">
        <v>29101.7</v>
      </c>
      <c r="L1004" s="48">
        <v>718.1</v>
      </c>
      <c r="M1004" s="48">
        <v>6133.9</v>
      </c>
      <c r="N1004" s="48">
        <v>249</v>
      </c>
    </row>
    <row r="1005" spans="1:14" ht="10.050000000000001" customHeight="1">
      <c r="A1005" s="45" t="s">
        <v>127</v>
      </c>
      <c r="B1005" s="46">
        <v>2024</v>
      </c>
      <c r="C1005" s="45" t="s">
        <v>132</v>
      </c>
      <c r="D1005" s="47">
        <v>11</v>
      </c>
      <c r="E1005" s="48">
        <v>3644.3</v>
      </c>
      <c r="F1005" s="48">
        <v>0</v>
      </c>
      <c r="G1005" s="48">
        <v>3644.3</v>
      </c>
      <c r="H1005" s="48">
        <v>21277.1</v>
      </c>
      <c r="I1005" s="48">
        <v>4351.3</v>
      </c>
      <c r="J1005" s="48">
        <v>25628.400000000001</v>
      </c>
      <c r="K1005" s="48">
        <v>1220.7</v>
      </c>
      <c r="L1005" s="48">
        <v>50</v>
      </c>
      <c r="M1005" s="48">
        <v>3410.3</v>
      </c>
      <c r="N1005" s="48">
        <v>422.6</v>
      </c>
    </row>
    <row r="1006" spans="1:14" ht="10.050000000000001" customHeight="1">
      <c r="A1006" s="45" t="s">
        <v>84</v>
      </c>
      <c r="B1006" s="46">
        <v>2024</v>
      </c>
      <c r="C1006" s="45" t="s">
        <v>132</v>
      </c>
      <c r="D1006" s="47">
        <v>12</v>
      </c>
      <c r="E1006" s="48">
        <v>4511</v>
      </c>
      <c r="F1006" s="48">
        <v>899.7</v>
      </c>
      <c r="G1006" s="48">
        <v>5410.7</v>
      </c>
      <c r="H1006" s="48">
        <v>77891.399999999994</v>
      </c>
      <c r="I1006" s="48">
        <v>4158.8999999999996</v>
      </c>
      <c r="J1006" s="48">
        <v>82050.3</v>
      </c>
      <c r="K1006" s="48">
        <v>11239.8</v>
      </c>
      <c r="L1006" s="48">
        <v>834.4</v>
      </c>
      <c r="M1006" s="48">
        <v>2625.5</v>
      </c>
      <c r="N1006" s="48">
        <v>308.8</v>
      </c>
    </row>
    <row r="1007" spans="1:14" ht="10.050000000000001" customHeight="1">
      <c r="A1007" s="45" t="s">
        <v>86</v>
      </c>
      <c r="B1007" s="46">
        <v>2024</v>
      </c>
      <c r="C1007" s="45" t="s">
        <v>132</v>
      </c>
      <c r="D1007" s="47">
        <v>12</v>
      </c>
      <c r="E1007" s="48">
        <v>166.1</v>
      </c>
      <c r="F1007" s="48">
        <v>206.3</v>
      </c>
      <c r="G1007" s="48">
        <v>372.4</v>
      </c>
      <c r="H1007" s="48">
        <v>18917.7</v>
      </c>
      <c r="I1007" s="48">
        <v>698.5</v>
      </c>
      <c r="J1007" s="48">
        <v>19616.2</v>
      </c>
      <c r="K1007" s="48">
        <v>995.6</v>
      </c>
      <c r="L1007" s="48">
        <v>30.3</v>
      </c>
      <c r="M1007" s="48">
        <v>36.299999999999997</v>
      </c>
      <c r="N1007" s="48">
        <v>6.7</v>
      </c>
    </row>
    <row r="1008" spans="1:14" ht="10.050000000000001" customHeight="1">
      <c r="A1008" s="45" t="s">
        <v>89</v>
      </c>
      <c r="B1008" s="46">
        <v>2024</v>
      </c>
      <c r="C1008" s="45" t="s">
        <v>132</v>
      </c>
      <c r="D1008" s="47">
        <v>12</v>
      </c>
      <c r="E1008" s="48">
        <v>18.2</v>
      </c>
      <c r="F1008" s="48">
        <v>0</v>
      </c>
      <c r="G1008" s="48">
        <v>18.2</v>
      </c>
      <c r="H1008" s="48">
        <v>3311.5</v>
      </c>
      <c r="I1008" s="48">
        <v>703.5</v>
      </c>
      <c r="J1008" s="48">
        <v>4015</v>
      </c>
      <c r="K1008" s="48">
        <v>103.2</v>
      </c>
      <c r="L1008" s="48">
        <v>0</v>
      </c>
      <c r="M1008" s="48">
        <v>16.2</v>
      </c>
      <c r="N1008" s="48">
        <v>7.2</v>
      </c>
    </row>
    <row r="1009" spans="1:14" ht="10.050000000000001" customHeight="1">
      <c r="A1009" s="45" t="s">
        <v>87</v>
      </c>
      <c r="B1009" s="46">
        <v>2024</v>
      </c>
      <c r="C1009" s="45" t="s">
        <v>132</v>
      </c>
      <c r="D1009" s="47">
        <v>12</v>
      </c>
      <c r="E1009" s="48">
        <v>5751.9</v>
      </c>
      <c r="F1009" s="48">
        <v>1333.1</v>
      </c>
      <c r="G1009" s="48">
        <v>7085</v>
      </c>
      <c r="H1009" s="48">
        <v>127692.8</v>
      </c>
      <c r="I1009" s="48">
        <v>13144.5</v>
      </c>
      <c r="J1009" s="48">
        <v>140837.29999999999</v>
      </c>
      <c r="K1009" s="48">
        <v>25110.2</v>
      </c>
      <c r="L1009" s="48">
        <v>1067.4000000000001</v>
      </c>
      <c r="M1009" s="48">
        <v>4590.8</v>
      </c>
      <c r="N1009" s="48">
        <v>474.1</v>
      </c>
    </row>
    <row r="1010" spans="1:14" ht="10.050000000000001" customHeight="1">
      <c r="A1010" s="45" t="s">
        <v>127</v>
      </c>
      <c r="B1010" s="46">
        <v>2024</v>
      </c>
      <c r="C1010" s="45" t="s">
        <v>132</v>
      </c>
      <c r="D1010" s="47">
        <v>12</v>
      </c>
      <c r="E1010" s="48">
        <v>559.5</v>
      </c>
      <c r="F1010" s="48">
        <v>0</v>
      </c>
      <c r="G1010" s="48">
        <v>559.5</v>
      </c>
      <c r="H1010" s="48">
        <v>19518.8</v>
      </c>
      <c r="I1010" s="48">
        <v>3469.9</v>
      </c>
      <c r="J1010" s="48">
        <v>22988.7</v>
      </c>
      <c r="K1010" s="48">
        <v>778.6</v>
      </c>
      <c r="L1010" s="48">
        <v>35.6</v>
      </c>
      <c r="M1010" s="48">
        <v>467.9</v>
      </c>
      <c r="N1010" s="48">
        <v>9.8000000000000007</v>
      </c>
    </row>
    <row r="1012" spans="1:14" ht="13.05" customHeight="1">
      <c r="A1012" s="1072" t="s">
        <v>133</v>
      </c>
      <c r="B1012" s="1072"/>
      <c r="C1012" s="1072"/>
      <c r="D1012" s="1072"/>
      <c r="E1012" s="1072"/>
      <c r="F1012" s="1072"/>
      <c r="G1012" s="1072"/>
      <c r="H1012" s="1072"/>
      <c r="I1012" s="1072"/>
      <c r="J1012" s="1072"/>
      <c r="K1012" s="1072"/>
      <c r="L1012" s="1072"/>
      <c r="M1012" s="1072"/>
      <c r="N1012" s="1072"/>
    </row>
    <row r="1013" spans="1:14" ht="13.05" customHeight="1">
      <c r="A1013" s="1072" t="s">
        <v>134</v>
      </c>
      <c r="B1013" s="1072"/>
      <c r="C1013" s="1072"/>
      <c r="D1013" s="1072"/>
      <c r="E1013" s="1072"/>
      <c r="F1013" s="1072"/>
      <c r="G1013" s="1072"/>
      <c r="H1013" s="1072"/>
      <c r="I1013" s="1072"/>
      <c r="J1013" s="1072"/>
      <c r="K1013" s="1072"/>
      <c r="L1013" s="1072"/>
      <c r="M1013" s="1072"/>
      <c r="N1013" s="1072"/>
    </row>
    <row r="1014" spans="1:14" ht="13.05" customHeight="1">
      <c r="A1014" s="1072" t="s">
        <v>135</v>
      </c>
      <c r="B1014" s="1072"/>
      <c r="C1014" s="1072"/>
      <c r="D1014" s="1072"/>
      <c r="E1014" s="1072"/>
      <c r="F1014" s="1072"/>
      <c r="G1014" s="1072"/>
      <c r="H1014" s="1072"/>
      <c r="I1014" s="1072"/>
      <c r="J1014" s="1072"/>
      <c r="K1014" s="1072"/>
      <c r="L1014" s="1072"/>
      <c r="M1014" s="1072"/>
      <c r="N1014" s="1072"/>
    </row>
    <row r="1015" spans="1:14" ht="13.05" customHeight="1">
      <c r="A1015" s="1072" t="s">
        <v>136</v>
      </c>
      <c r="B1015" s="1072"/>
      <c r="C1015" s="1072"/>
      <c r="D1015" s="1072"/>
      <c r="E1015" s="1072"/>
      <c r="F1015" s="1072"/>
      <c r="G1015" s="1072"/>
      <c r="H1015" s="1072"/>
      <c r="I1015" s="1072"/>
      <c r="J1015" s="1072"/>
      <c r="K1015" s="1072"/>
      <c r="L1015" s="1072"/>
      <c r="M1015" s="1072"/>
      <c r="N1015" s="1072"/>
    </row>
    <row r="1016" spans="1:14" ht="13.05" customHeight="1">
      <c r="A1016" s="1072" t="s">
        <v>137</v>
      </c>
      <c r="B1016" s="1072"/>
      <c r="C1016" s="1072"/>
      <c r="D1016" s="1072"/>
      <c r="E1016" s="1072"/>
      <c r="F1016" s="1072"/>
      <c r="G1016" s="1072"/>
      <c r="H1016" s="1072"/>
      <c r="I1016" s="1072"/>
      <c r="J1016" s="1072"/>
      <c r="K1016" s="1072"/>
      <c r="L1016" s="1072"/>
      <c r="M1016" s="1072"/>
      <c r="N1016" s="1072"/>
    </row>
    <row r="1017" spans="1:14" ht="13.05" customHeight="1">
      <c r="A1017" s="1072" t="s">
        <v>138</v>
      </c>
      <c r="B1017" s="1072"/>
      <c r="C1017" s="1072"/>
      <c r="D1017" s="1072"/>
      <c r="E1017" s="1072"/>
      <c r="F1017" s="1072"/>
      <c r="G1017" s="1072"/>
      <c r="H1017" s="1072"/>
      <c r="I1017" s="1072"/>
      <c r="J1017" s="1072"/>
      <c r="K1017" s="1072"/>
      <c r="L1017" s="1072"/>
      <c r="M1017" s="1072"/>
      <c r="N1017" s="1072"/>
    </row>
    <row r="1018" spans="1:14" ht="13.05" customHeight="1">
      <c r="A1018" s="1072" t="s">
        <v>139</v>
      </c>
      <c r="B1018" s="1072"/>
      <c r="C1018" s="1072"/>
      <c r="D1018" s="1072"/>
      <c r="E1018" s="1072"/>
      <c r="F1018" s="1072"/>
      <c r="G1018" s="1072"/>
      <c r="H1018" s="1072"/>
      <c r="I1018" s="1072"/>
      <c r="J1018" s="1072"/>
      <c r="K1018" s="1072"/>
      <c r="L1018" s="1072"/>
      <c r="M1018" s="1072"/>
      <c r="N1018" s="1072"/>
    </row>
    <row r="1019" spans="1:14" ht="13.05" customHeight="1">
      <c r="A1019" s="1072" t="s">
        <v>140</v>
      </c>
      <c r="B1019" s="1072"/>
      <c r="C1019" s="1072"/>
      <c r="D1019" s="1072"/>
      <c r="E1019" s="1072"/>
      <c r="F1019" s="1072"/>
      <c r="G1019" s="1072"/>
      <c r="H1019" s="1072"/>
      <c r="I1019" s="1072"/>
      <c r="J1019" s="1072"/>
      <c r="K1019" s="1072"/>
      <c r="L1019" s="1072"/>
      <c r="M1019" s="1072"/>
      <c r="N1019" s="1072"/>
    </row>
    <row r="1020" spans="1:14" ht="13.05" customHeight="1">
      <c r="A1020" s="1072" t="s">
        <v>141</v>
      </c>
      <c r="B1020" s="1072"/>
      <c r="C1020" s="1072"/>
      <c r="D1020" s="1072"/>
      <c r="E1020" s="1072"/>
      <c r="F1020" s="1072"/>
      <c r="G1020" s="1072"/>
      <c r="H1020" s="1072"/>
      <c r="I1020" s="1072"/>
      <c r="J1020" s="1072"/>
      <c r="K1020" s="1072"/>
      <c r="L1020" s="1072"/>
      <c r="M1020" s="1072"/>
      <c r="N1020" s="1072"/>
    </row>
    <row r="1021" spans="1:14" ht="13.05" customHeight="1">
      <c r="A1021" s="1072" t="s">
        <v>142</v>
      </c>
      <c r="B1021" s="1072"/>
      <c r="C1021" s="1072"/>
      <c r="D1021" s="1072"/>
      <c r="E1021" s="1072"/>
      <c r="F1021" s="1072"/>
      <c r="G1021" s="1072"/>
      <c r="H1021" s="1072"/>
      <c r="I1021" s="1072"/>
      <c r="J1021" s="1072"/>
      <c r="K1021" s="1072"/>
      <c r="L1021" s="1072"/>
      <c r="M1021" s="1072"/>
      <c r="N1021" s="1072"/>
    </row>
  </sheetData>
  <autoFilter ref="A5:D1010" xr:uid="{00000000-0009-0000-0000-000001000000}"/>
  <mergeCells count="13">
    <mergeCell ref="A1021:N1021"/>
    <mergeCell ref="A1015:N1015"/>
    <mergeCell ref="A1016:N1016"/>
    <mergeCell ref="A1017:N1017"/>
    <mergeCell ref="A1018:N1018"/>
    <mergeCell ref="A1019:N1019"/>
    <mergeCell ref="A1020:N1020"/>
    <mergeCell ref="A1014:N1014"/>
    <mergeCell ref="A1:N1"/>
    <mergeCell ref="A2:N2"/>
    <mergeCell ref="A3:N3"/>
    <mergeCell ref="A1012:N1012"/>
    <mergeCell ref="A1013:N1013"/>
  </mergeCells>
  <printOptions horizontalCentered="1" verticalCentered="1"/>
  <pageMargins left="0.2" right="0.2" top="0.2" bottom="0.2" header="0" footer="0"/>
  <pageSetup paperSize="9" scale="60"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CDA72-3059-4296-A1F3-9D3E9B45C122}">
  <sheetPr>
    <tabColor rgb="FFFFC000"/>
  </sheetPr>
  <dimension ref="A1:G1163"/>
  <sheetViews>
    <sheetView zoomScaleNormal="100" workbookViewId="0">
      <pane xSplit="5" ySplit="5" topLeftCell="F1113" activePane="bottomRight" state="frozen"/>
      <selection activeCell="K30" sqref="K30"/>
      <selection pane="topRight" activeCell="K30" sqref="K30"/>
      <selection pane="bottomLeft" activeCell="K30" sqref="K30"/>
      <selection pane="bottomRight" activeCell="K30" sqref="K30"/>
    </sheetView>
  </sheetViews>
  <sheetFormatPr baseColWidth="10" defaultRowHeight="12" customHeight="1"/>
  <cols>
    <col min="1" max="7" width="15.6640625" style="42" bestFit="1" customWidth="1"/>
    <col min="8" max="16384" width="11.5546875" style="42"/>
  </cols>
  <sheetData>
    <row r="1" spans="1:7" ht="39" customHeight="1">
      <c r="A1" s="1073" t="s">
        <v>144</v>
      </c>
      <c r="B1" s="1074"/>
      <c r="C1" s="1074"/>
      <c r="D1" s="1074"/>
      <c r="E1" s="1074"/>
      <c r="F1" s="1074"/>
      <c r="G1" s="1074"/>
    </row>
    <row r="2" spans="1:7" ht="16.95" customHeight="1">
      <c r="A2" s="1077" t="s">
        <v>91</v>
      </c>
      <c r="B2" s="1074"/>
      <c r="C2" s="1074"/>
      <c r="D2" s="1074"/>
      <c r="E2" s="1074"/>
      <c r="F2" s="1074"/>
      <c r="G2" s="1074"/>
    </row>
    <row r="3" spans="1:7" ht="12" customHeight="1">
      <c r="A3" s="1078" t="s">
        <v>145</v>
      </c>
      <c r="B3" s="1074"/>
      <c r="C3" s="1074"/>
      <c r="D3" s="1074"/>
      <c r="E3" s="1074"/>
      <c r="F3" s="1074"/>
      <c r="G3" s="1074"/>
    </row>
    <row r="5" spans="1:7" ht="30" customHeight="1">
      <c r="A5" s="49" t="s">
        <v>146</v>
      </c>
      <c r="B5" s="49" t="s">
        <v>147</v>
      </c>
      <c r="C5" s="49" t="s">
        <v>94</v>
      </c>
      <c r="D5" s="49" t="s">
        <v>95</v>
      </c>
      <c r="E5" s="49" t="s">
        <v>96</v>
      </c>
      <c r="F5" s="49" t="s">
        <v>148</v>
      </c>
      <c r="G5" s="49" t="s">
        <v>149</v>
      </c>
    </row>
    <row r="6" spans="1:7" ht="10.050000000000001" customHeight="1">
      <c r="A6" s="45" t="s">
        <v>154</v>
      </c>
      <c r="B6" s="45" t="s">
        <v>80</v>
      </c>
      <c r="C6" s="46">
        <v>2000</v>
      </c>
      <c r="D6" s="45" t="s">
        <v>107</v>
      </c>
      <c r="E6" s="47">
        <v>7</v>
      </c>
      <c r="F6" s="48">
        <v>18785</v>
      </c>
      <c r="G6" s="48">
        <v>13680.2</v>
      </c>
    </row>
    <row r="7" spans="1:7" ht="10.050000000000001" customHeight="1">
      <c r="A7" s="45" t="s">
        <v>154</v>
      </c>
      <c r="B7" s="45" t="s">
        <v>80</v>
      </c>
      <c r="C7" s="46">
        <v>2000</v>
      </c>
      <c r="D7" s="45" t="s">
        <v>107</v>
      </c>
      <c r="E7" s="47">
        <v>8</v>
      </c>
      <c r="F7" s="48">
        <v>20860.2</v>
      </c>
      <c r="G7" s="48">
        <v>12040.2</v>
      </c>
    </row>
    <row r="8" spans="1:7" ht="10.050000000000001" customHeight="1">
      <c r="A8" s="45" t="s">
        <v>154</v>
      </c>
      <c r="B8" s="45" t="s">
        <v>80</v>
      </c>
      <c r="C8" s="46">
        <v>2000</v>
      </c>
      <c r="D8" s="45" t="s">
        <v>107</v>
      </c>
      <c r="E8" s="47">
        <v>9</v>
      </c>
      <c r="F8" s="48">
        <v>21630.3</v>
      </c>
      <c r="G8" s="48">
        <v>11532.9</v>
      </c>
    </row>
    <row r="9" spans="1:7" ht="10.050000000000001" customHeight="1">
      <c r="A9" s="45" t="s">
        <v>154</v>
      </c>
      <c r="B9" s="45" t="s">
        <v>80</v>
      </c>
      <c r="C9" s="46">
        <v>2000</v>
      </c>
      <c r="D9" s="45" t="s">
        <v>107</v>
      </c>
      <c r="E9" s="47">
        <v>10</v>
      </c>
      <c r="F9" s="48">
        <v>22821.3</v>
      </c>
      <c r="G9" s="48">
        <v>9708.2000000000007</v>
      </c>
    </row>
    <row r="10" spans="1:7" ht="10.050000000000001" customHeight="1">
      <c r="A10" s="45" t="s">
        <v>154</v>
      </c>
      <c r="B10" s="45" t="s">
        <v>80</v>
      </c>
      <c r="C10" s="46">
        <v>2000</v>
      </c>
      <c r="D10" s="45" t="s">
        <v>107</v>
      </c>
      <c r="E10" s="47">
        <v>11</v>
      </c>
      <c r="F10" s="48">
        <v>23000.2</v>
      </c>
      <c r="G10" s="48">
        <v>11670.8</v>
      </c>
    </row>
    <row r="11" spans="1:7" ht="10.050000000000001" customHeight="1">
      <c r="A11" s="45" t="s">
        <v>154</v>
      </c>
      <c r="B11" s="45" t="s">
        <v>80</v>
      </c>
      <c r="C11" s="46">
        <v>2000</v>
      </c>
      <c r="D11" s="45" t="s">
        <v>107</v>
      </c>
      <c r="E11" s="47">
        <v>12</v>
      </c>
      <c r="F11" s="48">
        <v>21729.1</v>
      </c>
      <c r="G11" s="48">
        <v>12871.2</v>
      </c>
    </row>
    <row r="12" spans="1:7" ht="10.050000000000001" customHeight="1">
      <c r="A12" s="45" t="s">
        <v>154</v>
      </c>
      <c r="B12" s="45" t="s">
        <v>80</v>
      </c>
      <c r="C12" s="46">
        <v>2001</v>
      </c>
      <c r="D12" s="45" t="s">
        <v>107</v>
      </c>
      <c r="E12" s="47">
        <v>1</v>
      </c>
      <c r="F12" s="48">
        <v>21717.9</v>
      </c>
      <c r="G12" s="48">
        <v>14733.2</v>
      </c>
    </row>
    <row r="13" spans="1:7" ht="10.050000000000001" customHeight="1">
      <c r="A13" s="45" t="s">
        <v>154</v>
      </c>
      <c r="B13" s="45" t="s">
        <v>80</v>
      </c>
      <c r="C13" s="46">
        <v>2001</v>
      </c>
      <c r="D13" s="45" t="s">
        <v>107</v>
      </c>
      <c r="E13" s="47">
        <v>2</v>
      </c>
      <c r="F13" s="48">
        <v>19472.099999999999</v>
      </c>
      <c r="G13" s="48">
        <v>14029.3</v>
      </c>
    </row>
    <row r="14" spans="1:7" ht="10.050000000000001" customHeight="1">
      <c r="A14" s="45" t="s">
        <v>154</v>
      </c>
      <c r="B14" s="45" t="s">
        <v>80</v>
      </c>
      <c r="C14" s="46">
        <v>2001</v>
      </c>
      <c r="D14" s="45" t="s">
        <v>107</v>
      </c>
      <c r="E14" s="47">
        <v>3</v>
      </c>
      <c r="F14" s="48">
        <v>23234</v>
      </c>
      <c r="G14" s="48">
        <v>10404.5</v>
      </c>
    </row>
    <row r="15" spans="1:7" ht="10.050000000000001" customHeight="1">
      <c r="A15" s="45" t="s">
        <v>154</v>
      </c>
      <c r="B15" s="45" t="s">
        <v>80</v>
      </c>
      <c r="C15" s="46">
        <v>2001</v>
      </c>
      <c r="D15" s="45" t="s">
        <v>107</v>
      </c>
      <c r="E15" s="47">
        <v>4</v>
      </c>
      <c r="F15" s="48">
        <v>21603</v>
      </c>
      <c r="G15" s="48">
        <v>8319.7999999999993</v>
      </c>
    </row>
    <row r="16" spans="1:7" ht="10.050000000000001" customHeight="1">
      <c r="A16" s="45" t="s">
        <v>154</v>
      </c>
      <c r="B16" s="45" t="s">
        <v>80</v>
      </c>
      <c r="C16" s="46">
        <v>2001</v>
      </c>
      <c r="D16" s="45" t="s">
        <v>107</v>
      </c>
      <c r="E16" s="47">
        <v>5</v>
      </c>
      <c r="F16" s="48">
        <v>21477.1</v>
      </c>
      <c r="G16" s="48">
        <v>9105.4</v>
      </c>
    </row>
    <row r="17" spans="1:7" ht="10.050000000000001" customHeight="1">
      <c r="A17" s="45" t="s">
        <v>154</v>
      </c>
      <c r="B17" s="45" t="s">
        <v>80</v>
      </c>
      <c r="C17" s="46">
        <v>2001</v>
      </c>
      <c r="D17" s="45" t="s">
        <v>107</v>
      </c>
      <c r="E17" s="47">
        <v>6</v>
      </c>
      <c r="F17" s="48">
        <v>17823.2</v>
      </c>
      <c r="G17" s="48">
        <v>9035.4</v>
      </c>
    </row>
    <row r="18" spans="1:7" ht="10.050000000000001" customHeight="1">
      <c r="A18" s="45" t="s">
        <v>154</v>
      </c>
      <c r="B18" s="45" t="s">
        <v>80</v>
      </c>
      <c r="C18" s="46">
        <v>2001</v>
      </c>
      <c r="D18" s="45" t="s">
        <v>110</v>
      </c>
      <c r="E18" s="47">
        <v>7</v>
      </c>
      <c r="F18" s="48">
        <v>17982.8</v>
      </c>
      <c r="G18" s="48">
        <v>10878</v>
      </c>
    </row>
    <row r="19" spans="1:7" ht="10.050000000000001" customHeight="1">
      <c r="A19" s="45" t="s">
        <v>154</v>
      </c>
      <c r="B19" s="45" t="s">
        <v>80</v>
      </c>
      <c r="C19" s="46">
        <v>2001</v>
      </c>
      <c r="D19" s="45" t="s">
        <v>110</v>
      </c>
      <c r="E19" s="47">
        <v>8</v>
      </c>
      <c r="F19" s="48">
        <v>18932</v>
      </c>
      <c r="G19" s="48">
        <v>11613.1</v>
      </c>
    </row>
    <row r="20" spans="1:7" ht="10.050000000000001" customHeight="1">
      <c r="A20" s="45" t="s">
        <v>154</v>
      </c>
      <c r="B20" s="45" t="s">
        <v>80</v>
      </c>
      <c r="C20" s="46">
        <v>2001</v>
      </c>
      <c r="D20" s="45" t="s">
        <v>110</v>
      </c>
      <c r="E20" s="47">
        <v>9</v>
      </c>
      <c r="F20" s="48">
        <v>14955.7</v>
      </c>
      <c r="G20" s="48">
        <v>12087.1</v>
      </c>
    </row>
    <row r="21" spans="1:7" ht="10.050000000000001" customHeight="1">
      <c r="A21" s="45" t="s">
        <v>154</v>
      </c>
      <c r="B21" s="45" t="s">
        <v>80</v>
      </c>
      <c r="C21" s="46">
        <v>2001</v>
      </c>
      <c r="D21" s="45" t="s">
        <v>110</v>
      </c>
      <c r="E21" s="47">
        <v>10</v>
      </c>
      <c r="F21" s="48">
        <v>14143.3</v>
      </c>
      <c r="G21" s="48">
        <v>11002.8</v>
      </c>
    </row>
    <row r="22" spans="1:7" ht="10.050000000000001" customHeight="1">
      <c r="A22" s="45" t="s">
        <v>154</v>
      </c>
      <c r="B22" s="45" t="s">
        <v>80</v>
      </c>
      <c r="C22" s="46">
        <v>2001</v>
      </c>
      <c r="D22" s="45" t="s">
        <v>110</v>
      </c>
      <c r="E22" s="47">
        <v>11</v>
      </c>
      <c r="F22" s="48">
        <v>11904.4</v>
      </c>
      <c r="G22" s="48">
        <v>9489.6</v>
      </c>
    </row>
    <row r="23" spans="1:7" ht="10.050000000000001" customHeight="1">
      <c r="A23" s="45" t="s">
        <v>154</v>
      </c>
      <c r="B23" s="45" t="s">
        <v>80</v>
      </c>
      <c r="C23" s="46">
        <v>2001</v>
      </c>
      <c r="D23" s="45" t="s">
        <v>110</v>
      </c>
      <c r="E23" s="47">
        <v>12</v>
      </c>
      <c r="F23" s="48">
        <v>9106.5</v>
      </c>
      <c r="G23" s="48">
        <v>9052.1</v>
      </c>
    </row>
    <row r="24" spans="1:7" ht="10.050000000000001" customHeight="1">
      <c r="A24" s="45" t="s">
        <v>154</v>
      </c>
      <c r="B24" s="45" t="s">
        <v>80</v>
      </c>
      <c r="C24" s="46">
        <v>2002</v>
      </c>
      <c r="D24" s="45" t="s">
        <v>110</v>
      </c>
      <c r="E24" s="47">
        <v>1</v>
      </c>
      <c r="F24" s="48">
        <v>9749.1</v>
      </c>
      <c r="G24" s="48">
        <v>8080.3</v>
      </c>
    </row>
    <row r="25" spans="1:7" ht="10.050000000000001" customHeight="1">
      <c r="A25" s="45" t="s">
        <v>154</v>
      </c>
      <c r="B25" s="45" t="s">
        <v>80</v>
      </c>
      <c r="C25" s="46">
        <v>2002</v>
      </c>
      <c r="D25" s="45" t="s">
        <v>110</v>
      </c>
      <c r="E25" s="47">
        <v>2</v>
      </c>
      <c r="F25" s="48">
        <v>9536.2999999999993</v>
      </c>
      <c r="G25" s="48">
        <v>5670.6</v>
      </c>
    </row>
    <row r="26" spans="1:7" ht="10.050000000000001" customHeight="1">
      <c r="A26" s="45" t="s">
        <v>154</v>
      </c>
      <c r="B26" s="45" t="s">
        <v>80</v>
      </c>
      <c r="C26" s="46">
        <v>2002</v>
      </c>
      <c r="D26" s="45" t="s">
        <v>110</v>
      </c>
      <c r="E26" s="47">
        <v>3</v>
      </c>
      <c r="F26" s="48">
        <v>10323.6</v>
      </c>
      <c r="G26" s="48">
        <v>5570.2</v>
      </c>
    </row>
    <row r="27" spans="1:7" ht="10.050000000000001" customHeight="1">
      <c r="A27" s="45" t="s">
        <v>154</v>
      </c>
      <c r="B27" s="45" t="s">
        <v>80</v>
      </c>
      <c r="C27" s="46">
        <v>2002</v>
      </c>
      <c r="D27" s="45" t="s">
        <v>110</v>
      </c>
      <c r="E27" s="47">
        <v>4</v>
      </c>
      <c r="F27" s="48">
        <v>11492.6</v>
      </c>
      <c r="G27" s="48">
        <v>6010.8</v>
      </c>
    </row>
    <row r="28" spans="1:7" ht="10.050000000000001" customHeight="1">
      <c r="A28" s="45" t="s">
        <v>154</v>
      </c>
      <c r="B28" s="45" t="s">
        <v>80</v>
      </c>
      <c r="C28" s="46">
        <v>2002</v>
      </c>
      <c r="D28" s="45" t="s">
        <v>110</v>
      </c>
      <c r="E28" s="47">
        <v>5</v>
      </c>
      <c r="F28" s="48">
        <v>11744.8</v>
      </c>
      <c r="G28" s="48">
        <v>7084.4</v>
      </c>
    </row>
    <row r="29" spans="1:7" ht="10.050000000000001" customHeight="1">
      <c r="A29" s="45" t="s">
        <v>154</v>
      </c>
      <c r="B29" s="45" t="s">
        <v>80</v>
      </c>
      <c r="C29" s="46">
        <v>2002</v>
      </c>
      <c r="D29" s="45" t="s">
        <v>110</v>
      </c>
      <c r="E29" s="47">
        <v>6</v>
      </c>
      <c r="F29" s="48">
        <v>13346.9</v>
      </c>
      <c r="G29" s="48">
        <v>6084.2</v>
      </c>
    </row>
    <row r="30" spans="1:7" ht="10.050000000000001" customHeight="1">
      <c r="A30" s="45" t="s">
        <v>154</v>
      </c>
      <c r="B30" s="45" t="s">
        <v>80</v>
      </c>
      <c r="C30" s="46">
        <v>2002</v>
      </c>
      <c r="D30" s="45" t="s">
        <v>111</v>
      </c>
      <c r="E30" s="47">
        <v>7</v>
      </c>
      <c r="F30" s="48">
        <v>14499.1</v>
      </c>
      <c r="G30" s="48">
        <v>12457.7</v>
      </c>
    </row>
    <row r="31" spans="1:7" ht="10.050000000000001" customHeight="1">
      <c r="A31" s="45" t="s">
        <v>154</v>
      </c>
      <c r="B31" s="45" t="s">
        <v>80</v>
      </c>
      <c r="C31" s="46">
        <v>2002</v>
      </c>
      <c r="D31" s="45" t="s">
        <v>111</v>
      </c>
      <c r="E31" s="47">
        <v>8</v>
      </c>
      <c r="F31" s="48">
        <v>14885.5</v>
      </c>
      <c r="G31" s="48">
        <v>12716.7</v>
      </c>
    </row>
    <row r="32" spans="1:7" ht="10.050000000000001" customHeight="1">
      <c r="A32" s="45" t="s">
        <v>154</v>
      </c>
      <c r="B32" s="45" t="s">
        <v>80</v>
      </c>
      <c r="C32" s="46">
        <v>2002</v>
      </c>
      <c r="D32" s="45" t="s">
        <v>111</v>
      </c>
      <c r="E32" s="47">
        <v>9</v>
      </c>
      <c r="F32" s="48">
        <v>13077.8</v>
      </c>
      <c r="G32" s="48">
        <v>10735.6</v>
      </c>
    </row>
    <row r="33" spans="1:7" ht="10.050000000000001" customHeight="1">
      <c r="A33" s="45" t="s">
        <v>154</v>
      </c>
      <c r="B33" s="45" t="s">
        <v>80</v>
      </c>
      <c r="C33" s="46">
        <v>2002</v>
      </c>
      <c r="D33" s="45" t="s">
        <v>111</v>
      </c>
      <c r="E33" s="47">
        <v>10</v>
      </c>
      <c r="F33" s="48">
        <v>12072.4</v>
      </c>
      <c r="G33" s="48">
        <v>10317.9</v>
      </c>
    </row>
    <row r="34" spans="1:7" ht="10.050000000000001" customHeight="1">
      <c r="A34" s="45" t="s">
        <v>154</v>
      </c>
      <c r="B34" s="45" t="s">
        <v>80</v>
      </c>
      <c r="C34" s="46">
        <v>2002</v>
      </c>
      <c r="D34" s="45" t="s">
        <v>111</v>
      </c>
      <c r="E34" s="47">
        <v>11</v>
      </c>
      <c r="F34" s="48">
        <v>8475.2999999999993</v>
      </c>
      <c r="G34" s="48">
        <v>8179.8</v>
      </c>
    </row>
    <row r="35" spans="1:7" ht="10.050000000000001" customHeight="1">
      <c r="A35" s="45" t="s">
        <v>154</v>
      </c>
      <c r="B35" s="45" t="s">
        <v>80</v>
      </c>
      <c r="C35" s="46">
        <v>2002</v>
      </c>
      <c r="D35" s="45" t="s">
        <v>111</v>
      </c>
      <c r="E35" s="47">
        <v>12</v>
      </c>
      <c r="F35" s="48">
        <v>5829.9</v>
      </c>
      <c r="G35" s="48">
        <v>8322.6</v>
      </c>
    </row>
    <row r="36" spans="1:7" ht="10.050000000000001" customHeight="1">
      <c r="A36" s="45" t="s">
        <v>154</v>
      </c>
      <c r="B36" s="45" t="s">
        <v>80</v>
      </c>
      <c r="C36" s="46">
        <v>2003</v>
      </c>
      <c r="D36" s="45" t="s">
        <v>111</v>
      </c>
      <c r="E36" s="47">
        <v>1</v>
      </c>
      <c r="F36" s="48">
        <v>5364.1</v>
      </c>
      <c r="G36" s="48">
        <v>6207.7</v>
      </c>
    </row>
    <row r="37" spans="1:7" ht="10.050000000000001" customHeight="1">
      <c r="A37" s="45" t="s">
        <v>154</v>
      </c>
      <c r="B37" s="45" t="s">
        <v>80</v>
      </c>
      <c r="C37" s="46">
        <v>2003</v>
      </c>
      <c r="D37" s="45" t="s">
        <v>111</v>
      </c>
      <c r="E37" s="47">
        <v>2</v>
      </c>
      <c r="F37" s="48">
        <v>3554.5</v>
      </c>
      <c r="G37" s="48">
        <v>5775.1</v>
      </c>
    </row>
    <row r="38" spans="1:7" ht="10.050000000000001" customHeight="1">
      <c r="A38" s="45" t="s">
        <v>154</v>
      </c>
      <c r="B38" s="45" t="s">
        <v>80</v>
      </c>
      <c r="C38" s="46">
        <v>2003</v>
      </c>
      <c r="D38" s="45" t="s">
        <v>111</v>
      </c>
      <c r="E38" s="47">
        <v>3</v>
      </c>
      <c r="F38" s="48">
        <v>5117.1000000000004</v>
      </c>
      <c r="G38" s="48">
        <v>3923.9</v>
      </c>
    </row>
    <row r="39" spans="1:7" ht="10.050000000000001" customHeight="1">
      <c r="A39" s="45" t="s">
        <v>154</v>
      </c>
      <c r="B39" s="45" t="s">
        <v>80</v>
      </c>
      <c r="C39" s="46">
        <v>2003</v>
      </c>
      <c r="D39" s="45" t="s">
        <v>111</v>
      </c>
      <c r="E39" s="47">
        <v>4</v>
      </c>
      <c r="F39" s="48">
        <v>5531.6</v>
      </c>
      <c r="G39" s="48">
        <v>3484.4</v>
      </c>
    </row>
    <row r="40" spans="1:7" ht="10.050000000000001" customHeight="1">
      <c r="A40" s="45" t="s">
        <v>154</v>
      </c>
      <c r="B40" s="45" t="s">
        <v>80</v>
      </c>
      <c r="C40" s="46">
        <v>2003</v>
      </c>
      <c r="D40" s="45" t="s">
        <v>111</v>
      </c>
      <c r="E40" s="47">
        <v>5</v>
      </c>
      <c r="F40" s="48">
        <v>4191.7</v>
      </c>
      <c r="G40" s="48">
        <v>3298.7</v>
      </c>
    </row>
    <row r="41" spans="1:7" ht="10.050000000000001" customHeight="1">
      <c r="A41" s="45" t="s">
        <v>154</v>
      </c>
      <c r="B41" s="45" t="s">
        <v>80</v>
      </c>
      <c r="C41" s="46">
        <v>2003</v>
      </c>
      <c r="D41" s="45" t="s">
        <v>111</v>
      </c>
      <c r="E41" s="47">
        <v>6</v>
      </c>
      <c r="F41" s="48">
        <v>3497.8</v>
      </c>
      <c r="G41" s="48">
        <v>3226</v>
      </c>
    </row>
    <row r="42" spans="1:7" ht="10.050000000000001" customHeight="1">
      <c r="A42" s="45" t="s">
        <v>154</v>
      </c>
      <c r="B42" s="45" t="s">
        <v>80</v>
      </c>
      <c r="C42" s="46">
        <v>2003</v>
      </c>
      <c r="D42" s="45" t="s">
        <v>108</v>
      </c>
      <c r="E42" s="47">
        <v>7</v>
      </c>
      <c r="F42" s="48">
        <v>6150.6</v>
      </c>
      <c r="G42" s="48">
        <v>12330.2</v>
      </c>
    </row>
    <row r="43" spans="1:7" ht="10.050000000000001" customHeight="1">
      <c r="A43" s="45" t="s">
        <v>154</v>
      </c>
      <c r="B43" s="45" t="s">
        <v>80</v>
      </c>
      <c r="C43" s="46">
        <v>2003</v>
      </c>
      <c r="D43" s="45" t="s">
        <v>108</v>
      </c>
      <c r="E43" s="47">
        <v>8</v>
      </c>
      <c r="F43" s="48">
        <v>7324.2</v>
      </c>
      <c r="G43" s="48">
        <v>12386.5</v>
      </c>
    </row>
    <row r="44" spans="1:7" ht="10.050000000000001" customHeight="1">
      <c r="A44" s="45" t="s">
        <v>154</v>
      </c>
      <c r="B44" s="45" t="s">
        <v>80</v>
      </c>
      <c r="C44" s="46">
        <v>2003</v>
      </c>
      <c r="D44" s="45" t="s">
        <v>108</v>
      </c>
      <c r="E44" s="47">
        <v>9</v>
      </c>
      <c r="F44" s="48">
        <v>8627.7999999999993</v>
      </c>
      <c r="G44" s="48">
        <v>10488.7</v>
      </c>
    </row>
    <row r="45" spans="1:7" ht="10.050000000000001" customHeight="1">
      <c r="A45" s="45" t="s">
        <v>154</v>
      </c>
      <c r="B45" s="45" t="s">
        <v>80</v>
      </c>
      <c r="C45" s="46">
        <v>2003</v>
      </c>
      <c r="D45" s="45" t="s">
        <v>108</v>
      </c>
      <c r="E45" s="47">
        <v>10</v>
      </c>
      <c r="F45" s="48">
        <v>9672.9</v>
      </c>
      <c r="G45" s="48">
        <v>9883.9</v>
      </c>
    </row>
    <row r="46" spans="1:7" ht="10.050000000000001" customHeight="1">
      <c r="A46" s="45" t="s">
        <v>154</v>
      </c>
      <c r="B46" s="45" t="s">
        <v>80</v>
      </c>
      <c r="C46" s="46">
        <v>2003</v>
      </c>
      <c r="D46" s="45" t="s">
        <v>108</v>
      </c>
      <c r="E46" s="47">
        <v>11</v>
      </c>
      <c r="F46" s="48">
        <v>8977.9</v>
      </c>
      <c r="G46" s="48">
        <v>8565.7000000000007</v>
      </c>
    </row>
    <row r="47" spans="1:7" ht="10.050000000000001" customHeight="1">
      <c r="A47" s="45" t="s">
        <v>154</v>
      </c>
      <c r="B47" s="45" t="s">
        <v>80</v>
      </c>
      <c r="C47" s="46">
        <v>2003</v>
      </c>
      <c r="D47" s="45" t="s">
        <v>108</v>
      </c>
      <c r="E47" s="47">
        <v>12</v>
      </c>
      <c r="F47" s="48">
        <v>10453.4</v>
      </c>
      <c r="G47" s="48">
        <v>8429.6</v>
      </c>
    </row>
    <row r="48" spans="1:7" ht="10.050000000000001" customHeight="1">
      <c r="A48" s="45" t="s">
        <v>154</v>
      </c>
      <c r="B48" s="45" t="s">
        <v>80</v>
      </c>
      <c r="C48" s="46">
        <v>2004</v>
      </c>
      <c r="D48" s="45" t="s">
        <v>108</v>
      </c>
      <c r="E48" s="47">
        <v>1</v>
      </c>
      <c r="F48" s="48">
        <v>10445.6</v>
      </c>
      <c r="G48" s="48">
        <v>7620.9</v>
      </c>
    </row>
    <row r="49" spans="1:7" ht="10.050000000000001" customHeight="1">
      <c r="A49" s="45" t="s">
        <v>154</v>
      </c>
      <c r="B49" s="45" t="s">
        <v>80</v>
      </c>
      <c r="C49" s="46">
        <v>2004</v>
      </c>
      <c r="D49" s="45" t="s">
        <v>108</v>
      </c>
      <c r="E49" s="47">
        <v>2</v>
      </c>
      <c r="F49" s="48">
        <v>9471.7999999999993</v>
      </c>
      <c r="G49" s="48">
        <v>6314.2</v>
      </c>
    </row>
    <row r="50" spans="1:7" ht="10.050000000000001" customHeight="1">
      <c r="A50" s="45" t="s">
        <v>154</v>
      </c>
      <c r="B50" s="45" t="s">
        <v>80</v>
      </c>
      <c r="C50" s="46">
        <v>2004</v>
      </c>
      <c r="D50" s="45" t="s">
        <v>108</v>
      </c>
      <c r="E50" s="47">
        <v>3</v>
      </c>
      <c r="F50" s="48">
        <v>11363.2</v>
      </c>
      <c r="G50" s="48">
        <v>5997</v>
      </c>
    </row>
    <row r="51" spans="1:7" ht="10.050000000000001" customHeight="1">
      <c r="A51" s="45" t="s">
        <v>154</v>
      </c>
      <c r="B51" s="45" t="s">
        <v>80</v>
      </c>
      <c r="C51" s="46">
        <v>2004</v>
      </c>
      <c r="D51" s="45" t="s">
        <v>108</v>
      </c>
      <c r="E51" s="47">
        <v>4</v>
      </c>
      <c r="F51" s="48">
        <v>12662.2</v>
      </c>
      <c r="G51" s="48">
        <v>6333</v>
      </c>
    </row>
    <row r="52" spans="1:7" ht="10.050000000000001" customHeight="1">
      <c r="A52" s="45" t="s">
        <v>154</v>
      </c>
      <c r="B52" s="45" t="s">
        <v>80</v>
      </c>
      <c r="C52" s="46">
        <v>2004</v>
      </c>
      <c r="D52" s="45" t="s">
        <v>108</v>
      </c>
      <c r="E52" s="47">
        <v>5</v>
      </c>
      <c r="F52" s="48">
        <v>9423.5</v>
      </c>
      <c r="G52" s="48">
        <v>5015</v>
      </c>
    </row>
    <row r="53" spans="1:7" ht="10.050000000000001" customHeight="1">
      <c r="A53" s="45" t="s">
        <v>154</v>
      </c>
      <c r="B53" s="45" t="s">
        <v>80</v>
      </c>
      <c r="C53" s="46">
        <v>2004</v>
      </c>
      <c r="D53" s="45" t="s">
        <v>108</v>
      </c>
      <c r="E53" s="47">
        <v>6</v>
      </c>
      <c r="F53" s="48">
        <v>7006.6</v>
      </c>
      <c r="G53" s="48">
        <v>4686.3</v>
      </c>
    </row>
    <row r="54" spans="1:7" ht="10.050000000000001" customHeight="1">
      <c r="A54" s="45" t="s">
        <v>154</v>
      </c>
      <c r="B54" s="45" t="s">
        <v>80</v>
      </c>
      <c r="C54" s="46">
        <v>2004</v>
      </c>
      <c r="D54" s="45" t="s">
        <v>112</v>
      </c>
      <c r="E54" s="47">
        <v>7</v>
      </c>
      <c r="F54" s="48">
        <v>10684.8</v>
      </c>
      <c r="G54" s="48">
        <v>14082.5</v>
      </c>
    </row>
    <row r="55" spans="1:7" ht="10.050000000000001" customHeight="1">
      <c r="A55" s="45" t="s">
        <v>154</v>
      </c>
      <c r="B55" s="45" t="s">
        <v>80</v>
      </c>
      <c r="C55" s="46">
        <v>2004</v>
      </c>
      <c r="D55" s="45" t="s">
        <v>112</v>
      </c>
      <c r="E55" s="47">
        <v>8</v>
      </c>
      <c r="F55" s="48">
        <v>13015.9</v>
      </c>
      <c r="G55" s="48">
        <v>12072.1</v>
      </c>
    </row>
    <row r="56" spans="1:7" ht="10.050000000000001" customHeight="1">
      <c r="A56" s="45" t="s">
        <v>154</v>
      </c>
      <c r="B56" s="45" t="s">
        <v>80</v>
      </c>
      <c r="C56" s="46">
        <v>2004</v>
      </c>
      <c r="D56" s="45" t="s">
        <v>112</v>
      </c>
      <c r="E56" s="47">
        <v>9</v>
      </c>
      <c r="F56" s="48">
        <v>14955.7</v>
      </c>
      <c r="G56" s="48">
        <v>8032.3</v>
      </c>
    </row>
    <row r="57" spans="1:7" ht="10.050000000000001" customHeight="1">
      <c r="A57" s="45" t="s">
        <v>154</v>
      </c>
      <c r="B57" s="45" t="s">
        <v>80</v>
      </c>
      <c r="C57" s="46">
        <v>2004</v>
      </c>
      <c r="D57" s="45" t="s">
        <v>112</v>
      </c>
      <c r="E57" s="47">
        <v>10</v>
      </c>
      <c r="F57" s="48">
        <v>14929.2</v>
      </c>
      <c r="G57" s="48">
        <v>6261.2</v>
      </c>
    </row>
    <row r="58" spans="1:7" ht="10.050000000000001" customHeight="1">
      <c r="A58" s="45" t="s">
        <v>154</v>
      </c>
      <c r="B58" s="45" t="s">
        <v>80</v>
      </c>
      <c r="C58" s="46">
        <v>2004</v>
      </c>
      <c r="D58" s="45" t="s">
        <v>112</v>
      </c>
      <c r="E58" s="47">
        <v>11</v>
      </c>
      <c r="F58" s="48">
        <v>13610.3</v>
      </c>
      <c r="G58" s="48">
        <v>5795.3</v>
      </c>
    </row>
    <row r="59" spans="1:7" ht="10.050000000000001" customHeight="1">
      <c r="A59" s="45" t="s">
        <v>154</v>
      </c>
      <c r="B59" s="45" t="s">
        <v>80</v>
      </c>
      <c r="C59" s="46">
        <v>2004</v>
      </c>
      <c r="D59" s="45" t="s">
        <v>112</v>
      </c>
      <c r="E59" s="47">
        <v>12</v>
      </c>
      <c r="F59" s="48">
        <v>8760</v>
      </c>
      <c r="G59" s="48">
        <v>6364.9</v>
      </c>
    </row>
    <row r="60" spans="1:7" ht="10.050000000000001" customHeight="1">
      <c r="A60" s="45" t="s">
        <v>154</v>
      </c>
      <c r="B60" s="45" t="s">
        <v>80</v>
      </c>
      <c r="C60" s="46">
        <v>2005</v>
      </c>
      <c r="D60" s="45" t="s">
        <v>112</v>
      </c>
      <c r="E60" s="47">
        <v>1</v>
      </c>
      <c r="F60" s="48">
        <v>8284.4</v>
      </c>
      <c r="G60" s="48">
        <v>5896.6</v>
      </c>
    </row>
    <row r="61" spans="1:7" ht="10.050000000000001" customHeight="1">
      <c r="A61" s="45" t="s">
        <v>154</v>
      </c>
      <c r="B61" s="45" t="s">
        <v>80</v>
      </c>
      <c r="C61" s="46">
        <v>2005</v>
      </c>
      <c r="D61" s="45" t="s">
        <v>112</v>
      </c>
      <c r="E61" s="47">
        <v>2</v>
      </c>
      <c r="F61" s="48">
        <v>9896.7000000000007</v>
      </c>
      <c r="G61" s="48">
        <v>5648.9</v>
      </c>
    </row>
    <row r="62" spans="1:7" ht="10.050000000000001" customHeight="1">
      <c r="A62" s="45" t="s">
        <v>154</v>
      </c>
      <c r="B62" s="45" t="s">
        <v>80</v>
      </c>
      <c r="C62" s="46">
        <v>2005</v>
      </c>
      <c r="D62" s="45" t="s">
        <v>112</v>
      </c>
      <c r="E62" s="47">
        <v>3</v>
      </c>
      <c r="F62" s="48">
        <v>12489.5</v>
      </c>
      <c r="G62" s="48">
        <v>5329.8</v>
      </c>
    </row>
    <row r="63" spans="1:7" ht="10.050000000000001" customHeight="1">
      <c r="A63" s="45" t="s">
        <v>154</v>
      </c>
      <c r="B63" s="45" t="s">
        <v>80</v>
      </c>
      <c r="C63" s="46">
        <v>2005</v>
      </c>
      <c r="D63" s="45" t="s">
        <v>112</v>
      </c>
      <c r="E63" s="47">
        <v>4</v>
      </c>
      <c r="F63" s="48">
        <v>12110.6</v>
      </c>
      <c r="G63" s="48">
        <v>5292.8</v>
      </c>
    </row>
    <row r="64" spans="1:7" ht="10.050000000000001" customHeight="1">
      <c r="A64" s="45" t="s">
        <v>154</v>
      </c>
      <c r="B64" s="45" t="s">
        <v>80</v>
      </c>
      <c r="C64" s="46">
        <v>2005</v>
      </c>
      <c r="D64" s="45" t="s">
        <v>112</v>
      </c>
      <c r="E64" s="47">
        <v>5</v>
      </c>
      <c r="F64" s="48">
        <v>14133.2</v>
      </c>
      <c r="G64" s="48">
        <v>4907.1000000000004</v>
      </c>
    </row>
    <row r="65" spans="1:7" ht="10.050000000000001" customHeight="1">
      <c r="A65" s="45" t="s">
        <v>154</v>
      </c>
      <c r="B65" s="45" t="s">
        <v>80</v>
      </c>
      <c r="C65" s="46">
        <v>2005</v>
      </c>
      <c r="D65" s="45" t="s">
        <v>112</v>
      </c>
      <c r="E65" s="47">
        <v>6</v>
      </c>
      <c r="F65" s="48">
        <v>12957.3</v>
      </c>
      <c r="G65" s="48">
        <v>6016.2</v>
      </c>
    </row>
    <row r="66" spans="1:7" ht="10.050000000000001" customHeight="1">
      <c r="A66" s="45" t="s">
        <v>154</v>
      </c>
      <c r="B66" s="45" t="s">
        <v>80</v>
      </c>
      <c r="C66" s="46">
        <v>2005</v>
      </c>
      <c r="D66" s="45" t="s">
        <v>113</v>
      </c>
      <c r="E66" s="47">
        <v>7</v>
      </c>
      <c r="F66" s="48">
        <v>14602.2</v>
      </c>
      <c r="G66" s="48">
        <v>14810.1</v>
      </c>
    </row>
    <row r="67" spans="1:7" ht="10.050000000000001" customHeight="1">
      <c r="A67" s="45" t="s">
        <v>154</v>
      </c>
      <c r="B67" s="45" t="s">
        <v>80</v>
      </c>
      <c r="C67" s="46">
        <v>2005</v>
      </c>
      <c r="D67" s="45" t="s">
        <v>113</v>
      </c>
      <c r="E67" s="47">
        <v>8</v>
      </c>
      <c r="F67" s="48">
        <v>15936.6</v>
      </c>
      <c r="G67" s="48">
        <v>12264.7</v>
      </c>
    </row>
    <row r="68" spans="1:7" ht="10.050000000000001" customHeight="1">
      <c r="A68" s="45" t="s">
        <v>154</v>
      </c>
      <c r="B68" s="45" t="s">
        <v>80</v>
      </c>
      <c r="C68" s="46">
        <v>2005</v>
      </c>
      <c r="D68" s="45" t="s">
        <v>113</v>
      </c>
      <c r="E68" s="47">
        <v>9</v>
      </c>
      <c r="F68" s="48">
        <v>15289.7</v>
      </c>
      <c r="G68" s="48">
        <v>11099.8</v>
      </c>
    </row>
    <row r="69" spans="1:7" ht="10.050000000000001" customHeight="1">
      <c r="A69" s="45" t="s">
        <v>154</v>
      </c>
      <c r="B69" s="45" t="s">
        <v>80</v>
      </c>
      <c r="C69" s="46">
        <v>2005</v>
      </c>
      <c r="D69" s="45" t="s">
        <v>113</v>
      </c>
      <c r="E69" s="47">
        <v>10</v>
      </c>
      <c r="F69" s="48">
        <v>12691.9</v>
      </c>
      <c r="G69" s="48">
        <v>8698.2999999999993</v>
      </c>
    </row>
    <row r="70" spans="1:7" ht="10.050000000000001" customHeight="1">
      <c r="A70" s="45" t="s">
        <v>154</v>
      </c>
      <c r="B70" s="45" t="s">
        <v>80</v>
      </c>
      <c r="C70" s="46">
        <v>2005</v>
      </c>
      <c r="D70" s="45" t="s">
        <v>113</v>
      </c>
      <c r="E70" s="47">
        <v>11</v>
      </c>
      <c r="F70" s="48">
        <v>11721.6</v>
      </c>
      <c r="G70" s="48">
        <v>7531.4</v>
      </c>
    </row>
    <row r="71" spans="1:7" ht="10.050000000000001" customHeight="1">
      <c r="A71" s="45" t="s">
        <v>154</v>
      </c>
      <c r="B71" s="45" t="s">
        <v>80</v>
      </c>
      <c r="C71" s="46">
        <v>2005</v>
      </c>
      <c r="D71" s="45" t="s">
        <v>113</v>
      </c>
      <c r="E71" s="47">
        <v>12</v>
      </c>
      <c r="F71" s="48">
        <v>11715.9</v>
      </c>
      <c r="G71" s="48">
        <v>6338.4</v>
      </c>
    </row>
    <row r="72" spans="1:7" ht="10.050000000000001" customHeight="1">
      <c r="A72" s="45" t="s">
        <v>154</v>
      </c>
      <c r="B72" s="45" t="s">
        <v>80</v>
      </c>
      <c r="C72" s="46">
        <v>2006</v>
      </c>
      <c r="D72" s="45" t="s">
        <v>113</v>
      </c>
      <c r="E72" s="47">
        <v>1</v>
      </c>
      <c r="F72" s="48">
        <v>12695.6</v>
      </c>
      <c r="G72" s="48">
        <v>5770.3</v>
      </c>
    </row>
    <row r="73" spans="1:7" ht="10.050000000000001" customHeight="1">
      <c r="A73" s="45" t="s">
        <v>154</v>
      </c>
      <c r="B73" s="45" t="s">
        <v>80</v>
      </c>
      <c r="C73" s="46">
        <v>2006</v>
      </c>
      <c r="D73" s="45" t="s">
        <v>113</v>
      </c>
      <c r="E73" s="47">
        <v>2</v>
      </c>
      <c r="F73" s="48">
        <v>11585.7</v>
      </c>
      <c r="G73" s="48">
        <v>5395.4</v>
      </c>
    </row>
    <row r="74" spans="1:7" ht="10.050000000000001" customHeight="1">
      <c r="A74" s="45" t="s">
        <v>154</v>
      </c>
      <c r="B74" s="45" t="s">
        <v>80</v>
      </c>
      <c r="C74" s="46">
        <v>2006</v>
      </c>
      <c r="D74" s="45" t="s">
        <v>113</v>
      </c>
      <c r="E74" s="47">
        <v>3</v>
      </c>
      <c r="F74" s="48">
        <v>13140.2</v>
      </c>
      <c r="G74" s="48">
        <v>4419.3999999999996</v>
      </c>
    </row>
    <row r="75" spans="1:7" ht="10.050000000000001" customHeight="1">
      <c r="A75" s="45" t="s">
        <v>154</v>
      </c>
      <c r="B75" s="45" t="s">
        <v>80</v>
      </c>
      <c r="C75" s="46">
        <v>2006</v>
      </c>
      <c r="D75" s="45" t="s">
        <v>113</v>
      </c>
      <c r="E75" s="47">
        <v>4</v>
      </c>
      <c r="F75" s="48">
        <v>10019</v>
      </c>
      <c r="G75" s="48">
        <v>4217.8999999999996</v>
      </c>
    </row>
    <row r="76" spans="1:7" ht="10.050000000000001" customHeight="1">
      <c r="A76" s="45" t="s">
        <v>154</v>
      </c>
      <c r="B76" s="45" t="s">
        <v>80</v>
      </c>
      <c r="C76" s="46">
        <v>2006</v>
      </c>
      <c r="D76" s="45" t="s">
        <v>113</v>
      </c>
      <c r="E76" s="47">
        <v>5</v>
      </c>
      <c r="F76" s="48">
        <v>9829.1</v>
      </c>
      <c r="G76" s="48">
        <v>4429</v>
      </c>
    </row>
    <row r="77" spans="1:7" ht="10.050000000000001" customHeight="1">
      <c r="A77" s="45" t="s">
        <v>154</v>
      </c>
      <c r="B77" s="45" t="s">
        <v>80</v>
      </c>
      <c r="C77" s="46">
        <v>2006</v>
      </c>
      <c r="D77" s="45" t="s">
        <v>113</v>
      </c>
      <c r="E77" s="47">
        <v>6</v>
      </c>
      <c r="F77" s="48">
        <v>8817.7999999999993</v>
      </c>
      <c r="G77" s="48">
        <v>3518.9</v>
      </c>
    </row>
    <row r="78" spans="1:7" ht="10.050000000000001" customHeight="1">
      <c r="A78" s="45" t="s">
        <v>154</v>
      </c>
      <c r="B78" s="45" t="s">
        <v>80</v>
      </c>
      <c r="C78" s="46">
        <v>2006</v>
      </c>
      <c r="D78" s="45" t="s">
        <v>114</v>
      </c>
      <c r="E78" s="47">
        <v>7</v>
      </c>
      <c r="F78" s="48">
        <v>8243.2999999999993</v>
      </c>
      <c r="G78" s="48">
        <v>20364.7</v>
      </c>
    </row>
    <row r="79" spans="1:7" ht="10.050000000000001" customHeight="1">
      <c r="A79" s="45" t="s">
        <v>154</v>
      </c>
      <c r="B79" s="45" t="s">
        <v>80</v>
      </c>
      <c r="C79" s="46">
        <v>2006</v>
      </c>
      <c r="D79" s="45" t="s">
        <v>114</v>
      </c>
      <c r="E79" s="47">
        <v>8</v>
      </c>
      <c r="F79" s="48">
        <v>9779.2999999999993</v>
      </c>
      <c r="G79" s="48">
        <v>20352</v>
      </c>
    </row>
    <row r="80" spans="1:7" ht="10.050000000000001" customHeight="1">
      <c r="A80" s="45" t="s">
        <v>154</v>
      </c>
      <c r="B80" s="45" t="s">
        <v>80</v>
      </c>
      <c r="C80" s="46">
        <v>2006</v>
      </c>
      <c r="D80" s="45" t="s">
        <v>114</v>
      </c>
      <c r="E80" s="47">
        <v>9</v>
      </c>
      <c r="F80" s="48">
        <v>9734.1000000000095</v>
      </c>
      <c r="G80" s="48">
        <v>16780.3</v>
      </c>
    </row>
    <row r="81" spans="1:7" ht="10.050000000000001" customHeight="1">
      <c r="A81" s="45" t="s">
        <v>154</v>
      </c>
      <c r="B81" s="45" t="s">
        <v>80</v>
      </c>
      <c r="C81" s="46">
        <v>2006</v>
      </c>
      <c r="D81" s="45" t="s">
        <v>114</v>
      </c>
      <c r="E81" s="47">
        <v>10</v>
      </c>
      <c r="F81" s="48">
        <v>9305.2999999999993</v>
      </c>
      <c r="G81" s="48">
        <v>14008.2</v>
      </c>
    </row>
    <row r="82" spans="1:7" ht="10.050000000000001" customHeight="1">
      <c r="A82" s="45" t="s">
        <v>154</v>
      </c>
      <c r="B82" s="45" t="s">
        <v>80</v>
      </c>
      <c r="C82" s="46">
        <v>2006</v>
      </c>
      <c r="D82" s="45" t="s">
        <v>114</v>
      </c>
      <c r="E82" s="47">
        <v>11</v>
      </c>
      <c r="F82" s="48">
        <v>8836.7000000000007</v>
      </c>
      <c r="G82" s="48">
        <v>11272.6</v>
      </c>
    </row>
    <row r="83" spans="1:7" ht="10.050000000000001" customHeight="1">
      <c r="A83" s="45" t="s">
        <v>154</v>
      </c>
      <c r="B83" s="45" t="s">
        <v>80</v>
      </c>
      <c r="C83" s="46">
        <v>2006</v>
      </c>
      <c r="D83" s="45" t="s">
        <v>114</v>
      </c>
      <c r="E83" s="47">
        <v>12</v>
      </c>
      <c r="F83" s="48">
        <v>7419.1</v>
      </c>
      <c r="G83" s="48">
        <v>8422.1</v>
      </c>
    </row>
    <row r="84" spans="1:7" ht="10.050000000000001" customHeight="1">
      <c r="A84" s="45" t="s">
        <v>154</v>
      </c>
      <c r="B84" s="45" t="s">
        <v>80</v>
      </c>
      <c r="C84" s="46">
        <v>2007</v>
      </c>
      <c r="D84" s="45" t="s">
        <v>114</v>
      </c>
      <c r="E84" s="47">
        <v>1</v>
      </c>
      <c r="F84" s="48">
        <v>8164.1</v>
      </c>
      <c r="G84" s="48">
        <v>5683.2</v>
      </c>
    </row>
    <row r="85" spans="1:7" ht="10.050000000000001" customHeight="1">
      <c r="A85" s="45" t="s">
        <v>154</v>
      </c>
      <c r="B85" s="45" t="s">
        <v>80</v>
      </c>
      <c r="C85" s="46">
        <v>2007</v>
      </c>
      <c r="D85" s="45" t="s">
        <v>114</v>
      </c>
      <c r="E85" s="47">
        <v>2</v>
      </c>
      <c r="F85" s="48">
        <v>6927</v>
      </c>
      <c r="G85" s="48">
        <v>8067.5</v>
      </c>
    </row>
    <row r="86" spans="1:7" ht="10.050000000000001" customHeight="1">
      <c r="A86" s="45" t="s">
        <v>154</v>
      </c>
      <c r="B86" s="45" t="s">
        <v>80</v>
      </c>
      <c r="C86" s="46">
        <v>2007</v>
      </c>
      <c r="D86" s="45" t="s">
        <v>114</v>
      </c>
      <c r="E86" s="47">
        <v>3</v>
      </c>
      <c r="F86" s="48">
        <v>9018.4</v>
      </c>
      <c r="G86" s="48">
        <v>7510.9</v>
      </c>
    </row>
    <row r="87" spans="1:7" ht="10.050000000000001" customHeight="1">
      <c r="A87" s="45" t="s">
        <v>154</v>
      </c>
      <c r="B87" s="45" t="s">
        <v>80</v>
      </c>
      <c r="C87" s="46">
        <v>2007</v>
      </c>
      <c r="D87" s="45" t="s">
        <v>114</v>
      </c>
      <c r="E87" s="47">
        <v>4</v>
      </c>
      <c r="F87" s="48">
        <v>8379.2000000000007</v>
      </c>
      <c r="G87" s="48">
        <v>7407.2</v>
      </c>
    </row>
    <row r="88" spans="1:7" ht="10.050000000000001" customHeight="1">
      <c r="A88" s="45" t="s">
        <v>154</v>
      </c>
      <c r="B88" s="45" t="s">
        <v>80</v>
      </c>
      <c r="C88" s="46">
        <v>2007</v>
      </c>
      <c r="D88" s="45" t="s">
        <v>114</v>
      </c>
      <c r="E88" s="47">
        <v>5</v>
      </c>
      <c r="F88" s="48">
        <v>9969.6</v>
      </c>
      <c r="G88" s="48">
        <v>3990.4</v>
      </c>
    </row>
    <row r="89" spans="1:7" ht="10.050000000000001" customHeight="1">
      <c r="A89" s="45" t="s">
        <v>154</v>
      </c>
      <c r="B89" s="45" t="s">
        <v>80</v>
      </c>
      <c r="C89" s="46">
        <v>2007</v>
      </c>
      <c r="D89" s="45" t="s">
        <v>114</v>
      </c>
      <c r="E89" s="47">
        <v>6</v>
      </c>
      <c r="F89" s="48">
        <v>10952.7</v>
      </c>
      <c r="G89" s="48">
        <v>5119.5</v>
      </c>
    </row>
    <row r="90" spans="1:7" ht="10.050000000000001" customHeight="1">
      <c r="A90" s="45" t="s">
        <v>154</v>
      </c>
      <c r="B90" s="45" t="s">
        <v>80</v>
      </c>
      <c r="C90" s="46">
        <v>2007</v>
      </c>
      <c r="D90" s="45" t="s">
        <v>115</v>
      </c>
      <c r="E90" s="47">
        <v>7</v>
      </c>
      <c r="F90" s="48">
        <v>12562.3</v>
      </c>
      <c r="G90" s="48">
        <v>13394.8</v>
      </c>
    </row>
    <row r="91" spans="1:7" ht="10.050000000000001" customHeight="1">
      <c r="A91" s="45" t="s">
        <v>154</v>
      </c>
      <c r="B91" s="45" t="s">
        <v>80</v>
      </c>
      <c r="C91" s="46">
        <v>2007</v>
      </c>
      <c r="D91" s="45" t="s">
        <v>115</v>
      </c>
      <c r="E91" s="47">
        <v>8</v>
      </c>
      <c r="F91" s="48">
        <v>13018.3</v>
      </c>
      <c r="G91" s="48">
        <v>12049.6</v>
      </c>
    </row>
    <row r="92" spans="1:7" ht="10.050000000000001" customHeight="1">
      <c r="A92" s="45" t="s">
        <v>154</v>
      </c>
      <c r="B92" s="45" t="s">
        <v>80</v>
      </c>
      <c r="C92" s="46">
        <v>2007</v>
      </c>
      <c r="D92" s="45" t="s">
        <v>115</v>
      </c>
      <c r="E92" s="47">
        <v>9</v>
      </c>
      <c r="F92" s="48">
        <v>12340.6</v>
      </c>
      <c r="G92" s="48">
        <v>11494.8</v>
      </c>
    </row>
    <row r="93" spans="1:7" ht="10.050000000000001" customHeight="1">
      <c r="A93" s="45" t="s">
        <v>154</v>
      </c>
      <c r="B93" s="45" t="s">
        <v>80</v>
      </c>
      <c r="C93" s="46">
        <v>2007</v>
      </c>
      <c r="D93" s="45" t="s">
        <v>115</v>
      </c>
      <c r="E93" s="47">
        <v>10</v>
      </c>
      <c r="F93" s="48">
        <v>12841.7</v>
      </c>
      <c r="G93" s="48">
        <v>9638.9</v>
      </c>
    </row>
    <row r="94" spans="1:7" ht="10.050000000000001" customHeight="1">
      <c r="A94" s="45" t="s">
        <v>154</v>
      </c>
      <c r="B94" s="45" t="s">
        <v>80</v>
      </c>
      <c r="C94" s="46">
        <v>2007</v>
      </c>
      <c r="D94" s="45" t="s">
        <v>115</v>
      </c>
      <c r="E94" s="47">
        <v>11</v>
      </c>
      <c r="F94" s="48">
        <v>8646.1</v>
      </c>
      <c r="G94" s="48">
        <v>9482.6</v>
      </c>
    </row>
    <row r="95" spans="1:7" ht="10.050000000000001" customHeight="1">
      <c r="A95" s="45" t="s">
        <v>154</v>
      </c>
      <c r="B95" s="45" t="s">
        <v>80</v>
      </c>
      <c r="C95" s="46">
        <v>2007</v>
      </c>
      <c r="D95" s="45" t="s">
        <v>115</v>
      </c>
      <c r="E95" s="47">
        <v>12</v>
      </c>
      <c r="F95" s="48">
        <v>6990.1</v>
      </c>
      <c r="G95" s="48">
        <v>10372</v>
      </c>
    </row>
    <row r="96" spans="1:7" ht="10.050000000000001" customHeight="1">
      <c r="A96" s="45" t="s">
        <v>154</v>
      </c>
      <c r="B96" s="45" t="s">
        <v>80</v>
      </c>
      <c r="C96" s="46">
        <v>2008</v>
      </c>
      <c r="D96" s="45" t="s">
        <v>115</v>
      </c>
      <c r="E96" s="47">
        <v>1</v>
      </c>
      <c r="F96" s="48">
        <v>7900.3</v>
      </c>
      <c r="G96" s="48">
        <v>9182.6</v>
      </c>
    </row>
    <row r="97" spans="1:7" ht="10.050000000000001" customHeight="1">
      <c r="A97" s="45" t="s">
        <v>154</v>
      </c>
      <c r="B97" s="45" t="s">
        <v>80</v>
      </c>
      <c r="C97" s="46">
        <v>2008</v>
      </c>
      <c r="D97" s="45" t="s">
        <v>115</v>
      </c>
      <c r="E97" s="47">
        <v>2</v>
      </c>
      <c r="F97" s="48">
        <v>6041.3</v>
      </c>
      <c r="G97" s="48">
        <v>9001.2999999999993</v>
      </c>
    </row>
    <row r="98" spans="1:7" ht="10.050000000000001" customHeight="1">
      <c r="A98" s="45" t="s">
        <v>154</v>
      </c>
      <c r="B98" s="45" t="s">
        <v>80</v>
      </c>
      <c r="C98" s="46">
        <v>2008</v>
      </c>
      <c r="D98" s="45" t="s">
        <v>115</v>
      </c>
      <c r="E98" s="47">
        <v>3</v>
      </c>
      <c r="F98" s="48">
        <v>5877.8</v>
      </c>
      <c r="G98" s="48">
        <v>9157.4</v>
      </c>
    </row>
    <row r="99" spans="1:7" ht="10.050000000000001" customHeight="1">
      <c r="A99" s="45" t="s">
        <v>154</v>
      </c>
      <c r="B99" s="45" t="s">
        <v>80</v>
      </c>
      <c r="C99" s="46">
        <v>2008</v>
      </c>
      <c r="D99" s="45" t="s">
        <v>115</v>
      </c>
      <c r="E99" s="47">
        <v>4</v>
      </c>
      <c r="F99" s="48">
        <v>7384.9</v>
      </c>
      <c r="G99" s="48">
        <v>6286.2</v>
      </c>
    </row>
    <row r="100" spans="1:7" ht="10.050000000000001" customHeight="1">
      <c r="A100" s="45" t="s">
        <v>154</v>
      </c>
      <c r="B100" s="45" t="s">
        <v>80</v>
      </c>
      <c r="C100" s="46">
        <v>2008</v>
      </c>
      <c r="D100" s="45" t="s">
        <v>115</v>
      </c>
      <c r="E100" s="47">
        <v>5</v>
      </c>
      <c r="F100" s="48">
        <v>7544.9</v>
      </c>
      <c r="G100" s="48">
        <v>4700.3999999999996</v>
      </c>
    </row>
    <row r="101" spans="1:7" ht="10.050000000000001" customHeight="1">
      <c r="A101" s="45" t="s">
        <v>154</v>
      </c>
      <c r="B101" s="45" t="s">
        <v>80</v>
      </c>
      <c r="C101" s="46">
        <v>2008</v>
      </c>
      <c r="D101" s="45" t="s">
        <v>115</v>
      </c>
      <c r="E101" s="47">
        <v>6</v>
      </c>
      <c r="F101" s="48">
        <v>7897</v>
      </c>
      <c r="G101" s="48">
        <v>2774</v>
      </c>
    </row>
    <row r="102" spans="1:7" ht="10.050000000000001" customHeight="1">
      <c r="A102" s="45" t="s">
        <v>154</v>
      </c>
      <c r="B102" s="45" t="s">
        <v>80</v>
      </c>
      <c r="C102" s="46">
        <v>2008</v>
      </c>
      <c r="D102" s="45" t="s">
        <v>109</v>
      </c>
      <c r="E102" s="47">
        <v>7</v>
      </c>
      <c r="F102" s="48">
        <v>7817.9</v>
      </c>
      <c r="G102" s="48">
        <v>12321.4</v>
      </c>
    </row>
    <row r="103" spans="1:7" ht="10.050000000000001" customHeight="1">
      <c r="A103" s="45" t="s">
        <v>154</v>
      </c>
      <c r="B103" s="45" t="s">
        <v>80</v>
      </c>
      <c r="C103" s="46">
        <v>2008</v>
      </c>
      <c r="D103" s="45" t="s">
        <v>109</v>
      </c>
      <c r="E103" s="47">
        <v>8</v>
      </c>
      <c r="F103" s="48">
        <v>9032.9</v>
      </c>
      <c r="G103" s="48">
        <v>10573.8</v>
      </c>
    </row>
    <row r="104" spans="1:7" ht="10.050000000000001" customHeight="1">
      <c r="A104" s="45" t="s">
        <v>154</v>
      </c>
      <c r="B104" s="45" t="s">
        <v>80</v>
      </c>
      <c r="C104" s="46">
        <v>2008</v>
      </c>
      <c r="D104" s="45" t="s">
        <v>109</v>
      </c>
      <c r="E104" s="47">
        <v>9</v>
      </c>
      <c r="F104" s="48">
        <v>10568.1</v>
      </c>
      <c r="G104" s="48">
        <v>9376.5</v>
      </c>
    </row>
    <row r="105" spans="1:7" ht="10.050000000000001" customHeight="1">
      <c r="A105" s="45" t="s">
        <v>154</v>
      </c>
      <c r="B105" s="45" t="s">
        <v>80</v>
      </c>
      <c r="C105" s="46">
        <v>2008</v>
      </c>
      <c r="D105" s="45" t="s">
        <v>109</v>
      </c>
      <c r="E105" s="47">
        <v>10</v>
      </c>
      <c r="F105" s="48">
        <v>11081.8</v>
      </c>
      <c r="G105" s="48">
        <v>7843.6</v>
      </c>
    </row>
    <row r="106" spans="1:7" ht="10.050000000000001" customHeight="1">
      <c r="A106" s="45" t="s">
        <v>154</v>
      </c>
      <c r="B106" s="45" t="s">
        <v>80</v>
      </c>
      <c r="C106" s="46">
        <v>2008</v>
      </c>
      <c r="D106" s="45" t="s">
        <v>109</v>
      </c>
      <c r="E106" s="47">
        <v>11</v>
      </c>
      <c r="F106" s="48">
        <v>9781.4</v>
      </c>
      <c r="G106" s="48">
        <v>6997</v>
      </c>
    </row>
    <row r="107" spans="1:7" ht="10.050000000000001" customHeight="1">
      <c r="A107" s="45" t="s">
        <v>154</v>
      </c>
      <c r="B107" s="45" t="s">
        <v>80</v>
      </c>
      <c r="C107" s="46">
        <v>2008</v>
      </c>
      <c r="D107" s="45" t="s">
        <v>109</v>
      </c>
      <c r="E107" s="47">
        <v>12</v>
      </c>
      <c r="F107" s="48">
        <v>9076.7000000000007</v>
      </c>
      <c r="G107" s="48">
        <v>6991.4</v>
      </c>
    </row>
    <row r="108" spans="1:7" ht="10.050000000000001" customHeight="1">
      <c r="A108" s="45" t="s">
        <v>154</v>
      </c>
      <c r="B108" s="45" t="s">
        <v>80</v>
      </c>
      <c r="C108" s="46">
        <v>2009</v>
      </c>
      <c r="D108" s="45" t="s">
        <v>109</v>
      </c>
      <c r="E108" s="47">
        <v>1</v>
      </c>
      <c r="F108" s="48">
        <v>9823.2999999999993</v>
      </c>
      <c r="G108" s="48">
        <v>5563.1</v>
      </c>
    </row>
    <row r="109" spans="1:7" ht="10.050000000000001" customHeight="1">
      <c r="A109" s="45" t="s">
        <v>154</v>
      </c>
      <c r="B109" s="45" t="s">
        <v>80</v>
      </c>
      <c r="C109" s="46">
        <v>2009</v>
      </c>
      <c r="D109" s="45" t="s">
        <v>109</v>
      </c>
      <c r="E109" s="47">
        <v>2</v>
      </c>
      <c r="F109" s="48">
        <v>8317.6</v>
      </c>
      <c r="G109" s="48">
        <v>6249.8</v>
      </c>
    </row>
    <row r="110" spans="1:7" ht="10.050000000000001" customHeight="1">
      <c r="A110" s="45" t="s">
        <v>154</v>
      </c>
      <c r="B110" s="45" t="s">
        <v>80</v>
      </c>
      <c r="C110" s="46">
        <v>2009</v>
      </c>
      <c r="D110" s="45" t="s">
        <v>109</v>
      </c>
      <c r="E110" s="47">
        <v>3</v>
      </c>
      <c r="F110" s="48">
        <v>10740.6</v>
      </c>
      <c r="G110" s="48">
        <v>3889.2</v>
      </c>
    </row>
    <row r="111" spans="1:7" ht="10.050000000000001" customHeight="1">
      <c r="A111" s="45" t="s">
        <v>154</v>
      </c>
      <c r="B111" s="45" t="s">
        <v>80</v>
      </c>
      <c r="C111" s="46">
        <v>2009</v>
      </c>
      <c r="D111" s="45" t="s">
        <v>109</v>
      </c>
      <c r="E111" s="47">
        <v>4</v>
      </c>
      <c r="F111" s="48">
        <v>11440.6</v>
      </c>
      <c r="G111" s="48">
        <v>3955.1</v>
      </c>
    </row>
    <row r="112" spans="1:7" ht="10.050000000000001" customHeight="1">
      <c r="A112" s="45" t="s">
        <v>154</v>
      </c>
      <c r="B112" s="45" t="s">
        <v>80</v>
      </c>
      <c r="C112" s="46">
        <v>2009</v>
      </c>
      <c r="D112" s="45" t="s">
        <v>109</v>
      </c>
      <c r="E112" s="47">
        <v>5</v>
      </c>
      <c r="F112" s="48">
        <v>10981.2</v>
      </c>
      <c r="G112" s="48">
        <v>3555.1</v>
      </c>
    </row>
    <row r="113" spans="1:7" ht="10.050000000000001" customHeight="1">
      <c r="A113" s="45" t="s">
        <v>154</v>
      </c>
      <c r="B113" s="45" t="s">
        <v>80</v>
      </c>
      <c r="C113" s="46">
        <v>2009</v>
      </c>
      <c r="D113" s="45" t="s">
        <v>109</v>
      </c>
      <c r="E113" s="47">
        <v>6</v>
      </c>
      <c r="F113" s="48">
        <v>11573.8</v>
      </c>
      <c r="G113" s="48">
        <v>3898.5</v>
      </c>
    </row>
    <row r="114" spans="1:7" ht="10.050000000000001" customHeight="1">
      <c r="A114" s="45" t="s">
        <v>154</v>
      </c>
      <c r="B114" s="45" t="s">
        <v>80</v>
      </c>
      <c r="C114" s="46">
        <v>2009</v>
      </c>
      <c r="D114" s="45" t="s">
        <v>116</v>
      </c>
      <c r="E114" s="47">
        <v>7</v>
      </c>
      <c r="F114" s="48">
        <v>13175</v>
      </c>
      <c r="G114" s="48">
        <v>11420.1</v>
      </c>
    </row>
    <row r="115" spans="1:7" ht="10.050000000000001" customHeight="1">
      <c r="A115" s="45" t="s">
        <v>154</v>
      </c>
      <c r="B115" s="45" t="s">
        <v>80</v>
      </c>
      <c r="C115" s="46">
        <v>2009</v>
      </c>
      <c r="D115" s="45" t="s">
        <v>116</v>
      </c>
      <c r="E115" s="47">
        <v>8</v>
      </c>
      <c r="F115" s="48">
        <v>13315.6</v>
      </c>
      <c r="G115" s="48">
        <v>10003.799999999999</v>
      </c>
    </row>
    <row r="116" spans="1:7" ht="10.050000000000001" customHeight="1">
      <c r="A116" s="45" t="s">
        <v>154</v>
      </c>
      <c r="B116" s="45" t="s">
        <v>80</v>
      </c>
      <c r="C116" s="46">
        <v>2009</v>
      </c>
      <c r="D116" s="45" t="s">
        <v>116</v>
      </c>
      <c r="E116" s="47">
        <v>9</v>
      </c>
      <c r="F116" s="48">
        <v>14853.3</v>
      </c>
      <c r="G116" s="48">
        <v>7581</v>
      </c>
    </row>
    <row r="117" spans="1:7" ht="10.050000000000001" customHeight="1">
      <c r="A117" s="45" t="s">
        <v>154</v>
      </c>
      <c r="B117" s="45" t="s">
        <v>80</v>
      </c>
      <c r="C117" s="46">
        <v>2009</v>
      </c>
      <c r="D117" s="45" t="s">
        <v>116</v>
      </c>
      <c r="E117" s="47">
        <v>10</v>
      </c>
      <c r="F117" s="48">
        <v>15216.7</v>
      </c>
      <c r="G117" s="48">
        <v>5673.7</v>
      </c>
    </row>
    <row r="118" spans="1:7" ht="10.050000000000001" customHeight="1">
      <c r="A118" s="45" t="s">
        <v>154</v>
      </c>
      <c r="B118" s="45" t="s">
        <v>80</v>
      </c>
      <c r="C118" s="46">
        <v>2009</v>
      </c>
      <c r="D118" s="45" t="s">
        <v>116</v>
      </c>
      <c r="E118" s="47">
        <v>11</v>
      </c>
      <c r="F118" s="48">
        <v>13741.9</v>
      </c>
      <c r="G118" s="48">
        <v>5543.1</v>
      </c>
    </row>
    <row r="119" spans="1:7" ht="10.050000000000001" customHeight="1">
      <c r="A119" s="45" t="s">
        <v>154</v>
      </c>
      <c r="B119" s="45" t="s">
        <v>80</v>
      </c>
      <c r="C119" s="46">
        <v>2009</v>
      </c>
      <c r="D119" s="45" t="s">
        <v>116</v>
      </c>
      <c r="E119" s="47">
        <v>12</v>
      </c>
      <c r="F119" s="48">
        <v>13839.7</v>
      </c>
      <c r="G119" s="48">
        <v>5311.6</v>
      </c>
    </row>
    <row r="120" spans="1:7" ht="10.050000000000001" customHeight="1">
      <c r="A120" s="45" t="s">
        <v>154</v>
      </c>
      <c r="B120" s="45" t="s">
        <v>80</v>
      </c>
      <c r="C120" s="46">
        <v>2010</v>
      </c>
      <c r="D120" s="45" t="s">
        <v>116</v>
      </c>
      <c r="E120" s="47">
        <v>1</v>
      </c>
      <c r="F120" s="48">
        <v>13862.3</v>
      </c>
      <c r="G120" s="48">
        <v>5516.4</v>
      </c>
    </row>
    <row r="121" spans="1:7" ht="10.050000000000001" customHeight="1">
      <c r="A121" s="45" t="s">
        <v>154</v>
      </c>
      <c r="B121" s="45" t="s">
        <v>80</v>
      </c>
      <c r="C121" s="46">
        <v>2010</v>
      </c>
      <c r="D121" s="45" t="s">
        <v>116</v>
      </c>
      <c r="E121" s="47">
        <v>2</v>
      </c>
      <c r="F121" s="48">
        <v>13723.4</v>
      </c>
      <c r="G121" s="48">
        <v>5179.5</v>
      </c>
    </row>
    <row r="122" spans="1:7" ht="10.050000000000001" customHeight="1">
      <c r="A122" s="45" t="s">
        <v>154</v>
      </c>
      <c r="B122" s="45" t="s">
        <v>80</v>
      </c>
      <c r="C122" s="46">
        <v>2010</v>
      </c>
      <c r="D122" s="45" t="s">
        <v>116</v>
      </c>
      <c r="E122" s="47">
        <v>3</v>
      </c>
      <c r="F122" s="48">
        <v>14464</v>
      </c>
      <c r="G122" s="48">
        <v>4746.8999999999996</v>
      </c>
    </row>
    <row r="123" spans="1:7" ht="10.050000000000001" customHeight="1">
      <c r="A123" s="45" t="s">
        <v>154</v>
      </c>
      <c r="B123" s="45" t="s">
        <v>80</v>
      </c>
      <c r="C123" s="46">
        <v>2010</v>
      </c>
      <c r="D123" s="45" t="s">
        <v>116</v>
      </c>
      <c r="E123" s="47">
        <v>4</v>
      </c>
      <c r="F123" s="48">
        <v>12756.5</v>
      </c>
      <c r="G123" s="48">
        <v>4399.2</v>
      </c>
    </row>
    <row r="124" spans="1:7" ht="10.050000000000001" customHeight="1">
      <c r="A124" s="45" t="s">
        <v>154</v>
      </c>
      <c r="B124" s="45" t="s">
        <v>80</v>
      </c>
      <c r="C124" s="46">
        <v>2010</v>
      </c>
      <c r="D124" s="45" t="s">
        <v>116</v>
      </c>
      <c r="E124" s="47">
        <v>5</v>
      </c>
      <c r="F124" s="48">
        <v>11604.4</v>
      </c>
      <c r="G124" s="48">
        <v>4193</v>
      </c>
    </row>
    <row r="125" spans="1:7" ht="10.050000000000001" customHeight="1">
      <c r="A125" s="45" t="s">
        <v>154</v>
      </c>
      <c r="B125" s="45" t="s">
        <v>80</v>
      </c>
      <c r="C125" s="46">
        <v>2010</v>
      </c>
      <c r="D125" s="45" t="s">
        <v>116</v>
      </c>
      <c r="E125" s="47">
        <v>6</v>
      </c>
      <c r="F125" s="48">
        <v>11412.3</v>
      </c>
      <c r="G125" s="48">
        <v>4635.6000000000004</v>
      </c>
    </row>
    <row r="126" spans="1:7" ht="10.050000000000001" customHeight="1">
      <c r="A126" s="45" t="s">
        <v>154</v>
      </c>
      <c r="B126" s="45" t="s">
        <v>80</v>
      </c>
      <c r="C126" s="46">
        <v>2010</v>
      </c>
      <c r="D126" s="45" t="s">
        <v>117</v>
      </c>
      <c r="E126" s="47">
        <v>7</v>
      </c>
      <c r="F126" s="48">
        <v>11979.5</v>
      </c>
      <c r="G126" s="48">
        <v>9584.2000000000007</v>
      </c>
    </row>
    <row r="127" spans="1:7" ht="10.050000000000001" customHeight="1">
      <c r="A127" s="45" t="s">
        <v>154</v>
      </c>
      <c r="B127" s="45" t="s">
        <v>80</v>
      </c>
      <c r="C127" s="46">
        <v>2010</v>
      </c>
      <c r="D127" s="45" t="s">
        <v>117</v>
      </c>
      <c r="E127" s="47">
        <v>8</v>
      </c>
      <c r="F127" s="48">
        <v>11788.48</v>
      </c>
      <c r="G127" s="48">
        <v>8019.06</v>
      </c>
    </row>
    <row r="128" spans="1:7" ht="10.050000000000001" customHeight="1">
      <c r="A128" s="45" t="s">
        <v>154</v>
      </c>
      <c r="B128" s="45" t="s">
        <v>80</v>
      </c>
      <c r="C128" s="46">
        <v>2010</v>
      </c>
      <c r="D128" s="45" t="s">
        <v>117</v>
      </c>
      <c r="E128" s="47">
        <v>9</v>
      </c>
      <c r="F128" s="48">
        <v>12495.35</v>
      </c>
      <c r="G128" s="48">
        <v>5782.11</v>
      </c>
    </row>
    <row r="129" spans="1:7" ht="10.050000000000001" customHeight="1">
      <c r="A129" s="45" t="s">
        <v>154</v>
      </c>
      <c r="B129" s="45" t="s">
        <v>80</v>
      </c>
      <c r="C129" s="46">
        <v>2010</v>
      </c>
      <c r="D129" s="45" t="s">
        <v>117</v>
      </c>
      <c r="E129" s="47">
        <v>10</v>
      </c>
      <c r="F129" s="48">
        <v>11304.33</v>
      </c>
      <c r="G129" s="48">
        <v>4886.04</v>
      </c>
    </row>
    <row r="130" spans="1:7" ht="10.050000000000001" customHeight="1">
      <c r="A130" s="45" t="s">
        <v>154</v>
      </c>
      <c r="B130" s="45" t="s">
        <v>80</v>
      </c>
      <c r="C130" s="46">
        <v>2010</v>
      </c>
      <c r="D130" s="45" t="s">
        <v>117</v>
      </c>
      <c r="E130" s="47">
        <v>11</v>
      </c>
      <c r="F130" s="48">
        <v>10651.8</v>
      </c>
      <c r="G130" s="48">
        <v>5083.84</v>
      </c>
    </row>
    <row r="131" spans="1:7" ht="10.050000000000001" customHeight="1">
      <c r="A131" s="45" t="s">
        <v>154</v>
      </c>
      <c r="B131" s="45" t="s">
        <v>80</v>
      </c>
      <c r="C131" s="46">
        <v>2010</v>
      </c>
      <c r="D131" s="45" t="s">
        <v>117</v>
      </c>
      <c r="E131" s="47">
        <v>12</v>
      </c>
      <c r="F131" s="48">
        <v>10088.539000000001</v>
      </c>
      <c r="G131" s="48">
        <v>4751.9279999999999</v>
      </c>
    </row>
    <row r="132" spans="1:7" ht="10.050000000000001" customHeight="1">
      <c r="A132" s="45" t="s">
        <v>154</v>
      </c>
      <c r="B132" s="45" t="s">
        <v>80</v>
      </c>
      <c r="C132" s="46">
        <v>2011</v>
      </c>
      <c r="D132" s="45" t="s">
        <v>117</v>
      </c>
      <c r="E132" s="47">
        <v>1</v>
      </c>
      <c r="F132" s="48">
        <v>8558.5</v>
      </c>
      <c r="G132" s="48">
        <v>4222.1279999999997</v>
      </c>
    </row>
    <row r="133" spans="1:7" ht="10.050000000000001" customHeight="1">
      <c r="A133" s="45" t="s">
        <v>154</v>
      </c>
      <c r="B133" s="45" t="s">
        <v>80</v>
      </c>
      <c r="C133" s="46">
        <v>2011</v>
      </c>
      <c r="D133" s="45" t="s">
        <v>117</v>
      </c>
      <c r="E133" s="47">
        <v>2</v>
      </c>
      <c r="F133" s="48">
        <v>7505.42</v>
      </c>
      <c r="G133" s="48">
        <v>3369.2379999999998</v>
      </c>
    </row>
    <row r="134" spans="1:7" ht="10.050000000000001" customHeight="1">
      <c r="A134" s="45" t="s">
        <v>154</v>
      </c>
      <c r="B134" s="45" t="s">
        <v>80</v>
      </c>
      <c r="C134" s="46">
        <v>2011</v>
      </c>
      <c r="D134" s="45" t="s">
        <v>117</v>
      </c>
      <c r="E134" s="47">
        <v>3</v>
      </c>
      <c r="F134" s="48">
        <v>8168.7809999999999</v>
      </c>
      <c r="G134" s="48">
        <v>3211.1770000000001</v>
      </c>
    </row>
    <row r="135" spans="1:7" ht="10.050000000000001" customHeight="1">
      <c r="A135" s="45" t="s">
        <v>154</v>
      </c>
      <c r="B135" s="45" t="s">
        <v>80</v>
      </c>
      <c r="C135" s="46">
        <v>2011</v>
      </c>
      <c r="D135" s="45" t="s">
        <v>117</v>
      </c>
      <c r="E135" s="47">
        <v>4</v>
      </c>
      <c r="F135" s="48">
        <v>7259.393</v>
      </c>
      <c r="G135" s="48">
        <v>2682.4340000000002</v>
      </c>
    </row>
    <row r="136" spans="1:7" ht="10.050000000000001" customHeight="1">
      <c r="A136" s="45" t="s">
        <v>154</v>
      </c>
      <c r="B136" s="45" t="s">
        <v>80</v>
      </c>
      <c r="C136" s="46">
        <v>2011</v>
      </c>
      <c r="D136" s="45" t="s">
        <v>117</v>
      </c>
      <c r="E136" s="47">
        <v>5</v>
      </c>
      <c r="F136" s="48">
        <v>7286.4740000000002</v>
      </c>
      <c r="G136" s="48">
        <v>2935.98</v>
      </c>
    </row>
    <row r="137" spans="1:7" ht="10.050000000000001" customHeight="1">
      <c r="A137" s="45" t="s">
        <v>154</v>
      </c>
      <c r="B137" s="45" t="s">
        <v>80</v>
      </c>
      <c r="C137" s="46">
        <v>2011</v>
      </c>
      <c r="D137" s="45" t="s">
        <v>117</v>
      </c>
      <c r="E137" s="47">
        <v>6</v>
      </c>
      <c r="F137" s="48">
        <v>7298.38</v>
      </c>
      <c r="G137" s="48">
        <v>3096.26</v>
      </c>
    </row>
    <row r="138" spans="1:7" ht="10.050000000000001" customHeight="1">
      <c r="A138" s="45" t="s">
        <v>154</v>
      </c>
      <c r="B138" s="45" t="s">
        <v>80</v>
      </c>
      <c r="C138" s="46">
        <v>2011</v>
      </c>
      <c r="D138" s="45" t="s">
        <v>118</v>
      </c>
      <c r="E138" s="47">
        <v>7</v>
      </c>
      <c r="F138" s="48">
        <v>6799.25</v>
      </c>
      <c r="G138" s="48">
        <v>8229.27</v>
      </c>
    </row>
    <row r="139" spans="1:7" ht="10.050000000000001" customHeight="1">
      <c r="A139" s="45" t="s">
        <v>154</v>
      </c>
      <c r="B139" s="45" t="s">
        <v>80</v>
      </c>
      <c r="C139" s="46">
        <v>2011</v>
      </c>
      <c r="D139" s="45" t="s">
        <v>118</v>
      </c>
      <c r="E139" s="47">
        <v>8</v>
      </c>
      <c r="F139" s="48">
        <v>7543.44</v>
      </c>
      <c r="G139" s="48">
        <v>4703.63</v>
      </c>
    </row>
    <row r="140" spans="1:7" ht="10.050000000000001" customHeight="1">
      <c r="A140" s="45" t="s">
        <v>154</v>
      </c>
      <c r="B140" s="45" t="s">
        <v>80</v>
      </c>
      <c r="C140" s="46">
        <v>2011</v>
      </c>
      <c r="D140" s="45" t="s">
        <v>118</v>
      </c>
      <c r="E140" s="47">
        <v>9</v>
      </c>
      <c r="F140" s="48">
        <v>3878.9</v>
      </c>
      <c r="G140" s="48">
        <v>3586.65</v>
      </c>
    </row>
    <row r="141" spans="1:7" ht="10.050000000000001" customHeight="1">
      <c r="A141" s="45" t="s">
        <v>154</v>
      </c>
      <c r="B141" s="45" t="s">
        <v>80</v>
      </c>
      <c r="C141" s="46">
        <v>2011</v>
      </c>
      <c r="D141" s="45" t="s">
        <v>118</v>
      </c>
      <c r="E141" s="47">
        <v>10</v>
      </c>
      <c r="F141" s="48">
        <v>3667.24</v>
      </c>
      <c r="G141" s="48">
        <v>3161.63</v>
      </c>
    </row>
    <row r="142" spans="1:7" ht="10.050000000000001" customHeight="1">
      <c r="A142" s="45" t="s">
        <v>154</v>
      </c>
      <c r="B142" s="45" t="s">
        <v>80</v>
      </c>
      <c r="C142" s="46">
        <v>2011</v>
      </c>
      <c r="D142" s="45" t="s">
        <v>118</v>
      </c>
      <c r="E142" s="47">
        <v>11</v>
      </c>
      <c r="F142" s="48">
        <v>3281.8</v>
      </c>
      <c r="G142" s="48">
        <v>3156.53</v>
      </c>
    </row>
    <row r="143" spans="1:7" ht="10.050000000000001" customHeight="1">
      <c r="A143" s="45" t="s">
        <v>154</v>
      </c>
      <c r="B143" s="45" t="s">
        <v>80</v>
      </c>
      <c r="C143" s="46">
        <v>2011</v>
      </c>
      <c r="D143" s="45" t="s">
        <v>118</v>
      </c>
      <c r="E143" s="47">
        <v>12</v>
      </c>
      <c r="F143" s="48">
        <v>2748.33</v>
      </c>
      <c r="G143" s="48">
        <v>3190.66</v>
      </c>
    </row>
    <row r="144" spans="1:7" ht="10.050000000000001" customHeight="1">
      <c r="A144" s="45" t="s">
        <v>154</v>
      </c>
      <c r="B144" s="45" t="s">
        <v>80</v>
      </c>
      <c r="C144" s="46">
        <v>2012</v>
      </c>
      <c r="D144" s="45" t="s">
        <v>118</v>
      </c>
      <c r="E144" s="47">
        <v>1</v>
      </c>
      <c r="F144" s="48">
        <v>8644.2900000000009</v>
      </c>
      <c r="G144" s="48">
        <v>2983.61</v>
      </c>
    </row>
    <row r="145" spans="1:7" ht="10.050000000000001" customHeight="1">
      <c r="A145" s="45" t="s">
        <v>154</v>
      </c>
      <c r="B145" s="45" t="s">
        <v>80</v>
      </c>
      <c r="C145" s="46">
        <v>2012</v>
      </c>
      <c r="D145" s="45" t="s">
        <v>118</v>
      </c>
      <c r="E145" s="47">
        <v>2</v>
      </c>
      <c r="F145" s="48">
        <v>2862.18</v>
      </c>
      <c r="G145" s="48">
        <v>2886.81</v>
      </c>
    </row>
    <row r="146" spans="1:7" ht="10.050000000000001" customHeight="1">
      <c r="A146" s="45" t="s">
        <v>154</v>
      </c>
      <c r="B146" s="45" t="s">
        <v>80</v>
      </c>
      <c r="C146" s="46">
        <v>2012</v>
      </c>
      <c r="D146" s="45" t="s">
        <v>118</v>
      </c>
      <c r="E146" s="47">
        <v>3</v>
      </c>
      <c r="F146" s="48">
        <v>2869.57</v>
      </c>
      <c r="G146" s="48">
        <v>2865.22</v>
      </c>
    </row>
    <row r="147" spans="1:7" ht="10.050000000000001" customHeight="1">
      <c r="A147" s="45" t="s">
        <v>154</v>
      </c>
      <c r="B147" s="45" t="s">
        <v>80</v>
      </c>
      <c r="C147" s="46">
        <v>2012</v>
      </c>
      <c r="D147" s="45" t="s">
        <v>118</v>
      </c>
      <c r="E147" s="47">
        <v>4</v>
      </c>
      <c r="F147" s="48">
        <v>2582.38</v>
      </c>
      <c r="G147" s="48">
        <v>2636.52</v>
      </c>
    </row>
    <row r="148" spans="1:7" ht="10.050000000000001" customHeight="1">
      <c r="A148" s="45" t="s">
        <v>154</v>
      </c>
      <c r="B148" s="45" t="s">
        <v>80</v>
      </c>
      <c r="C148" s="46">
        <v>2012</v>
      </c>
      <c r="D148" s="45" t="s">
        <v>118</v>
      </c>
      <c r="E148" s="47">
        <v>5</v>
      </c>
      <c r="F148" s="48">
        <v>2802</v>
      </c>
      <c r="G148" s="48">
        <v>2419.62</v>
      </c>
    </row>
    <row r="149" spans="1:7" ht="10.050000000000001" customHeight="1">
      <c r="A149" s="45" t="s">
        <v>154</v>
      </c>
      <c r="B149" s="45" t="s">
        <v>80</v>
      </c>
      <c r="C149" s="46">
        <v>2012</v>
      </c>
      <c r="D149" s="45" t="s">
        <v>118</v>
      </c>
      <c r="E149" s="47">
        <v>6</v>
      </c>
      <c r="F149" s="48">
        <v>3411.03</v>
      </c>
      <c r="G149" s="48">
        <v>1448.47</v>
      </c>
    </row>
    <row r="150" spans="1:7" ht="10.050000000000001" customHeight="1">
      <c r="A150" s="45" t="s">
        <v>154</v>
      </c>
      <c r="B150" s="45" t="s">
        <v>80</v>
      </c>
      <c r="C150" s="46">
        <v>2012</v>
      </c>
      <c r="D150" s="45" t="s">
        <v>119</v>
      </c>
      <c r="E150" s="47">
        <v>7</v>
      </c>
      <c r="F150" s="48">
        <v>2473.9499999999998</v>
      </c>
      <c r="G150" s="48">
        <v>9065.92</v>
      </c>
    </row>
    <row r="151" spans="1:7" ht="10.050000000000001" customHeight="1">
      <c r="A151" s="45" t="s">
        <v>154</v>
      </c>
      <c r="B151" s="45" t="s">
        <v>80</v>
      </c>
      <c r="C151" s="46">
        <v>2012</v>
      </c>
      <c r="D151" s="45" t="s">
        <v>119</v>
      </c>
      <c r="E151" s="47">
        <v>8</v>
      </c>
      <c r="F151" s="48">
        <v>5690.82</v>
      </c>
      <c r="G151" s="48">
        <v>8535.44</v>
      </c>
    </row>
    <row r="152" spans="1:7" ht="10.050000000000001" customHeight="1">
      <c r="A152" s="45" t="s">
        <v>154</v>
      </c>
      <c r="B152" s="45" t="s">
        <v>80</v>
      </c>
      <c r="C152" s="46">
        <v>2012</v>
      </c>
      <c r="D152" s="45" t="s">
        <v>119</v>
      </c>
      <c r="E152" s="47">
        <v>9</v>
      </c>
      <c r="F152" s="48">
        <v>5138.6400000000003</v>
      </c>
      <c r="G152" s="48">
        <v>8796.1</v>
      </c>
    </row>
    <row r="153" spans="1:7" ht="10.050000000000001" customHeight="1">
      <c r="A153" s="45" t="s">
        <v>154</v>
      </c>
      <c r="B153" s="45" t="s">
        <v>80</v>
      </c>
      <c r="C153" s="46">
        <v>2012</v>
      </c>
      <c r="D153" s="45" t="s">
        <v>119</v>
      </c>
      <c r="E153" s="47">
        <v>10</v>
      </c>
      <c r="F153" s="48">
        <v>4901.2700000000004</v>
      </c>
      <c r="G153" s="48">
        <v>7417.23</v>
      </c>
    </row>
    <row r="154" spans="1:7" ht="10.050000000000001" customHeight="1">
      <c r="A154" s="45" t="s">
        <v>154</v>
      </c>
      <c r="B154" s="45" t="s">
        <v>80</v>
      </c>
      <c r="C154" s="46">
        <v>2012</v>
      </c>
      <c r="D154" s="45" t="s">
        <v>119</v>
      </c>
      <c r="E154" s="47">
        <v>11</v>
      </c>
      <c r="F154" s="48">
        <v>3552.85</v>
      </c>
      <c r="G154" s="48">
        <v>6520.88</v>
      </c>
    </row>
    <row r="155" spans="1:7" ht="10.050000000000001" customHeight="1">
      <c r="A155" s="45" t="s">
        <v>154</v>
      </c>
      <c r="B155" s="45" t="s">
        <v>80</v>
      </c>
      <c r="C155" s="46">
        <v>2012</v>
      </c>
      <c r="D155" s="45" t="s">
        <v>119</v>
      </c>
      <c r="E155" s="47">
        <v>12</v>
      </c>
      <c r="F155" s="48">
        <v>4190.0339999999997</v>
      </c>
      <c r="G155" s="48">
        <v>5114.866</v>
      </c>
    </row>
    <row r="156" spans="1:7" ht="10.050000000000001" customHeight="1">
      <c r="A156" s="45" t="s">
        <v>154</v>
      </c>
      <c r="B156" s="45" t="s">
        <v>80</v>
      </c>
      <c r="C156" s="46">
        <v>2013</v>
      </c>
      <c r="D156" s="45" t="s">
        <v>119</v>
      </c>
      <c r="E156" s="47">
        <v>1</v>
      </c>
      <c r="F156" s="48">
        <v>4636.5429999999997</v>
      </c>
      <c r="G156" s="48">
        <v>3626.2829999999999</v>
      </c>
    </row>
    <row r="157" spans="1:7" ht="10.050000000000001" customHeight="1">
      <c r="A157" s="45" t="s">
        <v>154</v>
      </c>
      <c r="B157" s="45" t="s">
        <v>80</v>
      </c>
      <c r="C157" s="46">
        <v>2013</v>
      </c>
      <c r="D157" s="45" t="s">
        <v>119</v>
      </c>
      <c r="E157" s="47">
        <v>2</v>
      </c>
      <c r="F157" s="48">
        <v>2460.6660000000002</v>
      </c>
      <c r="G157" s="48">
        <v>3395.0770000000002</v>
      </c>
    </row>
    <row r="158" spans="1:7" ht="10.050000000000001" customHeight="1">
      <c r="A158" s="45" t="s">
        <v>154</v>
      </c>
      <c r="B158" s="45" t="s">
        <v>80</v>
      </c>
      <c r="C158" s="46">
        <v>2013</v>
      </c>
      <c r="D158" s="45" t="s">
        <v>119</v>
      </c>
      <c r="E158" s="47">
        <v>3</v>
      </c>
      <c r="F158" s="48">
        <v>2387.4699999999998</v>
      </c>
      <c r="G158" s="48">
        <v>2973.5970000000002</v>
      </c>
    </row>
    <row r="159" spans="1:7" ht="10.050000000000001" customHeight="1">
      <c r="A159" s="45" t="s">
        <v>154</v>
      </c>
      <c r="B159" s="45" t="s">
        <v>80</v>
      </c>
      <c r="C159" s="46">
        <v>2013</v>
      </c>
      <c r="D159" s="45" t="s">
        <v>119</v>
      </c>
      <c r="E159" s="47">
        <v>4</v>
      </c>
      <c r="F159" s="48">
        <v>2379.7579999999998</v>
      </c>
      <c r="G159" s="48">
        <v>2655.3130000000001</v>
      </c>
    </row>
    <row r="160" spans="1:7" ht="10.050000000000001" customHeight="1">
      <c r="A160" s="45" t="s">
        <v>154</v>
      </c>
      <c r="B160" s="45" t="s">
        <v>80</v>
      </c>
      <c r="C160" s="46">
        <v>2013</v>
      </c>
      <c r="D160" s="45" t="s">
        <v>119</v>
      </c>
      <c r="E160" s="47">
        <v>5</v>
      </c>
      <c r="F160" s="48">
        <v>2294.1770000000001</v>
      </c>
      <c r="G160" s="48">
        <v>2567.953</v>
      </c>
    </row>
    <row r="161" spans="1:7" ht="10.050000000000001" customHeight="1">
      <c r="A161" s="45" t="s">
        <v>154</v>
      </c>
      <c r="B161" s="45" t="s">
        <v>80</v>
      </c>
      <c r="C161" s="46">
        <v>2013</v>
      </c>
      <c r="D161" s="45" t="s">
        <v>119</v>
      </c>
      <c r="E161" s="47">
        <v>6</v>
      </c>
      <c r="F161" s="48">
        <v>2304.797</v>
      </c>
      <c r="G161" s="48">
        <v>2360.7460000000001</v>
      </c>
    </row>
    <row r="162" spans="1:7" ht="10.050000000000001" customHeight="1">
      <c r="A162" s="45" t="s">
        <v>154</v>
      </c>
      <c r="B162" s="45" t="s">
        <v>80</v>
      </c>
      <c r="C162" s="46">
        <v>2013</v>
      </c>
      <c r="D162" s="45" t="s">
        <v>120</v>
      </c>
      <c r="E162" s="47">
        <v>7</v>
      </c>
      <c r="F162" s="48">
        <v>3417.2910000000002</v>
      </c>
      <c r="G162" s="48">
        <v>4707.402</v>
      </c>
    </row>
    <row r="163" spans="1:7" ht="10.050000000000001" customHeight="1">
      <c r="A163" s="45" t="s">
        <v>154</v>
      </c>
      <c r="B163" s="45" t="s">
        <v>80</v>
      </c>
      <c r="C163" s="46">
        <v>2013</v>
      </c>
      <c r="D163" s="45" t="s">
        <v>120</v>
      </c>
      <c r="E163" s="47">
        <v>8</v>
      </c>
      <c r="F163" s="48">
        <v>5929.6840000000002</v>
      </c>
      <c r="G163" s="48">
        <v>5271.6980000000003</v>
      </c>
    </row>
    <row r="164" spans="1:7" ht="10.050000000000001" customHeight="1">
      <c r="A164" s="45" t="s">
        <v>154</v>
      </c>
      <c r="B164" s="45" t="s">
        <v>80</v>
      </c>
      <c r="C164" s="46">
        <v>2013</v>
      </c>
      <c r="D164" s="45" t="s">
        <v>120</v>
      </c>
      <c r="E164" s="47">
        <v>9</v>
      </c>
      <c r="F164" s="48">
        <v>5612.8890000000001</v>
      </c>
      <c r="G164" s="48">
        <v>4055.3389999999999</v>
      </c>
    </row>
    <row r="165" spans="1:7" ht="10.050000000000001" customHeight="1">
      <c r="A165" s="45" t="s">
        <v>154</v>
      </c>
      <c r="B165" s="45" t="s">
        <v>80</v>
      </c>
      <c r="C165" s="46">
        <v>2013</v>
      </c>
      <c r="D165" s="45" t="s">
        <v>120</v>
      </c>
      <c r="E165" s="47">
        <v>10</v>
      </c>
      <c r="F165" s="48">
        <v>6797.4340000000002</v>
      </c>
      <c r="G165" s="48">
        <v>3532.9050000000002</v>
      </c>
    </row>
    <row r="166" spans="1:7" ht="10.050000000000001" customHeight="1">
      <c r="A166" s="45" t="s">
        <v>154</v>
      </c>
      <c r="B166" s="45" t="s">
        <v>80</v>
      </c>
      <c r="C166" s="46">
        <v>2013</v>
      </c>
      <c r="D166" s="45" t="s">
        <v>120</v>
      </c>
      <c r="E166" s="47">
        <v>11</v>
      </c>
      <c r="F166" s="48">
        <v>4783.0439999999999</v>
      </c>
      <c r="G166" s="48">
        <v>2757.6309999999999</v>
      </c>
    </row>
    <row r="167" spans="1:7" ht="10.050000000000001" customHeight="1">
      <c r="A167" s="45" t="s">
        <v>154</v>
      </c>
      <c r="B167" s="45" t="s">
        <v>80</v>
      </c>
      <c r="C167" s="46">
        <v>2013</v>
      </c>
      <c r="D167" s="45" t="s">
        <v>120</v>
      </c>
      <c r="E167" s="47">
        <v>12</v>
      </c>
      <c r="F167" s="48">
        <v>4718.3159999999998</v>
      </c>
      <c r="G167" s="48">
        <v>2314.0949999999998</v>
      </c>
    </row>
    <row r="168" spans="1:7" ht="10.050000000000001" customHeight="1">
      <c r="A168" s="45" t="s">
        <v>154</v>
      </c>
      <c r="B168" s="45" t="s">
        <v>80</v>
      </c>
      <c r="C168" s="46">
        <v>2014</v>
      </c>
      <c r="D168" s="45" t="s">
        <v>120</v>
      </c>
      <c r="E168" s="47">
        <v>1</v>
      </c>
      <c r="F168" s="48">
        <v>5371.0929999999998</v>
      </c>
      <c r="G168" s="48">
        <v>1924.3420000000001</v>
      </c>
    </row>
    <row r="169" spans="1:7" ht="10.050000000000001" customHeight="1">
      <c r="A169" s="45" t="s">
        <v>154</v>
      </c>
      <c r="B169" s="45" t="s">
        <v>80</v>
      </c>
      <c r="C169" s="46">
        <v>2014</v>
      </c>
      <c r="D169" s="45" t="s">
        <v>120</v>
      </c>
      <c r="E169" s="47">
        <v>2</v>
      </c>
      <c r="F169" s="48">
        <v>4738.2969999999996</v>
      </c>
      <c r="G169" s="48">
        <v>2092.4949999999999</v>
      </c>
    </row>
    <row r="170" spans="1:7" ht="10.050000000000001" customHeight="1">
      <c r="A170" s="45" t="s">
        <v>154</v>
      </c>
      <c r="B170" s="45" t="s">
        <v>80</v>
      </c>
      <c r="C170" s="46">
        <v>2014</v>
      </c>
      <c r="D170" s="45" t="s">
        <v>120</v>
      </c>
      <c r="E170" s="47">
        <v>3</v>
      </c>
      <c r="F170" s="48">
        <v>4655.6409999999996</v>
      </c>
      <c r="G170" s="48">
        <v>2364.8739999999998</v>
      </c>
    </row>
    <row r="171" spans="1:7" ht="10.050000000000001" customHeight="1">
      <c r="A171" s="45" t="s">
        <v>154</v>
      </c>
      <c r="B171" s="45" t="s">
        <v>80</v>
      </c>
      <c r="C171" s="46">
        <v>2014</v>
      </c>
      <c r="D171" s="45" t="s">
        <v>120</v>
      </c>
      <c r="E171" s="47">
        <v>4</v>
      </c>
      <c r="F171" s="48">
        <v>4440.527</v>
      </c>
      <c r="G171" s="48">
        <v>1896.0060000000001</v>
      </c>
    </row>
    <row r="172" spans="1:7" ht="10.050000000000001" customHeight="1">
      <c r="A172" s="45" t="s">
        <v>154</v>
      </c>
      <c r="B172" s="45" t="s">
        <v>80</v>
      </c>
      <c r="C172" s="46">
        <v>2014</v>
      </c>
      <c r="D172" s="45" t="s">
        <v>120</v>
      </c>
      <c r="E172" s="47">
        <v>5</v>
      </c>
      <c r="F172" s="48">
        <v>3823.7640000000001</v>
      </c>
      <c r="G172" s="48">
        <v>2148.502</v>
      </c>
    </row>
    <row r="173" spans="1:7" ht="10.050000000000001" customHeight="1">
      <c r="A173" s="45" t="s">
        <v>154</v>
      </c>
      <c r="B173" s="45" t="s">
        <v>80</v>
      </c>
      <c r="C173" s="46">
        <v>2014</v>
      </c>
      <c r="D173" s="45" t="s">
        <v>120</v>
      </c>
      <c r="E173" s="47">
        <v>6</v>
      </c>
      <c r="F173" s="48">
        <v>4281.3419999999996</v>
      </c>
      <c r="G173" s="48">
        <v>2496.7600000000002</v>
      </c>
    </row>
    <row r="174" spans="1:7" ht="10.050000000000001" customHeight="1">
      <c r="A174" s="45" t="s">
        <v>154</v>
      </c>
      <c r="B174" s="45" t="s">
        <v>80</v>
      </c>
      <c r="C174" s="46">
        <v>2014</v>
      </c>
      <c r="D174" s="45" t="s">
        <v>121</v>
      </c>
      <c r="E174" s="47">
        <v>7</v>
      </c>
      <c r="F174" s="48">
        <v>4987.66</v>
      </c>
      <c r="G174" s="48">
        <v>8760.7970000000005</v>
      </c>
    </row>
    <row r="175" spans="1:7" ht="10.050000000000001" customHeight="1">
      <c r="A175" s="45" t="s">
        <v>154</v>
      </c>
      <c r="B175" s="45" t="s">
        <v>80</v>
      </c>
      <c r="C175" s="46">
        <v>2014</v>
      </c>
      <c r="D175" s="45" t="s">
        <v>121</v>
      </c>
      <c r="E175" s="47">
        <v>8</v>
      </c>
      <c r="F175" s="48">
        <v>8553.6579999999994</v>
      </c>
      <c r="G175" s="48">
        <v>6650.3789999999999</v>
      </c>
    </row>
    <row r="176" spans="1:7" ht="10.050000000000001" customHeight="1">
      <c r="A176" s="45" t="s">
        <v>154</v>
      </c>
      <c r="B176" s="45" t="s">
        <v>80</v>
      </c>
      <c r="C176" s="46">
        <v>2014</v>
      </c>
      <c r="D176" s="45" t="s">
        <v>121</v>
      </c>
      <c r="E176" s="47">
        <v>9</v>
      </c>
      <c r="F176" s="48">
        <v>8471.94</v>
      </c>
      <c r="G176" s="48">
        <v>7257.1989999999996</v>
      </c>
    </row>
    <row r="177" spans="1:7" ht="10.050000000000001" customHeight="1">
      <c r="A177" s="45" t="s">
        <v>154</v>
      </c>
      <c r="B177" s="45" t="s">
        <v>80</v>
      </c>
      <c r="C177" s="46">
        <v>2014</v>
      </c>
      <c r="D177" s="45" t="s">
        <v>121</v>
      </c>
      <c r="E177" s="47">
        <v>10</v>
      </c>
      <c r="F177" s="48">
        <v>7371.8119999999999</v>
      </c>
      <c r="G177" s="48">
        <v>5476.5209999999997</v>
      </c>
    </row>
    <row r="178" spans="1:7" ht="10.050000000000001" customHeight="1">
      <c r="A178" s="45" t="s">
        <v>154</v>
      </c>
      <c r="B178" s="45" t="s">
        <v>80</v>
      </c>
      <c r="C178" s="46">
        <v>2014</v>
      </c>
      <c r="D178" s="45" t="s">
        <v>121</v>
      </c>
      <c r="E178" s="47">
        <v>11</v>
      </c>
      <c r="F178" s="48">
        <v>5644.7719999999999</v>
      </c>
      <c r="G178" s="48">
        <v>4633.2489999999998</v>
      </c>
    </row>
    <row r="179" spans="1:7" ht="10.050000000000001" customHeight="1">
      <c r="A179" s="45" t="s">
        <v>154</v>
      </c>
      <c r="B179" s="45" t="s">
        <v>80</v>
      </c>
      <c r="C179" s="46">
        <v>2014</v>
      </c>
      <c r="D179" s="45" t="s">
        <v>121</v>
      </c>
      <c r="E179" s="47">
        <v>12</v>
      </c>
      <c r="F179" s="48">
        <v>6577.7539999999999</v>
      </c>
      <c r="G179" s="48">
        <v>3912.7550000000001</v>
      </c>
    </row>
    <row r="180" spans="1:7" ht="10.050000000000001" customHeight="1">
      <c r="A180" s="45" t="s">
        <v>154</v>
      </c>
      <c r="B180" s="45" t="s">
        <v>80</v>
      </c>
      <c r="C180" s="46">
        <v>2015</v>
      </c>
      <c r="D180" s="45" t="s">
        <v>121</v>
      </c>
      <c r="E180" s="47">
        <v>1</v>
      </c>
      <c r="F180" s="48">
        <v>6144.8869999999997</v>
      </c>
      <c r="G180" s="48">
        <v>2838.6080000000002</v>
      </c>
    </row>
    <row r="181" spans="1:7" ht="10.050000000000001" customHeight="1">
      <c r="A181" s="45" t="s">
        <v>154</v>
      </c>
      <c r="B181" s="45" t="s">
        <v>80</v>
      </c>
      <c r="C181" s="46">
        <v>2015</v>
      </c>
      <c r="D181" s="45" t="s">
        <v>121</v>
      </c>
      <c r="E181" s="47">
        <v>2</v>
      </c>
      <c r="F181" s="48">
        <v>5135.9160000000002</v>
      </c>
      <c r="G181" s="48">
        <v>2602.4319999999998</v>
      </c>
    </row>
    <row r="182" spans="1:7" ht="10.050000000000001" customHeight="1">
      <c r="A182" s="45" t="s">
        <v>154</v>
      </c>
      <c r="B182" s="45" t="s">
        <v>80</v>
      </c>
      <c r="C182" s="46">
        <v>2015</v>
      </c>
      <c r="D182" s="45" t="s">
        <v>121</v>
      </c>
      <c r="E182" s="47">
        <v>3</v>
      </c>
      <c r="F182" s="48">
        <v>5835.857</v>
      </c>
      <c r="G182" s="48">
        <v>2382.5349999999999</v>
      </c>
    </row>
    <row r="183" spans="1:7" ht="10.050000000000001" customHeight="1">
      <c r="A183" s="45" t="s">
        <v>154</v>
      </c>
      <c r="B183" s="45" t="s">
        <v>80</v>
      </c>
      <c r="C183" s="46">
        <v>2015</v>
      </c>
      <c r="D183" s="45" t="s">
        <v>121</v>
      </c>
      <c r="E183" s="47">
        <v>4</v>
      </c>
      <c r="F183" s="48">
        <v>5246.0720000000001</v>
      </c>
      <c r="G183" s="48">
        <v>2119.723</v>
      </c>
    </row>
    <row r="184" spans="1:7" ht="10.050000000000001" customHeight="1">
      <c r="A184" s="45" t="s">
        <v>154</v>
      </c>
      <c r="B184" s="45" t="s">
        <v>80</v>
      </c>
      <c r="C184" s="46">
        <v>2015</v>
      </c>
      <c r="D184" s="45" t="s">
        <v>121</v>
      </c>
      <c r="E184" s="47">
        <v>5</v>
      </c>
      <c r="F184" s="48">
        <v>4139.7690000000002</v>
      </c>
      <c r="G184" s="48">
        <v>2152.674</v>
      </c>
    </row>
    <row r="185" spans="1:7" ht="10.050000000000001" customHeight="1">
      <c r="A185" s="45" t="s">
        <v>154</v>
      </c>
      <c r="B185" s="45" t="s">
        <v>80</v>
      </c>
      <c r="C185" s="46">
        <v>2015</v>
      </c>
      <c r="D185" s="45" t="s">
        <v>121</v>
      </c>
      <c r="E185" s="47">
        <v>6</v>
      </c>
      <c r="F185" s="48">
        <v>3364.3620000000001</v>
      </c>
      <c r="G185" s="48">
        <v>1871.432</v>
      </c>
    </row>
    <row r="186" spans="1:7" ht="10.050000000000001" customHeight="1">
      <c r="A186" s="45" t="s">
        <v>154</v>
      </c>
      <c r="B186" s="45" t="s">
        <v>80</v>
      </c>
      <c r="C186" s="46">
        <v>2015</v>
      </c>
      <c r="D186" s="45" t="s">
        <v>122</v>
      </c>
      <c r="E186" s="47">
        <v>7</v>
      </c>
      <c r="F186" s="48">
        <v>3557.9140000000002</v>
      </c>
      <c r="G186" s="48">
        <v>6732.9480000000003</v>
      </c>
    </row>
    <row r="187" spans="1:7" ht="10.050000000000001" customHeight="1">
      <c r="A187" s="45" t="s">
        <v>154</v>
      </c>
      <c r="B187" s="45" t="s">
        <v>80</v>
      </c>
      <c r="C187" s="46">
        <v>2015</v>
      </c>
      <c r="D187" s="45" t="s">
        <v>122</v>
      </c>
      <c r="E187" s="47">
        <v>8</v>
      </c>
      <c r="F187" s="48">
        <v>7034.3289999999997</v>
      </c>
      <c r="G187" s="48">
        <v>6045.9790000000003</v>
      </c>
    </row>
    <row r="188" spans="1:7" ht="10.050000000000001" customHeight="1">
      <c r="A188" s="45" t="s">
        <v>154</v>
      </c>
      <c r="B188" s="45" t="s">
        <v>80</v>
      </c>
      <c r="C188" s="46">
        <v>2015</v>
      </c>
      <c r="D188" s="45" t="s">
        <v>122</v>
      </c>
      <c r="E188" s="47">
        <v>9</v>
      </c>
      <c r="F188" s="48">
        <v>4514.5649999999996</v>
      </c>
      <c r="G188" s="48">
        <v>4291.5339999999997</v>
      </c>
    </row>
    <row r="189" spans="1:7" ht="10.050000000000001" customHeight="1">
      <c r="A189" s="45" t="s">
        <v>154</v>
      </c>
      <c r="B189" s="45" t="s">
        <v>80</v>
      </c>
      <c r="C189" s="46">
        <v>2015</v>
      </c>
      <c r="D189" s="45" t="s">
        <v>122</v>
      </c>
      <c r="E189" s="47">
        <v>10</v>
      </c>
      <c r="F189" s="48">
        <v>5855.8190000000004</v>
      </c>
      <c r="G189" s="48">
        <v>2996.7150000000001</v>
      </c>
    </row>
    <row r="190" spans="1:7" ht="10.050000000000001" customHeight="1">
      <c r="A190" s="45" t="s">
        <v>154</v>
      </c>
      <c r="B190" s="45" t="s">
        <v>80</v>
      </c>
      <c r="C190" s="46">
        <v>2015</v>
      </c>
      <c r="D190" s="45" t="s">
        <v>122</v>
      </c>
      <c r="E190" s="47">
        <v>11</v>
      </c>
      <c r="F190" s="48">
        <v>4477.3869999999997</v>
      </c>
      <c r="G190" s="48">
        <v>2646.6680000000001</v>
      </c>
    </row>
    <row r="191" spans="1:7" ht="10.050000000000001" customHeight="1">
      <c r="A191" s="45" t="s">
        <v>154</v>
      </c>
      <c r="B191" s="45" t="s">
        <v>80</v>
      </c>
      <c r="C191" s="46">
        <v>2015</v>
      </c>
      <c r="D191" s="45" t="s">
        <v>122</v>
      </c>
      <c r="E191" s="47">
        <v>12</v>
      </c>
      <c r="F191" s="48">
        <v>4583.7240000000002</v>
      </c>
      <c r="G191" s="48">
        <v>2351.8440000000001</v>
      </c>
    </row>
    <row r="192" spans="1:7" ht="10.050000000000001" customHeight="1">
      <c r="A192" s="45" t="s">
        <v>154</v>
      </c>
      <c r="B192" s="45" t="s">
        <v>80</v>
      </c>
      <c r="C192" s="46">
        <v>2016</v>
      </c>
      <c r="D192" s="45" t="s">
        <v>122</v>
      </c>
      <c r="E192" s="47">
        <v>1</v>
      </c>
      <c r="F192" s="48">
        <v>4239.3559999999998</v>
      </c>
      <c r="G192" s="48">
        <v>2750.3879999999999</v>
      </c>
    </row>
    <row r="193" spans="1:7" ht="10.050000000000001" customHeight="1">
      <c r="A193" s="45" t="s">
        <v>154</v>
      </c>
      <c r="B193" s="45" t="s">
        <v>80</v>
      </c>
      <c r="C193" s="46">
        <v>2016</v>
      </c>
      <c r="D193" s="45" t="s">
        <v>122</v>
      </c>
      <c r="E193" s="47">
        <v>2</v>
      </c>
      <c r="F193" s="48">
        <v>4096.1239999999998</v>
      </c>
      <c r="G193" s="48">
        <v>2687.424</v>
      </c>
    </row>
    <row r="194" spans="1:7" ht="10.050000000000001" customHeight="1">
      <c r="A194" s="45" t="s">
        <v>154</v>
      </c>
      <c r="B194" s="45" t="s">
        <v>80</v>
      </c>
      <c r="C194" s="46">
        <v>2016</v>
      </c>
      <c r="D194" s="45" t="s">
        <v>122</v>
      </c>
      <c r="E194" s="47">
        <v>3</v>
      </c>
      <c r="F194" s="48">
        <v>4544.8959999999997</v>
      </c>
      <c r="G194" s="48">
        <v>2877.8980000000001</v>
      </c>
    </row>
    <row r="195" spans="1:7" ht="10.050000000000001" customHeight="1">
      <c r="A195" s="45" t="s">
        <v>154</v>
      </c>
      <c r="B195" s="45" t="s">
        <v>80</v>
      </c>
      <c r="C195" s="46">
        <v>2016</v>
      </c>
      <c r="D195" s="45" t="s">
        <v>122</v>
      </c>
      <c r="E195" s="47">
        <v>4</v>
      </c>
      <c r="F195" s="48">
        <v>5330.5659999999998</v>
      </c>
      <c r="G195" s="48">
        <v>2087.4520000000002</v>
      </c>
    </row>
    <row r="196" spans="1:7" ht="10.050000000000001" customHeight="1">
      <c r="A196" s="45" t="s">
        <v>154</v>
      </c>
      <c r="B196" s="45" t="s">
        <v>80</v>
      </c>
      <c r="C196" s="46">
        <v>2016</v>
      </c>
      <c r="D196" s="45" t="s">
        <v>122</v>
      </c>
      <c r="E196" s="47">
        <v>5</v>
      </c>
      <c r="F196" s="48">
        <v>3937.2</v>
      </c>
      <c r="G196" s="48">
        <v>2412.712</v>
      </c>
    </row>
    <row r="197" spans="1:7" ht="10.050000000000001" customHeight="1">
      <c r="A197" s="45" t="s">
        <v>154</v>
      </c>
      <c r="B197" s="45" t="s">
        <v>80</v>
      </c>
      <c r="C197" s="46">
        <v>2016</v>
      </c>
      <c r="D197" s="45" t="s">
        <v>122</v>
      </c>
      <c r="E197" s="47">
        <v>6</v>
      </c>
      <c r="F197" s="48">
        <v>4405.51</v>
      </c>
      <c r="G197" s="48">
        <v>2911.8679999999999</v>
      </c>
    </row>
    <row r="198" spans="1:7" ht="10.050000000000001" customHeight="1">
      <c r="A198" s="45" t="s">
        <v>154</v>
      </c>
      <c r="B198" s="45" t="s">
        <v>80</v>
      </c>
      <c r="C198" s="46">
        <v>2016</v>
      </c>
      <c r="D198" s="45" t="s">
        <v>123</v>
      </c>
      <c r="E198" s="47">
        <v>7</v>
      </c>
      <c r="F198" s="48">
        <v>4131.1409999999996</v>
      </c>
      <c r="G198" s="48">
        <v>6916.5069999999996</v>
      </c>
    </row>
    <row r="199" spans="1:7" ht="10.050000000000001" customHeight="1">
      <c r="A199" s="45" t="s">
        <v>154</v>
      </c>
      <c r="B199" s="45" t="s">
        <v>80</v>
      </c>
      <c r="C199" s="46">
        <v>2016</v>
      </c>
      <c r="D199" s="45" t="s">
        <v>123</v>
      </c>
      <c r="E199" s="47">
        <v>8</v>
      </c>
      <c r="F199" s="48">
        <v>5576.6019999999999</v>
      </c>
      <c r="G199" s="48">
        <v>9849.1849999999995</v>
      </c>
    </row>
    <row r="200" spans="1:7" ht="10.050000000000001" customHeight="1">
      <c r="A200" s="45" t="s">
        <v>154</v>
      </c>
      <c r="B200" s="45" t="s">
        <v>80</v>
      </c>
      <c r="C200" s="46">
        <v>2016</v>
      </c>
      <c r="D200" s="45" t="s">
        <v>123</v>
      </c>
      <c r="E200" s="47">
        <v>9</v>
      </c>
      <c r="F200" s="48">
        <v>5199.8149999999996</v>
      </c>
      <c r="G200" s="48">
        <v>7699.57</v>
      </c>
    </row>
    <row r="201" spans="1:7" ht="10.050000000000001" customHeight="1">
      <c r="A201" s="45" t="s">
        <v>154</v>
      </c>
      <c r="B201" s="45" t="s">
        <v>80</v>
      </c>
      <c r="C201" s="46">
        <v>2016</v>
      </c>
      <c r="D201" s="45" t="s">
        <v>123</v>
      </c>
      <c r="E201" s="47">
        <v>10</v>
      </c>
      <c r="F201" s="48">
        <v>4569.2179999999998</v>
      </c>
      <c r="G201" s="48">
        <v>5243.4120000000003</v>
      </c>
    </row>
    <row r="202" spans="1:7" ht="10.050000000000001" customHeight="1">
      <c r="A202" s="45" t="s">
        <v>154</v>
      </c>
      <c r="B202" s="45" t="s">
        <v>80</v>
      </c>
      <c r="C202" s="46">
        <v>2016</v>
      </c>
      <c r="D202" s="45" t="s">
        <v>123</v>
      </c>
      <c r="E202" s="47">
        <v>11</v>
      </c>
      <c r="F202" s="48">
        <v>4359.1530000000002</v>
      </c>
      <c r="G202" s="48">
        <v>4065.3690000000001</v>
      </c>
    </row>
    <row r="203" spans="1:7" ht="10.050000000000001" customHeight="1">
      <c r="A203" s="45" t="s">
        <v>154</v>
      </c>
      <c r="B203" s="45" t="s">
        <v>80</v>
      </c>
      <c r="C203" s="46">
        <v>2016</v>
      </c>
      <c r="D203" s="45" t="s">
        <v>123</v>
      </c>
      <c r="E203" s="47">
        <v>12</v>
      </c>
      <c r="F203" s="48">
        <v>4479.2070000000003</v>
      </c>
      <c r="G203" s="48">
        <v>2903.6320000000001</v>
      </c>
    </row>
    <row r="204" spans="1:7" ht="10.050000000000001" customHeight="1">
      <c r="A204" s="45" t="s">
        <v>154</v>
      </c>
      <c r="B204" s="45" t="s">
        <v>80</v>
      </c>
      <c r="C204" s="46">
        <v>2017</v>
      </c>
      <c r="D204" s="45" t="s">
        <v>123</v>
      </c>
      <c r="E204" s="47">
        <v>1</v>
      </c>
      <c r="F204" s="48">
        <v>3895.4780000000001</v>
      </c>
      <c r="G204" s="48">
        <v>2725.08</v>
      </c>
    </row>
    <row r="205" spans="1:7" ht="10.050000000000001" customHeight="1">
      <c r="A205" s="45" t="s">
        <v>154</v>
      </c>
      <c r="B205" s="45" t="s">
        <v>80</v>
      </c>
      <c r="C205" s="46">
        <v>2017</v>
      </c>
      <c r="D205" s="45" t="s">
        <v>123</v>
      </c>
      <c r="E205" s="47">
        <v>2</v>
      </c>
      <c r="F205" s="48">
        <v>2682.9960000000001</v>
      </c>
      <c r="G205" s="48">
        <v>2138.268</v>
      </c>
    </row>
    <row r="206" spans="1:7" ht="10.050000000000001" customHeight="1">
      <c r="A206" s="45" t="s">
        <v>154</v>
      </c>
      <c r="B206" s="45" t="s">
        <v>80</v>
      </c>
      <c r="C206" s="46">
        <v>2017</v>
      </c>
      <c r="D206" s="45" t="s">
        <v>123</v>
      </c>
      <c r="E206" s="47">
        <v>3</v>
      </c>
      <c r="F206" s="48">
        <v>3119.808</v>
      </c>
      <c r="G206" s="48">
        <v>2168.5680000000002</v>
      </c>
    </row>
    <row r="207" spans="1:7" ht="10.050000000000001" customHeight="1">
      <c r="A207" s="45" t="s">
        <v>154</v>
      </c>
      <c r="B207" s="45" t="s">
        <v>80</v>
      </c>
      <c r="C207" s="46">
        <v>2017</v>
      </c>
      <c r="D207" s="45" t="s">
        <v>123</v>
      </c>
      <c r="E207" s="47">
        <v>4</v>
      </c>
      <c r="F207" s="48">
        <v>2785.2060000000001</v>
      </c>
      <c r="G207" s="48">
        <v>1811.5419999999999</v>
      </c>
    </row>
    <row r="208" spans="1:7" ht="10.050000000000001" customHeight="1">
      <c r="A208" s="45" t="s">
        <v>154</v>
      </c>
      <c r="B208" s="45" t="s">
        <v>80</v>
      </c>
      <c r="C208" s="46">
        <v>2017</v>
      </c>
      <c r="D208" s="45" t="s">
        <v>123</v>
      </c>
      <c r="E208" s="47">
        <v>5</v>
      </c>
      <c r="F208" s="48">
        <v>3980.9830000000002</v>
      </c>
      <c r="G208" s="48">
        <v>2062.0070000000001</v>
      </c>
    </row>
    <row r="209" spans="1:7" ht="10.050000000000001" customHeight="1">
      <c r="A209" s="45" t="s">
        <v>154</v>
      </c>
      <c r="B209" s="45" t="s">
        <v>80</v>
      </c>
      <c r="C209" s="46">
        <v>2017</v>
      </c>
      <c r="D209" s="45" t="s">
        <v>123</v>
      </c>
      <c r="E209" s="47">
        <v>6</v>
      </c>
      <c r="F209" s="48">
        <v>3256.8359999999998</v>
      </c>
      <c r="G209" s="48">
        <v>2692.5770000000002</v>
      </c>
    </row>
    <row r="210" spans="1:7" ht="10.050000000000001" customHeight="1">
      <c r="A210" s="45" t="s">
        <v>154</v>
      </c>
      <c r="B210" s="45" t="s">
        <v>80</v>
      </c>
      <c r="C210" s="46">
        <v>2017</v>
      </c>
      <c r="D210" s="45" t="s">
        <v>124</v>
      </c>
      <c r="E210" s="47">
        <v>7</v>
      </c>
      <c r="F210" s="48">
        <v>4234.4459999999999</v>
      </c>
      <c r="G210" s="48">
        <v>6765.73</v>
      </c>
    </row>
    <row r="211" spans="1:7" ht="10.050000000000001" customHeight="1">
      <c r="A211" s="45" t="s">
        <v>154</v>
      </c>
      <c r="B211" s="45" t="s">
        <v>80</v>
      </c>
      <c r="C211" s="46">
        <v>2017</v>
      </c>
      <c r="D211" s="45" t="s">
        <v>124</v>
      </c>
      <c r="E211" s="47">
        <v>8</v>
      </c>
      <c r="F211" s="48">
        <v>4678.9769999999999</v>
      </c>
      <c r="G211" s="48">
        <v>7157.9350000000004</v>
      </c>
    </row>
    <row r="212" spans="1:7" ht="10.050000000000001" customHeight="1">
      <c r="A212" s="45" t="s">
        <v>154</v>
      </c>
      <c r="B212" s="45" t="s">
        <v>80</v>
      </c>
      <c r="C212" s="46">
        <v>2017</v>
      </c>
      <c r="D212" s="45" t="s">
        <v>124</v>
      </c>
      <c r="E212" s="47">
        <v>9</v>
      </c>
      <c r="F212" s="48">
        <v>3711.8359999999998</v>
      </c>
      <c r="G212" s="48">
        <v>6287.848</v>
      </c>
    </row>
    <row r="213" spans="1:7" ht="10.050000000000001" customHeight="1">
      <c r="A213" s="45" t="s">
        <v>154</v>
      </c>
      <c r="B213" s="45" t="s">
        <v>80</v>
      </c>
      <c r="C213" s="46">
        <v>2017</v>
      </c>
      <c r="D213" s="45" t="s">
        <v>124</v>
      </c>
      <c r="E213" s="47">
        <v>10</v>
      </c>
      <c r="F213" s="48">
        <v>3059.4520000000002</v>
      </c>
      <c r="G213" s="48">
        <v>5527.1369999999997</v>
      </c>
    </row>
    <row r="214" spans="1:7" ht="10.050000000000001" customHeight="1">
      <c r="A214" s="45" t="s">
        <v>154</v>
      </c>
      <c r="B214" s="45" t="s">
        <v>80</v>
      </c>
      <c r="C214" s="46">
        <v>2017</v>
      </c>
      <c r="D214" s="45" t="s">
        <v>124</v>
      </c>
      <c r="E214" s="47">
        <v>11</v>
      </c>
      <c r="F214" s="48">
        <v>3393.9479999999999</v>
      </c>
      <c r="G214" s="48">
        <v>3501.2289999999998</v>
      </c>
    </row>
    <row r="215" spans="1:7" ht="10.050000000000001" customHeight="1">
      <c r="A215" s="45" t="s">
        <v>154</v>
      </c>
      <c r="B215" s="45" t="s">
        <v>80</v>
      </c>
      <c r="C215" s="46">
        <v>2017</v>
      </c>
      <c r="D215" s="45" t="s">
        <v>124</v>
      </c>
      <c r="E215" s="47">
        <v>12</v>
      </c>
      <c r="F215" s="48">
        <v>3285.9029999999998</v>
      </c>
      <c r="G215" s="48">
        <v>2247.7739999999999</v>
      </c>
    </row>
    <row r="216" spans="1:7" ht="10.050000000000001" customHeight="1">
      <c r="A216" s="45" t="s">
        <v>154</v>
      </c>
      <c r="B216" s="45" t="s">
        <v>80</v>
      </c>
      <c r="C216" s="46">
        <v>2018</v>
      </c>
      <c r="D216" s="45" t="s">
        <v>124</v>
      </c>
      <c r="E216" s="47">
        <v>1</v>
      </c>
      <c r="F216" s="48">
        <v>3625.056</v>
      </c>
      <c r="G216" s="48">
        <v>2872.913</v>
      </c>
    </row>
    <row r="217" spans="1:7" ht="10.050000000000001" customHeight="1">
      <c r="A217" s="45" t="s">
        <v>154</v>
      </c>
      <c r="B217" s="45" t="s">
        <v>80</v>
      </c>
      <c r="C217" s="46">
        <v>2018</v>
      </c>
      <c r="D217" s="45" t="s">
        <v>124</v>
      </c>
      <c r="E217" s="47">
        <v>2</v>
      </c>
      <c r="F217" s="48">
        <v>3506.49</v>
      </c>
      <c r="G217" s="48">
        <v>2254.7539999999999</v>
      </c>
    </row>
    <row r="218" spans="1:7" ht="10.050000000000001" customHeight="1">
      <c r="A218" s="45" t="s">
        <v>154</v>
      </c>
      <c r="B218" s="45" t="s">
        <v>80</v>
      </c>
      <c r="C218" s="46">
        <v>2018</v>
      </c>
      <c r="D218" s="45" t="s">
        <v>124</v>
      </c>
      <c r="E218" s="47">
        <v>3</v>
      </c>
      <c r="F218" s="48">
        <v>3881.8829999999998</v>
      </c>
      <c r="G218" s="48">
        <v>2237.9</v>
      </c>
    </row>
    <row r="219" spans="1:7" ht="10.050000000000001" customHeight="1">
      <c r="A219" s="45" t="s">
        <v>154</v>
      </c>
      <c r="B219" s="45" t="s">
        <v>80</v>
      </c>
      <c r="C219" s="46">
        <v>2018</v>
      </c>
      <c r="D219" s="45" t="s">
        <v>124</v>
      </c>
      <c r="E219" s="47">
        <v>4</v>
      </c>
      <c r="F219" s="48">
        <v>3438.857</v>
      </c>
      <c r="G219" s="48">
        <v>2501.4259999999999</v>
      </c>
    </row>
    <row r="220" spans="1:7" ht="10.050000000000001" customHeight="1">
      <c r="A220" s="45" t="s">
        <v>154</v>
      </c>
      <c r="B220" s="45" t="s">
        <v>80</v>
      </c>
      <c r="C220" s="46">
        <v>2018</v>
      </c>
      <c r="D220" s="45" t="s">
        <v>124</v>
      </c>
      <c r="E220" s="47">
        <v>5</v>
      </c>
      <c r="F220" s="48">
        <v>4190.2529999999997</v>
      </c>
      <c r="G220" s="48">
        <v>2216.259</v>
      </c>
    </row>
    <row r="221" spans="1:7" ht="10.050000000000001" customHeight="1">
      <c r="A221" s="45" t="s">
        <v>154</v>
      </c>
      <c r="B221" s="45" t="s">
        <v>80</v>
      </c>
      <c r="C221" s="46">
        <v>2018</v>
      </c>
      <c r="D221" s="45" t="s">
        <v>124</v>
      </c>
      <c r="E221" s="47">
        <v>6</v>
      </c>
      <c r="F221" s="48">
        <v>4469.9369999999999</v>
      </c>
      <c r="G221" s="48">
        <v>2286.7020000000002</v>
      </c>
    </row>
    <row r="222" spans="1:7" ht="10.050000000000001" customHeight="1">
      <c r="A222" s="45" t="s">
        <v>154</v>
      </c>
      <c r="B222" s="45" t="s">
        <v>80</v>
      </c>
      <c r="C222" s="46">
        <v>2018</v>
      </c>
      <c r="D222" s="45" t="s">
        <v>125</v>
      </c>
      <c r="E222" s="47">
        <v>7</v>
      </c>
      <c r="F222" s="48">
        <v>3978.6390000000001</v>
      </c>
      <c r="G222" s="48">
        <v>7481.25</v>
      </c>
    </row>
    <row r="223" spans="1:7" ht="10.050000000000001" customHeight="1">
      <c r="A223" s="45" t="s">
        <v>154</v>
      </c>
      <c r="B223" s="45" t="s">
        <v>80</v>
      </c>
      <c r="C223" s="46">
        <v>2018</v>
      </c>
      <c r="D223" s="45" t="s">
        <v>125</v>
      </c>
      <c r="E223" s="47">
        <v>8</v>
      </c>
      <c r="F223" s="48">
        <v>4611.9799999999996</v>
      </c>
      <c r="G223" s="48">
        <v>4903.3310000000001</v>
      </c>
    </row>
    <row r="224" spans="1:7" ht="10.050000000000001" customHeight="1">
      <c r="A224" s="45" t="s">
        <v>154</v>
      </c>
      <c r="B224" s="45" t="s">
        <v>80</v>
      </c>
      <c r="C224" s="46">
        <v>2018</v>
      </c>
      <c r="D224" s="45" t="s">
        <v>125</v>
      </c>
      <c r="E224" s="47">
        <v>9</v>
      </c>
      <c r="F224" s="48">
        <v>3335.998</v>
      </c>
      <c r="G224" s="48">
        <v>5621.1310000000003</v>
      </c>
    </row>
    <row r="225" spans="1:7" ht="10.050000000000001" customHeight="1">
      <c r="A225" s="45" t="s">
        <v>154</v>
      </c>
      <c r="B225" s="45" t="s">
        <v>80</v>
      </c>
      <c r="C225" s="46">
        <v>2018</v>
      </c>
      <c r="D225" s="45" t="s">
        <v>125</v>
      </c>
      <c r="E225" s="47">
        <v>10</v>
      </c>
      <c r="F225" s="48">
        <v>4699.5330000000004</v>
      </c>
      <c r="G225" s="48">
        <v>5091.6729999999998</v>
      </c>
    </row>
    <row r="226" spans="1:7" ht="10.050000000000001" customHeight="1">
      <c r="A226" s="45" t="s">
        <v>154</v>
      </c>
      <c r="B226" s="45" t="s">
        <v>80</v>
      </c>
      <c r="C226" s="46">
        <v>2018</v>
      </c>
      <c r="D226" s="45" t="s">
        <v>125</v>
      </c>
      <c r="E226" s="47">
        <v>11</v>
      </c>
      <c r="F226" s="48">
        <v>3509.5949999999998</v>
      </c>
      <c r="G226" s="48">
        <v>4100.2299999999996</v>
      </c>
    </row>
    <row r="227" spans="1:7" ht="10.050000000000001" customHeight="1">
      <c r="A227" s="45" t="s">
        <v>154</v>
      </c>
      <c r="B227" s="45" t="s">
        <v>80</v>
      </c>
      <c r="C227" s="46">
        <v>2018</v>
      </c>
      <c r="D227" s="45" t="s">
        <v>125</v>
      </c>
      <c r="E227" s="47">
        <v>12</v>
      </c>
      <c r="F227" s="48">
        <v>4240.598</v>
      </c>
      <c r="G227" s="48">
        <v>3645.1289999999999</v>
      </c>
    </row>
    <row r="228" spans="1:7" ht="10.050000000000001" customHeight="1">
      <c r="A228" s="45" t="s">
        <v>154</v>
      </c>
      <c r="B228" s="45" t="s">
        <v>80</v>
      </c>
      <c r="C228" s="46">
        <v>2019</v>
      </c>
      <c r="D228" s="45" t="s">
        <v>125</v>
      </c>
      <c r="E228" s="47">
        <v>1</v>
      </c>
      <c r="F228" s="48">
        <v>4154.2579999999998</v>
      </c>
      <c r="G228" s="48">
        <v>2899.268</v>
      </c>
    </row>
    <row r="229" spans="1:7" ht="10.050000000000001" customHeight="1">
      <c r="A229" s="45" t="s">
        <v>154</v>
      </c>
      <c r="B229" s="45" t="s">
        <v>80</v>
      </c>
      <c r="C229" s="46">
        <v>2019</v>
      </c>
      <c r="D229" s="45" t="s">
        <v>125</v>
      </c>
      <c r="E229" s="47">
        <v>2</v>
      </c>
      <c r="F229" s="48">
        <v>2150.2220000000002</v>
      </c>
      <c r="G229" s="48">
        <v>2346.3919999999998</v>
      </c>
    </row>
    <row r="230" spans="1:7" ht="10.050000000000001" customHeight="1">
      <c r="A230" s="45" t="s">
        <v>154</v>
      </c>
      <c r="B230" s="45" t="s">
        <v>80</v>
      </c>
      <c r="C230" s="46">
        <v>2019</v>
      </c>
      <c r="D230" s="45" t="s">
        <v>125</v>
      </c>
      <c r="E230" s="47">
        <v>3</v>
      </c>
      <c r="F230" s="48">
        <v>2684.6889999999999</v>
      </c>
      <c r="G230" s="48">
        <v>2341.0059999999999</v>
      </c>
    </row>
    <row r="231" spans="1:7" ht="10.050000000000001" customHeight="1">
      <c r="A231" s="45" t="s">
        <v>154</v>
      </c>
      <c r="B231" s="45" t="s">
        <v>80</v>
      </c>
      <c r="C231" s="46">
        <v>2019</v>
      </c>
      <c r="D231" s="45" t="s">
        <v>125</v>
      </c>
      <c r="E231" s="47">
        <v>4</v>
      </c>
      <c r="F231" s="48">
        <v>2879.9250000000002</v>
      </c>
      <c r="G231" s="48">
        <v>2108.3780000000002</v>
      </c>
    </row>
    <row r="232" spans="1:7" ht="10.050000000000001" customHeight="1">
      <c r="A232" s="45" t="s">
        <v>154</v>
      </c>
      <c r="B232" s="45" t="s">
        <v>80</v>
      </c>
      <c r="C232" s="46">
        <v>2019</v>
      </c>
      <c r="D232" s="45" t="s">
        <v>125</v>
      </c>
      <c r="E232" s="47">
        <v>5</v>
      </c>
      <c r="F232" s="48">
        <v>2197.6439999999998</v>
      </c>
      <c r="G232" s="48">
        <v>2522.89</v>
      </c>
    </row>
    <row r="233" spans="1:7" ht="10.050000000000001" customHeight="1">
      <c r="A233" s="45" t="s">
        <v>154</v>
      </c>
      <c r="B233" s="45" t="s">
        <v>80</v>
      </c>
      <c r="C233" s="46">
        <v>2019</v>
      </c>
      <c r="D233" s="45" t="s">
        <v>125</v>
      </c>
      <c r="E233" s="47">
        <v>6</v>
      </c>
      <c r="F233" s="48">
        <v>1681.654</v>
      </c>
      <c r="G233" s="48">
        <v>1307.4949999999999</v>
      </c>
    </row>
    <row r="234" spans="1:7" ht="10.050000000000001" customHeight="1">
      <c r="A234" s="45" t="s">
        <v>154</v>
      </c>
      <c r="B234" s="45" t="s">
        <v>80</v>
      </c>
      <c r="C234" s="46">
        <v>2019</v>
      </c>
      <c r="D234" s="45" t="s">
        <v>126</v>
      </c>
      <c r="E234" s="47">
        <v>7</v>
      </c>
      <c r="F234" s="48">
        <v>1726.4290000000001</v>
      </c>
      <c r="G234" s="48">
        <v>7923.0050000000001</v>
      </c>
    </row>
    <row r="235" spans="1:7" ht="10.050000000000001" customHeight="1">
      <c r="A235" s="45" t="s">
        <v>154</v>
      </c>
      <c r="B235" s="45" t="s">
        <v>80</v>
      </c>
      <c r="C235" s="46">
        <v>2019</v>
      </c>
      <c r="D235" s="45" t="s">
        <v>126</v>
      </c>
      <c r="E235" s="47">
        <v>8</v>
      </c>
      <c r="F235" s="48">
        <v>2451.09</v>
      </c>
      <c r="G235" s="48">
        <v>5546.41</v>
      </c>
    </row>
    <row r="236" spans="1:7" ht="10.050000000000001" customHeight="1">
      <c r="A236" s="45" t="s">
        <v>154</v>
      </c>
      <c r="B236" s="45" t="s">
        <v>80</v>
      </c>
      <c r="C236" s="46">
        <v>2019</v>
      </c>
      <c r="D236" s="45" t="s">
        <v>126</v>
      </c>
      <c r="E236" s="47">
        <v>9</v>
      </c>
      <c r="F236" s="48">
        <v>1661.4639999999999</v>
      </c>
      <c r="G236" s="48">
        <v>4223.1019999999999</v>
      </c>
    </row>
    <row r="237" spans="1:7" ht="10.050000000000001" customHeight="1">
      <c r="A237" s="45" t="s">
        <v>154</v>
      </c>
      <c r="B237" s="45" t="s">
        <v>80</v>
      </c>
      <c r="C237" s="46">
        <v>2019</v>
      </c>
      <c r="D237" s="45" t="s">
        <v>126</v>
      </c>
      <c r="E237" s="47">
        <v>10</v>
      </c>
      <c r="F237" s="48">
        <v>2425.8989999999999</v>
      </c>
      <c r="G237" s="48">
        <v>3247.8490000000002</v>
      </c>
    </row>
    <row r="238" spans="1:7" ht="10.050000000000001" customHeight="1">
      <c r="A238" s="45" t="s">
        <v>154</v>
      </c>
      <c r="B238" s="45" t="s">
        <v>80</v>
      </c>
      <c r="C238" s="46">
        <v>2019</v>
      </c>
      <c r="D238" s="45" t="s">
        <v>126</v>
      </c>
      <c r="E238" s="47">
        <v>11</v>
      </c>
      <c r="F238" s="48">
        <v>1248.9010000000001</v>
      </c>
      <c r="G238" s="48">
        <v>2794.5509999999999</v>
      </c>
    </row>
    <row r="239" spans="1:7" ht="10.050000000000001" customHeight="1">
      <c r="A239" s="45" t="s">
        <v>154</v>
      </c>
      <c r="B239" s="45" t="s">
        <v>80</v>
      </c>
      <c r="C239" s="46">
        <v>2019</v>
      </c>
      <c r="D239" s="45" t="s">
        <v>126</v>
      </c>
      <c r="E239" s="47">
        <v>12</v>
      </c>
      <c r="F239" s="48">
        <v>1305.527</v>
      </c>
      <c r="G239" s="48">
        <v>2891.5239999999999</v>
      </c>
    </row>
    <row r="240" spans="1:7" ht="10.050000000000001" customHeight="1">
      <c r="A240" s="45" t="s">
        <v>154</v>
      </c>
      <c r="B240" s="45" t="s">
        <v>80</v>
      </c>
      <c r="C240" s="46">
        <v>2020</v>
      </c>
      <c r="D240" s="45" t="s">
        <v>126</v>
      </c>
      <c r="E240" s="47">
        <v>1</v>
      </c>
      <c r="F240" s="48">
        <v>1497.0350000000001</v>
      </c>
      <c r="G240" s="48">
        <v>2932.739</v>
      </c>
    </row>
    <row r="241" spans="1:7" ht="10.050000000000001" customHeight="1">
      <c r="A241" s="45" t="s">
        <v>154</v>
      </c>
      <c r="B241" s="45" t="s">
        <v>80</v>
      </c>
      <c r="C241" s="46">
        <v>2020</v>
      </c>
      <c r="D241" s="45" t="s">
        <v>126</v>
      </c>
      <c r="E241" s="47">
        <v>2</v>
      </c>
      <c r="F241" s="48">
        <v>1412.91</v>
      </c>
      <c r="G241" s="48">
        <v>2685.7840000000001</v>
      </c>
    </row>
    <row r="242" spans="1:7" ht="10.050000000000001" customHeight="1">
      <c r="A242" s="45" t="s">
        <v>154</v>
      </c>
      <c r="B242" s="45" t="s">
        <v>80</v>
      </c>
      <c r="C242" s="46">
        <v>2020</v>
      </c>
      <c r="D242" s="45" t="s">
        <v>126</v>
      </c>
      <c r="E242" s="47">
        <v>3</v>
      </c>
      <c r="F242" s="48">
        <v>1657.001</v>
      </c>
      <c r="G242" s="48">
        <v>1819.742</v>
      </c>
    </row>
    <row r="243" spans="1:7" ht="10.050000000000001" customHeight="1">
      <c r="A243" s="45" t="s">
        <v>154</v>
      </c>
      <c r="B243" s="45" t="s">
        <v>80</v>
      </c>
      <c r="C243" s="46">
        <v>2020</v>
      </c>
      <c r="D243" s="45" t="s">
        <v>126</v>
      </c>
      <c r="E243" s="47">
        <v>4</v>
      </c>
      <c r="F243" s="48">
        <v>1763.7919999999999</v>
      </c>
      <c r="G243" s="48">
        <v>1777.33</v>
      </c>
    </row>
    <row r="244" spans="1:7" ht="10.050000000000001" customHeight="1">
      <c r="A244" s="45" t="s">
        <v>154</v>
      </c>
      <c r="B244" s="45" t="s">
        <v>80</v>
      </c>
      <c r="C244" s="46">
        <v>2020</v>
      </c>
      <c r="D244" s="45" t="s">
        <v>126</v>
      </c>
      <c r="E244" s="47">
        <v>5</v>
      </c>
      <c r="F244" s="48">
        <v>1640.96</v>
      </c>
      <c r="G244" s="48">
        <v>1536.146</v>
      </c>
    </row>
    <row r="245" spans="1:7" ht="10.050000000000001" customHeight="1">
      <c r="A245" s="45" t="s">
        <v>154</v>
      </c>
      <c r="B245" s="45" t="s">
        <v>80</v>
      </c>
      <c r="C245" s="46">
        <v>2020</v>
      </c>
      <c r="D245" s="45" t="s">
        <v>126</v>
      </c>
      <c r="E245" s="47">
        <v>6</v>
      </c>
      <c r="F245" s="48">
        <v>1839.3030000000001</v>
      </c>
      <c r="G245" s="48">
        <v>1464.4</v>
      </c>
    </row>
    <row r="246" spans="1:7" ht="10.050000000000001" customHeight="1">
      <c r="A246" s="45" t="s">
        <v>154</v>
      </c>
      <c r="B246" s="45" t="s">
        <v>80</v>
      </c>
      <c r="C246" s="46">
        <v>2020</v>
      </c>
      <c r="D246" s="45" t="s">
        <v>128</v>
      </c>
      <c r="E246" s="47">
        <v>7</v>
      </c>
      <c r="F246" s="48">
        <v>1773.8019999999999</v>
      </c>
      <c r="G246" s="48">
        <v>3023.9940000000001</v>
      </c>
    </row>
    <row r="247" spans="1:7" ht="10.050000000000001" customHeight="1">
      <c r="A247" s="45" t="s">
        <v>154</v>
      </c>
      <c r="B247" s="45" t="s">
        <v>80</v>
      </c>
      <c r="C247" s="46">
        <v>2020</v>
      </c>
      <c r="D247" s="45" t="s">
        <v>128</v>
      </c>
      <c r="E247" s="47">
        <v>8</v>
      </c>
      <c r="F247" s="48">
        <v>1872.232</v>
      </c>
      <c r="G247" s="48">
        <v>2353.944</v>
      </c>
    </row>
    <row r="248" spans="1:7" ht="10.050000000000001" customHeight="1">
      <c r="A248" s="45" t="s">
        <v>154</v>
      </c>
      <c r="B248" s="45" t="s">
        <v>80</v>
      </c>
      <c r="C248" s="46">
        <v>2020</v>
      </c>
      <c r="D248" s="45" t="s">
        <v>128</v>
      </c>
      <c r="E248" s="47">
        <v>9</v>
      </c>
      <c r="F248" s="48">
        <v>1784.6489999999999</v>
      </c>
      <c r="G248" s="48">
        <v>2198.9380000000001</v>
      </c>
    </row>
    <row r="249" spans="1:7" ht="10.050000000000001" customHeight="1">
      <c r="A249" s="45" t="s">
        <v>154</v>
      </c>
      <c r="B249" s="45" t="s">
        <v>80</v>
      </c>
      <c r="C249" s="46">
        <v>2020</v>
      </c>
      <c r="D249" s="45" t="s">
        <v>128</v>
      </c>
      <c r="E249" s="47">
        <v>10</v>
      </c>
      <c r="F249" s="48">
        <v>1530.684</v>
      </c>
      <c r="G249" s="48">
        <v>1872.9259999999999</v>
      </c>
    </row>
    <row r="250" spans="1:7" ht="10.050000000000001" customHeight="1">
      <c r="A250" s="45" t="s">
        <v>154</v>
      </c>
      <c r="B250" s="45" t="s">
        <v>80</v>
      </c>
      <c r="C250" s="46">
        <v>2020</v>
      </c>
      <c r="D250" s="45" t="s">
        <v>128</v>
      </c>
      <c r="E250" s="47">
        <v>11</v>
      </c>
      <c r="F250" s="48">
        <v>1535.145</v>
      </c>
      <c r="G250" s="48">
        <v>1846.0630000000001</v>
      </c>
    </row>
    <row r="251" spans="1:7" ht="10.050000000000001" customHeight="1">
      <c r="A251" s="45" t="s">
        <v>154</v>
      </c>
      <c r="B251" s="45" t="s">
        <v>80</v>
      </c>
      <c r="C251" s="46">
        <v>2020</v>
      </c>
      <c r="D251" s="45" t="s">
        <v>128</v>
      </c>
      <c r="E251" s="47">
        <v>12</v>
      </c>
      <c r="F251" s="48">
        <v>2047.028</v>
      </c>
      <c r="G251" s="48">
        <v>1549.125</v>
      </c>
    </row>
    <row r="252" spans="1:7" ht="10.050000000000001" customHeight="1">
      <c r="A252" s="45" t="s">
        <v>154</v>
      </c>
      <c r="B252" s="45" t="s">
        <v>80</v>
      </c>
      <c r="C252" s="46">
        <v>2021</v>
      </c>
      <c r="D252" s="45" t="s">
        <v>128</v>
      </c>
      <c r="E252" s="47">
        <v>1</v>
      </c>
      <c r="F252" s="48">
        <v>1799.5160000000001</v>
      </c>
      <c r="G252" s="48">
        <v>1749.587</v>
      </c>
    </row>
    <row r="253" spans="1:7" ht="10.050000000000001" customHeight="1">
      <c r="A253" s="45" t="s">
        <v>154</v>
      </c>
      <c r="B253" s="45" t="s">
        <v>80</v>
      </c>
      <c r="C253" s="46">
        <v>2021</v>
      </c>
      <c r="D253" s="45" t="s">
        <v>128</v>
      </c>
      <c r="E253" s="47">
        <v>2</v>
      </c>
      <c r="F253" s="48">
        <v>2014.221</v>
      </c>
      <c r="G253" s="48">
        <v>1465.6880000000001</v>
      </c>
    </row>
    <row r="254" spans="1:7" ht="10.050000000000001" customHeight="1">
      <c r="A254" s="45" t="s">
        <v>154</v>
      </c>
      <c r="B254" s="45" t="s">
        <v>80</v>
      </c>
      <c r="C254" s="46">
        <v>2021</v>
      </c>
      <c r="D254" s="45" t="s">
        <v>128</v>
      </c>
      <c r="E254" s="47">
        <v>3</v>
      </c>
      <c r="F254" s="48">
        <v>2026.97</v>
      </c>
      <c r="G254" s="48">
        <v>1448.779</v>
      </c>
    </row>
    <row r="255" spans="1:7" ht="10.050000000000001" customHeight="1">
      <c r="A255" s="45" t="s">
        <v>154</v>
      </c>
      <c r="B255" s="45" t="s">
        <v>80</v>
      </c>
      <c r="C255" s="46">
        <v>2021</v>
      </c>
      <c r="D255" s="45" t="s">
        <v>128</v>
      </c>
      <c r="E255" s="47">
        <v>4</v>
      </c>
      <c r="F255" s="48">
        <v>1990.895</v>
      </c>
      <c r="G255" s="48">
        <v>1065.2929999999999</v>
      </c>
    </row>
    <row r="256" spans="1:7" ht="10.050000000000001" customHeight="1">
      <c r="A256" s="45" t="s">
        <v>154</v>
      </c>
      <c r="B256" s="45" t="s">
        <v>80</v>
      </c>
      <c r="C256" s="46">
        <v>2021</v>
      </c>
      <c r="D256" s="45" t="s">
        <v>128</v>
      </c>
      <c r="E256" s="47">
        <v>5</v>
      </c>
      <c r="F256" s="48">
        <v>1965.6179999999999</v>
      </c>
      <c r="G256" s="48">
        <v>1132.0609999999999</v>
      </c>
    </row>
    <row r="257" spans="1:7" ht="10.050000000000001" customHeight="1">
      <c r="A257" s="45" t="s">
        <v>154</v>
      </c>
      <c r="B257" s="45" t="s">
        <v>80</v>
      </c>
      <c r="C257" s="46">
        <v>2021</v>
      </c>
      <c r="D257" s="45" t="s">
        <v>128</v>
      </c>
      <c r="E257" s="47">
        <v>6</v>
      </c>
      <c r="F257" s="48">
        <v>1771.18</v>
      </c>
      <c r="G257" s="48">
        <v>947.36599999999999</v>
      </c>
    </row>
    <row r="258" spans="1:7" ht="10.050000000000001" customHeight="1">
      <c r="A258" s="45" t="s">
        <v>154</v>
      </c>
      <c r="B258" s="45" t="s">
        <v>80</v>
      </c>
      <c r="C258" s="46">
        <v>2021</v>
      </c>
      <c r="D258" s="45" t="s">
        <v>129</v>
      </c>
      <c r="E258" s="47">
        <v>7</v>
      </c>
      <c r="F258" s="48">
        <v>1836.309</v>
      </c>
      <c r="G258" s="48">
        <v>1520.674</v>
      </c>
    </row>
    <row r="259" spans="1:7" ht="10.050000000000001" customHeight="1">
      <c r="A259" s="45" t="s">
        <v>154</v>
      </c>
      <c r="B259" s="45" t="s">
        <v>80</v>
      </c>
      <c r="C259" s="46">
        <v>2021</v>
      </c>
      <c r="D259" s="45" t="s">
        <v>129</v>
      </c>
      <c r="E259" s="47">
        <v>8</v>
      </c>
      <c r="F259" s="48">
        <v>2262.3690000000001</v>
      </c>
      <c r="G259" s="48">
        <v>1040.2760000000001</v>
      </c>
    </row>
    <row r="260" spans="1:7" ht="10.050000000000001" customHeight="1">
      <c r="A260" s="45" t="s">
        <v>154</v>
      </c>
      <c r="B260" s="45" t="s">
        <v>80</v>
      </c>
      <c r="C260" s="46">
        <v>2021</v>
      </c>
      <c r="D260" s="45" t="s">
        <v>129</v>
      </c>
      <c r="E260" s="47">
        <v>9</v>
      </c>
      <c r="F260" s="48">
        <v>1967.153</v>
      </c>
      <c r="G260" s="48">
        <v>1056.0820000000001</v>
      </c>
    </row>
    <row r="261" spans="1:7" ht="10.050000000000001" customHeight="1">
      <c r="A261" s="45" t="s">
        <v>154</v>
      </c>
      <c r="B261" s="45" t="s">
        <v>80</v>
      </c>
      <c r="C261" s="46">
        <v>2021</v>
      </c>
      <c r="D261" s="45" t="s">
        <v>129</v>
      </c>
      <c r="E261" s="47">
        <v>10</v>
      </c>
      <c r="F261" s="48">
        <v>1542.538</v>
      </c>
      <c r="G261" s="48">
        <v>1010.347</v>
      </c>
    </row>
    <row r="262" spans="1:7" ht="10.050000000000001" customHeight="1">
      <c r="A262" s="45" t="s">
        <v>154</v>
      </c>
      <c r="B262" s="45" t="s">
        <v>80</v>
      </c>
      <c r="C262" s="46">
        <v>2021</v>
      </c>
      <c r="D262" s="45" t="s">
        <v>129</v>
      </c>
      <c r="E262" s="47">
        <v>11</v>
      </c>
      <c r="F262" s="48">
        <v>4131.3209999999999</v>
      </c>
      <c r="G262" s="48">
        <v>1234.8209999999999</v>
      </c>
    </row>
    <row r="263" spans="1:7" ht="10.050000000000001" customHeight="1">
      <c r="A263" s="45" t="s">
        <v>154</v>
      </c>
      <c r="B263" s="45" t="s">
        <v>80</v>
      </c>
      <c r="C263" s="46">
        <v>2021</v>
      </c>
      <c r="D263" s="45" t="s">
        <v>129</v>
      </c>
      <c r="E263" s="47">
        <v>12</v>
      </c>
      <c r="F263" s="48">
        <v>1131.8610000000001</v>
      </c>
      <c r="G263" s="48">
        <v>1200.51</v>
      </c>
    </row>
    <row r="264" spans="1:7" ht="10.050000000000001" customHeight="1">
      <c r="A264" s="45" t="s">
        <v>154</v>
      </c>
      <c r="B264" s="45" t="s">
        <v>80</v>
      </c>
      <c r="C264" s="46">
        <v>2022</v>
      </c>
      <c r="D264" s="45" t="s">
        <v>129</v>
      </c>
      <c r="E264" s="47">
        <v>1</v>
      </c>
      <c r="F264" s="48">
        <v>1095.694</v>
      </c>
      <c r="G264" s="48">
        <v>1055.143</v>
      </c>
    </row>
    <row r="265" spans="1:7" ht="10.050000000000001" customHeight="1">
      <c r="A265" s="45" t="s">
        <v>154</v>
      </c>
      <c r="B265" s="45" t="s">
        <v>80</v>
      </c>
      <c r="C265" s="46">
        <v>2022</v>
      </c>
      <c r="D265" s="45" t="s">
        <v>129</v>
      </c>
      <c r="E265" s="47">
        <v>2</v>
      </c>
      <c r="F265" s="48">
        <v>981.04899999999998</v>
      </c>
      <c r="G265" s="48">
        <v>1047.107</v>
      </c>
    </row>
    <row r="266" spans="1:7" ht="10.050000000000001" customHeight="1">
      <c r="A266" s="45" t="s">
        <v>154</v>
      </c>
      <c r="B266" s="45" t="s">
        <v>80</v>
      </c>
      <c r="C266" s="46">
        <v>2022</v>
      </c>
      <c r="D266" s="45" t="s">
        <v>129</v>
      </c>
      <c r="E266" s="47">
        <v>3</v>
      </c>
      <c r="F266" s="48">
        <v>1302.2460000000001</v>
      </c>
      <c r="G266" s="48">
        <v>1247.32</v>
      </c>
    </row>
    <row r="267" spans="1:7" ht="10.050000000000001" customHeight="1">
      <c r="A267" s="45" t="s">
        <v>154</v>
      </c>
      <c r="B267" s="45" t="s">
        <v>80</v>
      </c>
      <c r="C267" s="46">
        <v>2022</v>
      </c>
      <c r="D267" s="45" t="s">
        <v>129</v>
      </c>
      <c r="E267" s="47">
        <v>4</v>
      </c>
      <c r="F267" s="48">
        <v>582.68700000000001</v>
      </c>
      <c r="G267" s="48">
        <v>1241.6089999999999</v>
      </c>
    </row>
    <row r="268" spans="1:7" ht="10.050000000000001" customHeight="1">
      <c r="A268" s="45" t="s">
        <v>154</v>
      </c>
      <c r="B268" s="45" t="s">
        <v>80</v>
      </c>
      <c r="C268" s="46">
        <v>2022</v>
      </c>
      <c r="D268" s="45" t="s">
        <v>129</v>
      </c>
      <c r="E268" s="47">
        <v>5</v>
      </c>
      <c r="F268" s="48">
        <v>638.82299999999998</v>
      </c>
      <c r="G268" s="48">
        <v>1106.9949999999999</v>
      </c>
    </row>
    <row r="269" spans="1:7" ht="10.050000000000001" customHeight="1">
      <c r="A269" s="45" t="s">
        <v>154</v>
      </c>
      <c r="B269" s="45" t="s">
        <v>80</v>
      </c>
      <c r="C269" s="46">
        <v>2022</v>
      </c>
      <c r="D269" s="45" t="s">
        <v>129</v>
      </c>
      <c r="E269" s="47">
        <v>6</v>
      </c>
      <c r="F269" s="48">
        <v>600.82399999999996</v>
      </c>
      <c r="G269" s="48">
        <v>1035.144</v>
      </c>
    </row>
    <row r="270" spans="1:7" ht="10.050000000000001" customHeight="1">
      <c r="A270" s="45" t="s">
        <v>154</v>
      </c>
      <c r="B270" s="45" t="s">
        <v>80</v>
      </c>
      <c r="C270" s="46">
        <v>2022</v>
      </c>
      <c r="D270" s="45" t="s">
        <v>130</v>
      </c>
      <c r="E270" s="47">
        <v>7</v>
      </c>
      <c r="F270" s="48">
        <v>573.17499999999995</v>
      </c>
      <c r="G270" s="48">
        <v>1445.8040000000001</v>
      </c>
    </row>
    <row r="271" spans="1:7" ht="10.050000000000001" customHeight="1">
      <c r="A271" s="45" t="s">
        <v>154</v>
      </c>
      <c r="B271" s="45" t="s">
        <v>80</v>
      </c>
      <c r="C271" s="46">
        <v>2022</v>
      </c>
      <c r="D271" s="45" t="s">
        <v>130</v>
      </c>
      <c r="E271" s="47">
        <v>8</v>
      </c>
      <c r="F271" s="48">
        <v>1096.8489999999999</v>
      </c>
      <c r="G271" s="48">
        <v>1188.9359999999999</v>
      </c>
    </row>
    <row r="272" spans="1:7" ht="10.050000000000001" customHeight="1">
      <c r="A272" s="45" t="s">
        <v>154</v>
      </c>
      <c r="B272" s="45" t="s">
        <v>80</v>
      </c>
      <c r="C272" s="46">
        <v>2022</v>
      </c>
      <c r="D272" s="45" t="s">
        <v>130</v>
      </c>
      <c r="E272" s="47">
        <v>9</v>
      </c>
      <c r="F272" s="48">
        <v>893.76499999999999</v>
      </c>
      <c r="G272" s="48">
        <v>1200.155</v>
      </c>
    </row>
    <row r="273" spans="1:7" ht="10.050000000000001" customHeight="1">
      <c r="A273" s="45" t="s">
        <v>154</v>
      </c>
      <c r="B273" s="45" t="s">
        <v>80</v>
      </c>
      <c r="C273" s="46">
        <v>2022</v>
      </c>
      <c r="D273" s="45" t="s">
        <v>130</v>
      </c>
      <c r="E273" s="47">
        <v>10</v>
      </c>
      <c r="F273" s="48">
        <v>1105.76</v>
      </c>
      <c r="G273" s="48">
        <v>1338.6980000000001</v>
      </c>
    </row>
    <row r="274" spans="1:7" ht="10.050000000000001" customHeight="1">
      <c r="A274" s="45" t="s">
        <v>154</v>
      </c>
      <c r="B274" s="45" t="s">
        <v>80</v>
      </c>
      <c r="C274" s="46">
        <v>2022</v>
      </c>
      <c r="D274" s="45" t="s">
        <v>130</v>
      </c>
      <c r="E274" s="47">
        <v>11</v>
      </c>
      <c r="F274" s="48">
        <v>1185.3130000000001</v>
      </c>
      <c r="G274" s="48">
        <v>1094.0840000000001</v>
      </c>
    </row>
    <row r="275" spans="1:7" ht="10.050000000000001" customHeight="1">
      <c r="A275" s="45" t="s">
        <v>154</v>
      </c>
      <c r="B275" s="45" t="s">
        <v>80</v>
      </c>
      <c r="C275" s="46">
        <v>2022</v>
      </c>
      <c r="D275" s="45" t="s">
        <v>130</v>
      </c>
      <c r="E275" s="47">
        <v>12</v>
      </c>
      <c r="F275" s="48">
        <v>1063.268</v>
      </c>
      <c r="G275" s="48">
        <v>1082.098</v>
      </c>
    </row>
    <row r="276" spans="1:7" ht="10.050000000000001" customHeight="1">
      <c r="A276" s="45" t="s">
        <v>154</v>
      </c>
      <c r="B276" s="45" t="s">
        <v>80</v>
      </c>
      <c r="C276" s="46">
        <v>2023</v>
      </c>
      <c r="D276" s="45" t="s">
        <v>130</v>
      </c>
      <c r="E276" s="47">
        <v>1</v>
      </c>
      <c r="F276" s="48">
        <v>1193.0360000000001</v>
      </c>
      <c r="G276" s="48">
        <v>1138.6220000000001</v>
      </c>
    </row>
    <row r="277" spans="1:7" ht="10.050000000000001" customHeight="1">
      <c r="A277" s="45" t="s">
        <v>154</v>
      </c>
      <c r="B277" s="45" t="s">
        <v>80</v>
      </c>
      <c r="C277" s="46">
        <v>2023</v>
      </c>
      <c r="D277" s="45" t="s">
        <v>130</v>
      </c>
      <c r="E277" s="47">
        <v>2</v>
      </c>
      <c r="F277" s="48">
        <v>958.86699999999996</v>
      </c>
      <c r="G277" s="48">
        <v>1032.0150000000001</v>
      </c>
    </row>
    <row r="278" spans="1:7" ht="10.050000000000001" customHeight="1">
      <c r="A278" s="45" t="s">
        <v>154</v>
      </c>
      <c r="B278" s="45" t="s">
        <v>80</v>
      </c>
      <c r="C278" s="46">
        <v>2023</v>
      </c>
      <c r="D278" s="45" t="s">
        <v>130</v>
      </c>
      <c r="E278" s="47">
        <v>3</v>
      </c>
      <c r="F278" s="48">
        <v>1310.7270000000001</v>
      </c>
      <c r="G278" s="48">
        <v>993.54399999999998</v>
      </c>
    </row>
    <row r="279" spans="1:7" ht="10.050000000000001" customHeight="1">
      <c r="A279" s="45" t="s">
        <v>154</v>
      </c>
      <c r="B279" s="45" t="s">
        <v>80</v>
      </c>
      <c r="C279" s="46">
        <v>2023</v>
      </c>
      <c r="D279" s="45" t="s">
        <v>130</v>
      </c>
      <c r="E279" s="47">
        <v>4</v>
      </c>
      <c r="F279" s="48">
        <v>1299.5619999999999</v>
      </c>
      <c r="G279" s="48">
        <v>1011.425</v>
      </c>
    </row>
    <row r="280" spans="1:7" ht="10.050000000000001" customHeight="1">
      <c r="A280" s="45" t="s">
        <v>154</v>
      </c>
      <c r="B280" s="45" t="s">
        <v>80</v>
      </c>
      <c r="C280" s="46">
        <v>2023</v>
      </c>
      <c r="D280" s="45" t="s">
        <v>130</v>
      </c>
      <c r="E280" s="47">
        <v>5</v>
      </c>
      <c r="F280" s="48">
        <v>1394.9290000000001</v>
      </c>
      <c r="G280" s="48">
        <v>1105.3879999999999</v>
      </c>
    </row>
    <row r="281" spans="1:7" ht="10.050000000000001" customHeight="1">
      <c r="A281" s="45" t="s">
        <v>154</v>
      </c>
      <c r="B281" s="45" t="s">
        <v>80</v>
      </c>
      <c r="C281" s="46">
        <v>2023</v>
      </c>
      <c r="D281" s="45" t="s">
        <v>130</v>
      </c>
      <c r="E281" s="47">
        <v>6</v>
      </c>
      <c r="F281" s="48">
        <v>1586.096</v>
      </c>
      <c r="G281" s="48">
        <v>2429.5529999999999</v>
      </c>
    </row>
    <row r="282" spans="1:7" ht="10.050000000000001" customHeight="1">
      <c r="A282" s="45" t="s">
        <v>154</v>
      </c>
      <c r="B282" s="45" t="s">
        <v>80</v>
      </c>
      <c r="C282" s="46">
        <v>2023</v>
      </c>
      <c r="D282" s="45" t="s">
        <v>131</v>
      </c>
      <c r="E282" s="47">
        <v>7</v>
      </c>
      <c r="F282" s="48">
        <v>1411.3019999999999</v>
      </c>
      <c r="G282" s="48">
        <v>3225.8690000000001</v>
      </c>
    </row>
    <row r="283" spans="1:7" ht="10.050000000000001" customHeight="1">
      <c r="A283" s="45" t="s">
        <v>154</v>
      </c>
      <c r="B283" s="45" t="s">
        <v>80</v>
      </c>
      <c r="C283" s="46">
        <v>2023</v>
      </c>
      <c r="D283" s="45" t="s">
        <v>131</v>
      </c>
      <c r="E283" s="47">
        <v>8</v>
      </c>
      <c r="F283" s="48">
        <v>1842.6559999999999</v>
      </c>
      <c r="G283" s="48">
        <v>2707.134</v>
      </c>
    </row>
    <row r="284" spans="1:7" ht="10.050000000000001" customHeight="1">
      <c r="A284" s="45" t="s">
        <v>154</v>
      </c>
      <c r="B284" s="45" t="s">
        <v>80</v>
      </c>
      <c r="C284" s="46">
        <v>2023</v>
      </c>
      <c r="D284" s="45" t="s">
        <v>131</v>
      </c>
      <c r="E284" s="47">
        <v>9</v>
      </c>
      <c r="F284" s="48">
        <v>1564.346</v>
      </c>
      <c r="G284" s="48">
        <v>2741.6309999999999</v>
      </c>
    </row>
    <row r="285" spans="1:7" ht="10.050000000000001" customHeight="1">
      <c r="A285" s="45" t="s">
        <v>154</v>
      </c>
      <c r="B285" s="45" t="s">
        <v>80</v>
      </c>
      <c r="C285" s="46">
        <v>2023</v>
      </c>
      <c r="D285" s="45" t="s">
        <v>131</v>
      </c>
      <c r="E285" s="47">
        <v>10</v>
      </c>
      <c r="F285" s="48">
        <v>1790.528</v>
      </c>
      <c r="G285" s="48">
        <v>2208.5100000000002</v>
      </c>
    </row>
    <row r="286" spans="1:7" ht="10.050000000000001" customHeight="1">
      <c r="A286" s="45" t="s">
        <v>154</v>
      </c>
      <c r="B286" s="45" t="s">
        <v>80</v>
      </c>
      <c r="C286" s="46">
        <v>2023</v>
      </c>
      <c r="D286" s="45" t="s">
        <v>131</v>
      </c>
      <c r="E286" s="47">
        <v>11</v>
      </c>
      <c r="F286" s="48">
        <v>1542.096</v>
      </c>
      <c r="G286" s="48">
        <v>2190.5160000000001</v>
      </c>
    </row>
    <row r="287" spans="1:7" ht="10.050000000000001" customHeight="1">
      <c r="A287" s="45" t="s">
        <v>154</v>
      </c>
      <c r="B287" s="45" t="s">
        <v>80</v>
      </c>
      <c r="C287" s="46">
        <v>2023</v>
      </c>
      <c r="D287" s="45" t="s">
        <v>131</v>
      </c>
      <c r="E287" s="47">
        <v>12</v>
      </c>
      <c r="F287" s="48">
        <v>1478.231</v>
      </c>
      <c r="G287" s="48">
        <v>3029.85</v>
      </c>
    </row>
    <row r="288" spans="1:7" ht="10.050000000000001" customHeight="1">
      <c r="A288" s="45" t="s">
        <v>154</v>
      </c>
      <c r="B288" s="45" t="s">
        <v>80</v>
      </c>
      <c r="C288" s="46">
        <v>2024</v>
      </c>
      <c r="D288" s="45" t="s">
        <v>131</v>
      </c>
      <c r="E288" s="47">
        <v>1</v>
      </c>
      <c r="F288" s="48">
        <v>3181.9679999999998</v>
      </c>
      <c r="G288" s="48">
        <v>1220.5709999999999</v>
      </c>
    </row>
    <row r="289" spans="1:7" ht="10.050000000000001" customHeight="1">
      <c r="A289" s="45" t="s">
        <v>154</v>
      </c>
      <c r="B289" s="45" t="s">
        <v>80</v>
      </c>
      <c r="C289" s="46">
        <v>2024</v>
      </c>
      <c r="D289" s="45" t="s">
        <v>131</v>
      </c>
      <c r="E289" s="47">
        <v>2</v>
      </c>
      <c r="F289" s="48">
        <v>1142.9929999999999</v>
      </c>
      <c r="G289" s="48">
        <v>1391.087</v>
      </c>
    </row>
    <row r="290" spans="1:7" ht="10.050000000000001" customHeight="1">
      <c r="A290" s="45" t="s">
        <v>154</v>
      </c>
      <c r="B290" s="45" t="s">
        <v>80</v>
      </c>
      <c r="C290" s="46">
        <v>2024</v>
      </c>
      <c r="D290" s="45" t="s">
        <v>131</v>
      </c>
      <c r="E290" s="47">
        <v>3</v>
      </c>
      <c r="F290" s="48">
        <v>1377.3409999999999</v>
      </c>
      <c r="G290" s="48">
        <v>1375.002</v>
      </c>
    </row>
    <row r="291" spans="1:7" ht="10.050000000000001" customHeight="1">
      <c r="A291" s="45" t="s">
        <v>154</v>
      </c>
      <c r="B291" s="45" t="s">
        <v>80</v>
      </c>
      <c r="C291" s="46">
        <v>2024</v>
      </c>
      <c r="D291" s="45" t="s">
        <v>131</v>
      </c>
      <c r="E291" s="47">
        <v>4</v>
      </c>
      <c r="F291" s="48">
        <v>1090.752</v>
      </c>
      <c r="G291" s="48">
        <v>1431.374</v>
      </c>
    </row>
    <row r="292" spans="1:7" ht="10.050000000000001" customHeight="1">
      <c r="A292" s="45" t="s">
        <v>154</v>
      </c>
      <c r="B292" s="45" t="s">
        <v>80</v>
      </c>
      <c r="C292" s="46">
        <v>2024</v>
      </c>
      <c r="D292" s="45" t="s">
        <v>131</v>
      </c>
      <c r="E292" s="47">
        <v>5</v>
      </c>
      <c r="F292" s="48">
        <v>1235.3440000000001</v>
      </c>
      <c r="G292" s="48">
        <v>1404.7460000000001</v>
      </c>
    </row>
    <row r="293" spans="1:7" ht="10.050000000000001" customHeight="1">
      <c r="A293" s="45" t="s">
        <v>154</v>
      </c>
      <c r="B293" s="45" t="s">
        <v>80</v>
      </c>
      <c r="C293" s="46">
        <v>2024</v>
      </c>
      <c r="D293" s="45" t="s">
        <v>131</v>
      </c>
      <c r="E293" s="47">
        <v>6</v>
      </c>
      <c r="F293" s="48">
        <v>1372.4380000000001</v>
      </c>
      <c r="G293" s="48">
        <v>997.70100000000002</v>
      </c>
    </row>
    <row r="294" spans="1:7" ht="10.050000000000001" customHeight="1">
      <c r="A294" s="45" t="s">
        <v>154</v>
      </c>
      <c r="B294" s="45" t="s">
        <v>80</v>
      </c>
      <c r="C294" s="46">
        <v>2024</v>
      </c>
      <c r="D294" s="45" t="s">
        <v>132</v>
      </c>
      <c r="E294" s="47">
        <v>7</v>
      </c>
      <c r="F294" s="48">
        <v>1099.7639999999999</v>
      </c>
      <c r="G294" s="48">
        <v>2094.5729999999999</v>
      </c>
    </row>
    <row r="295" spans="1:7" ht="10.050000000000001" customHeight="1">
      <c r="A295" s="45" t="s">
        <v>154</v>
      </c>
      <c r="B295" s="45" t="s">
        <v>80</v>
      </c>
      <c r="C295" s="46">
        <v>2024</v>
      </c>
      <c r="D295" s="45" t="s">
        <v>132</v>
      </c>
      <c r="E295" s="47">
        <v>8</v>
      </c>
      <c r="F295" s="48">
        <v>1085.2819999999999</v>
      </c>
      <c r="G295" s="48">
        <v>4545.37</v>
      </c>
    </row>
    <row r="296" spans="1:7" ht="10.050000000000001" customHeight="1">
      <c r="A296" s="45" t="s">
        <v>154</v>
      </c>
      <c r="B296" s="45" t="s">
        <v>80</v>
      </c>
      <c r="C296" s="46">
        <v>2024</v>
      </c>
      <c r="D296" s="45" t="s">
        <v>132</v>
      </c>
      <c r="E296" s="47">
        <v>9</v>
      </c>
      <c r="F296" s="48">
        <v>1051.0409999999999</v>
      </c>
      <c r="G296" s="48">
        <v>4201.0649999999996</v>
      </c>
    </row>
    <row r="297" spans="1:7" ht="10.050000000000001" customHeight="1">
      <c r="A297" s="45" t="s">
        <v>154</v>
      </c>
      <c r="B297" s="45" t="s">
        <v>80</v>
      </c>
      <c r="C297" s="46">
        <v>2024</v>
      </c>
      <c r="D297" s="45" t="s">
        <v>132</v>
      </c>
      <c r="E297" s="47">
        <v>10</v>
      </c>
      <c r="F297" s="48">
        <v>1362.761</v>
      </c>
      <c r="G297" s="48">
        <v>3590.2559999999999</v>
      </c>
    </row>
    <row r="298" spans="1:7" ht="10.050000000000001" customHeight="1">
      <c r="A298" s="45" t="s">
        <v>154</v>
      </c>
      <c r="B298" s="45" t="s">
        <v>80</v>
      </c>
      <c r="C298" s="46">
        <v>2024</v>
      </c>
      <c r="D298" s="45" t="s">
        <v>132</v>
      </c>
      <c r="E298" s="47">
        <v>11</v>
      </c>
      <c r="F298" s="48">
        <v>957.48500000000001</v>
      </c>
      <c r="G298" s="48">
        <v>3177.982</v>
      </c>
    </row>
    <row r="299" spans="1:7" ht="10.050000000000001" customHeight="1">
      <c r="A299" s="45" t="s">
        <v>154</v>
      </c>
      <c r="B299" s="45" t="s">
        <v>80</v>
      </c>
      <c r="C299" s="46">
        <v>2024</v>
      </c>
      <c r="D299" s="45" t="s">
        <v>132</v>
      </c>
      <c r="E299" s="47">
        <v>12</v>
      </c>
      <c r="F299" s="48">
        <v>728.44200000000001</v>
      </c>
      <c r="G299" s="48">
        <v>2804.5720000000001</v>
      </c>
    </row>
    <row r="300" spans="1:7" ht="10.050000000000001" customHeight="1">
      <c r="A300" s="45" t="s">
        <v>154</v>
      </c>
      <c r="B300" s="45" t="s">
        <v>83</v>
      </c>
      <c r="C300" s="46">
        <v>2000</v>
      </c>
      <c r="D300" s="45" t="s">
        <v>107</v>
      </c>
      <c r="E300" s="47">
        <v>7</v>
      </c>
      <c r="F300" s="48">
        <v>10</v>
      </c>
      <c r="G300" s="48">
        <v>15.4</v>
      </c>
    </row>
    <row r="301" spans="1:7" ht="10.050000000000001" customHeight="1">
      <c r="A301" s="45" t="s">
        <v>154</v>
      </c>
      <c r="B301" s="45" t="s">
        <v>83</v>
      </c>
      <c r="C301" s="46">
        <v>2000</v>
      </c>
      <c r="D301" s="45" t="s">
        <v>107</v>
      </c>
      <c r="E301" s="47">
        <v>8</v>
      </c>
      <c r="F301" s="48">
        <v>34.299999999999997</v>
      </c>
      <c r="G301" s="48">
        <v>9.8000000000000007</v>
      </c>
    </row>
    <row r="302" spans="1:7" ht="10.050000000000001" customHeight="1">
      <c r="A302" s="45" t="s">
        <v>154</v>
      </c>
      <c r="B302" s="45" t="s">
        <v>83</v>
      </c>
      <c r="C302" s="46">
        <v>2000</v>
      </c>
      <c r="D302" s="45" t="s">
        <v>107</v>
      </c>
      <c r="E302" s="47">
        <v>9</v>
      </c>
      <c r="F302" s="48">
        <v>15.1</v>
      </c>
      <c r="G302" s="48">
        <v>3.9</v>
      </c>
    </row>
    <row r="303" spans="1:7" ht="10.050000000000001" customHeight="1">
      <c r="A303" s="45" t="s">
        <v>154</v>
      </c>
      <c r="B303" s="45" t="s">
        <v>83</v>
      </c>
      <c r="C303" s="46">
        <v>2000</v>
      </c>
      <c r="D303" s="45" t="s">
        <v>107</v>
      </c>
      <c r="E303" s="47">
        <v>10</v>
      </c>
      <c r="F303" s="48">
        <v>46.5</v>
      </c>
      <c r="G303" s="48">
        <v>12.7</v>
      </c>
    </row>
    <row r="304" spans="1:7" ht="10.050000000000001" customHeight="1">
      <c r="A304" s="45" t="s">
        <v>154</v>
      </c>
      <c r="B304" s="45" t="s">
        <v>83</v>
      </c>
      <c r="C304" s="46">
        <v>2000</v>
      </c>
      <c r="D304" s="45" t="s">
        <v>107</v>
      </c>
      <c r="E304" s="47">
        <v>11</v>
      </c>
      <c r="F304" s="48">
        <v>34.5</v>
      </c>
      <c r="G304" s="48">
        <v>12.3</v>
      </c>
    </row>
    <row r="305" spans="1:7" ht="10.050000000000001" customHeight="1">
      <c r="A305" s="45" t="s">
        <v>154</v>
      </c>
      <c r="B305" s="45" t="s">
        <v>83</v>
      </c>
      <c r="C305" s="46">
        <v>2000</v>
      </c>
      <c r="D305" s="45" t="s">
        <v>107</v>
      </c>
      <c r="E305" s="47">
        <v>12</v>
      </c>
      <c r="F305" s="48">
        <v>41</v>
      </c>
      <c r="G305" s="48">
        <v>4.4000000000000004</v>
      </c>
    </row>
    <row r="306" spans="1:7" ht="10.050000000000001" customHeight="1">
      <c r="A306" s="45" t="s">
        <v>154</v>
      </c>
      <c r="B306" s="45" t="s">
        <v>83</v>
      </c>
      <c r="C306" s="46">
        <v>2001</v>
      </c>
      <c r="D306" s="45" t="s">
        <v>107</v>
      </c>
      <c r="E306" s="47">
        <v>1</v>
      </c>
      <c r="F306" s="48">
        <v>31.1</v>
      </c>
      <c r="G306" s="48">
        <v>29.7</v>
      </c>
    </row>
    <row r="307" spans="1:7" ht="10.050000000000001" customHeight="1">
      <c r="A307" s="45" t="s">
        <v>154</v>
      </c>
      <c r="B307" s="45" t="s">
        <v>83</v>
      </c>
      <c r="C307" s="46">
        <v>2001</v>
      </c>
      <c r="D307" s="45" t="s">
        <v>107</v>
      </c>
      <c r="E307" s="47">
        <v>2</v>
      </c>
      <c r="F307" s="48">
        <v>21.2</v>
      </c>
      <c r="G307" s="48">
        <v>8.5</v>
      </c>
    </row>
    <row r="308" spans="1:7" ht="10.050000000000001" customHeight="1">
      <c r="A308" s="45" t="s">
        <v>154</v>
      </c>
      <c r="B308" s="45" t="s">
        <v>83</v>
      </c>
      <c r="C308" s="46">
        <v>2001</v>
      </c>
      <c r="D308" s="45" t="s">
        <v>107</v>
      </c>
      <c r="E308" s="47">
        <v>3</v>
      </c>
      <c r="F308" s="48">
        <v>71.599999999999994</v>
      </c>
      <c r="G308" s="48">
        <v>4.0999999999999996</v>
      </c>
    </row>
    <row r="309" spans="1:7" ht="10.050000000000001" customHeight="1">
      <c r="A309" s="45" t="s">
        <v>154</v>
      </c>
      <c r="B309" s="45" t="s">
        <v>83</v>
      </c>
      <c r="C309" s="46">
        <v>2001</v>
      </c>
      <c r="D309" s="45" t="s">
        <v>107</v>
      </c>
      <c r="E309" s="47">
        <v>4</v>
      </c>
      <c r="F309" s="48">
        <v>17.3</v>
      </c>
      <c r="G309" s="48">
        <v>12.5</v>
      </c>
    </row>
    <row r="310" spans="1:7" ht="10.050000000000001" customHeight="1">
      <c r="A310" s="45" t="s">
        <v>154</v>
      </c>
      <c r="B310" s="45" t="s">
        <v>83</v>
      </c>
      <c r="C310" s="46">
        <v>2001</v>
      </c>
      <c r="D310" s="45" t="s">
        <v>107</v>
      </c>
      <c r="E310" s="47">
        <v>5</v>
      </c>
      <c r="F310" s="48">
        <v>1.8</v>
      </c>
      <c r="G310" s="48">
        <v>10.7</v>
      </c>
    </row>
    <row r="311" spans="1:7" ht="10.050000000000001" customHeight="1">
      <c r="A311" s="45" t="s">
        <v>154</v>
      </c>
      <c r="B311" s="45" t="s">
        <v>83</v>
      </c>
      <c r="C311" s="46">
        <v>2001</v>
      </c>
      <c r="D311" s="45" t="s">
        <v>107</v>
      </c>
      <c r="E311" s="47">
        <v>6</v>
      </c>
      <c r="F311" s="48">
        <v>17.399999999999999</v>
      </c>
      <c r="G311" s="48">
        <v>20.100000000000001</v>
      </c>
    </row>
    <row r="312" spans="1:7" ht="10.050000000000001" customHeight="1">
      <c r="A312" s="45" t="s">
        <v>154</v>
      </c>
      <c r="B312" s="45" t="s">
        <v>83</v>
      </c>
      <c r="C312" s="46">
        <v>2001</v>
      </c>
      <c r="D312" s="45" t="s">
        <v>110</v>
      </c>
      <c r="E312" s="47">
        <v>7</v>
      </c>
      <c r="F312" s="48">
        <v>17.2</v>
      </c>
      <c r="G312" s="48">
        <v>47.8</v>
      </c>
    </row>
    <row r="313" spans="1:7" ht="10.050000000000001" customHeight="1">
      <c r="A313" s="45" t="s">
        <v>154</v>
      </c>
      <c r="B313" s="45" t="s">
        <v>83</v>
      </c>
      <c r="C313" s="46">
        <v>2001</v>
      </c>
      <c r="D313" s="45" t="s">
        <v>110</v>
      </c>
      <c r="E313" s="47">
        <v>8</v>
      </c>
      <c r="F313" s="48">
        <v>133.1</v>
      </c>
      <c r="G313" s="48">
        <v>8.4</v>
      </c>
    </row>
    <row r="314" spans="1:7" ht="10.050000000000001" customHeight="1">
      <c r="A314" s="45" t="s">
        <v>154</v>
      </c>
      <c r="B314" s="45" t="s">
        <v>83</v>
      </c>
      <c r="C314" s="46">
        <v>2001</v>
      </c>
      <c r="D314" s="45" t="s">
        <v>110</v>
      </c>
      <c r="E314" s="47">
        <v>9</v>
      </c>
      <c r="F314" s="48">
        <v>85.3</v>
      </c>
      <c r="G314" s="48">
        <v>57.9</v>
      </c>
    </row>
    <row r="315" spans="1:7" ht="10.050000000000001" customHeight="1">
      <c r="A315" s="45" t="s">
        <v>154</v>
      </c>
      <c r="B315" s="45" t="s">
        <v>83</v>
      </c>
      <c r="C315" s="46">
        <v>2001</v>
      </c>
      <c r="D315" s="45" t="s">
        <v>110</v>
      </c>
      <c r="E315" s="47">
        <v>10</v>
      </c>
      <c r="F315" s="48">
        <v>153.6</v>
      </c>
      <c r="G315" s="48">
        <v>14.5</v>
      </c>
    </row>
    <row r="316" spans="1:7" ht="10.050000000000001" customHeight="1">
      <c r="A316" s="45" t="s">
        <v>154</v>
      </c>
      <c r="B316" s="45" t="s">
        <v>83</v>
      </c>
      <c r="C316" s="46">
        <v>2001</v>
      </c>
      <c r="D316" s="45" t="s">
        <v>110</v>
      </c>
      <c r="E316" s="47">
        <v>11</v>
      </c>
      <c r="F316" s="48">
        <v>90.7</v>
      </c>
      <c r="G316" s="48">
        <v>55.3</v>
      </c>
    </row>
    <row r="317" spans="1:7" ht="10.050000000000001" customHeight="1">
      <c r="A317" s="45" t="s">
        <v>154</v>
      </c>
      <c r="B317" s="45" t="s">
        <v>83</v>
      </c>
      <c r="C317" s="46">
        <v>2001</v>
      </c>
      <c r="D317" s="45" t="s">
        <v>110</v>
      </c>
      <c r="E317" s="47">
        <v>12</v>
      </c>
      <c r="F317" s="48">
        <v>102.7</v>
      </c>
      <c r="G317" s="48">
        <v>30.1</v>
      </c>
    </row>
    <row r="318" spans="1:7" ht="10.050000000000001" customHeight="1">
      <c r="A318" s="45" t="s">
        <v>154</v>
      </c>
      <c r="B318" s="45" t="s">
        <v>83</v>
      </c>
      <c r="C318" s="46">
        <v>2002</v>
      </c>
      <c r="D318" s="45" t="s">
        <v>110</v>
      </c>
      <c r="E318" s="47">
        <v>1</v>
      </c>
      <c r="F318" s="48">
        <v>120.4</v>
      </c>
      <c r="G318" s="48">
        <v>45.2</v>
      </c>
    </row>
    <row r="319" spans="1:7" ht="10.050000000000001" customHeight="1">
      <c r="A319" s="45" t="s">
        <v>154</v>
      </c>
      <c r="B319" s="45" t="s">
        <v>83</v>
      </c>
      <c r="C319" s="46">
        <v>2002</v>
      </c>
      <c r="D319" s="45" t="s">
        <v>110</v>
      </c>
      <c r="E319" s="47">
        <v>2</v>
      </c>
      <c r="F319" s="48">
        <v>101.6</v>
      </c>
      <c r="G319" s="48">
        <v>46.3</v>
      </c>
    </row>
    <row r="320" spans="1:7" ht="10.050000000000001" customHeight="1">
      <c r="A320" s="45" t="s">
        <v>154</v>
      </c>
      <c r="B320" s="45" t="s">
        <v>83</v>
      </c>
      <c r="C320" s="46">
        <v>2002</v>
      </c>
      <c r="D320" s="45" t="s">
        <v>110</v>
      </c>
      <c r="E320" s="47">
        <v>3</v>
      </c>
      <c r="F320" s="48">
        <v>99.6</v>
      </c>
      <c r="G320" s="48">
        <v>57.2</v>
      </c>
    </row>
    <row r="321" spans="1:7" ht="10.050000000000001" customHeight="1">
      <c r="A321" s="45" t="s">
        <v>154</v>
      </c>
      <c r="B321" s="45" t="s">
        <v>83</v>
      </c>
      <c r="C321" s="46">
        <v>2002</v>
      </c>
      <c r="D321" s="45" t="s">
        <v>110</v>
      </c>
      <c r="E321" s="47">
        <v>4</v>
      </c>
      <c r="F321" s="48">
        <v>87</v>
      </c>
      <c r="G321" s="48">
        <v>51.8</v>
      </c>
    </row>
    <row r="322" spans="1:7" ht="10.050000000000001" customHeight="1">
      <c r="A322" s="45" t="s">
        <v>154</v>
      </c>
      <c r="B322" s="45" t="s">
        <v>83</v>
      </c>
      <c r="C322" s="46">
        <v>2002</v>
      </c>
      <c r="D322" s="45" t="s">
        <v>110</v>
      </c>
      <c r="E322" s="47">
        <v>5</v>
      </c>
      <c r="F322" s="48">
        <v>113.4</v>
      </c>
      <c r="G322" s="48">
        <v>22.9</v>
      </c>
    </row>
    <row r="323" spans="1:7" ht="10.050000000000001" customHeight="1">
      <c r="A323" s="45" t="s">
        <v>154</v>
      </c>
      <c r="B323" s="45" t="s">
        <v>83</v>
      </c>
      <c r="C323" s="46">
        <v>2002</v>
      </c>
      <c r="D323" s="45" t="s">
        <v>110</v>
      </c>
      <c r="E323" s="47">
        <v>6</v>
      </c>
      <c r="F323" s="48">
        <v>108.8</v>
      </c>
      <c r="G323" s="48">
        <v>39.6</v>
      </c>
    </row>
    <row r="324" spans="1:7" ht="10.050000000000001" customHeight="1">
      <c r="A324" s="45" t="s">
        <v>154</v>
      </c>
      <c r="B324" s="45" t="s">
        <v>83</v>
      </c>
      <c r="C324" s="46">
        <v>2002</v>
      </c>
      <c r="D324" s="45" t="s">
        <v>111</v>
      </c>
      <c r="E324" s="47">
        <v>7</v>
      </c>
      <c r="F324" s="48">
        <v>154</v>
      </c>
      <c r="G324" s="48">
        <v>16.899999999999999</v>
      </c>
    </row>
    <row r="325" spans="1:7" ht="10.050000000000001" customHeight="1">
      <c r="A325" s="45" t="s">
        <v>154</v>
      </c>
      <c r="B325" s="45" t="s">
        <v>83</v>
      </c>
      <c r="C325" s="46">
        <v>2002</v>
      </c>
      <c r="D325" s="45" t="s">
        <v>111</v>
      </c>
      <c r="E325" s="47">
        <v>8</v>
      </c>
      <c r="F325" s="48">
        <v>128</v>
      </c>
      <c r="G325" s="48">
        <v>16.2</v>
      </c>
    </row>
    <row r="326" spans="1:7" ht="10.050000000000001" customHeight="1">
      <c r="A326" s="45" t="s">
        <v>154</v>
      </c>
      <c r="B326" s="45" t="s">
        <v>83</v>
      </c>
      <c r="C326" s="46">
        <v>2002</v>
      </c>
      <c r="D326" s="45" t="s">
        <v>111</v>
      </c>
      <c r="E326" s="47">
        <v>9</v>
      </c>
      <c r="F326" s="48">
        <v>135.19999999999999</v>
      </c>
      <c r="G326" s="48">
        <v>53.7</v>
      </c>
    </row>
    <row r="327" spans="1:7" ht="10.050000000000001" customHeight="1">
      <c r="A327" s="45" t="s">
        <v>154</v>
      </c>
      <c r="B327" s="45" t="s">
        <v>83</v>
      </c>
      <c r="C327" s="46">
        <v>2002</v>
      </c>
      <c r="D327" s="45" t="s">
        <v>111</v>
      </c>
      <c r="E327" s="47">
        <v>10</v>
      </c>
      <c r="F327" s="48">
        <v>171.4</v>
      </c>
      <c r="G327" s="48">
        <v>18.399999999999999</v>
      </c>
    </row>
    <row r="328" spans="1:7" ht="10.050000000000001" customHeight="1">
      <c r="A328" s="45" t="s">
        <v>154</v>
      </c>
      <c r="B328" s="45" t="s">
        <v>83</v>
      </c>
      <c r="C328" s="46">
        <v>2002</v>
      </c>
      <c r="D328" s="45" t="s">
        <v>111</v>
      </c>
      <c r="E328" s="47">
        <v>11</v>
      </c>
      <c r="F328" s="48">
        <v>172.4</v>
      </c>
      <c r="G328" s="48">
        <v>29.1</v>
      </c>
    </row>
    <row r="329" spans="1:7" ht="10.050000000000001" customHeight="1">
      <c r="A329" s="45" t="s">
        <v>154</v>
      </c>
      <c r="B329" s="45" t="s">
        <v>83</v>
      </c>
      <c r="C329" s="46">
        <v>2002</v>
      </c>
      <c r="D329" s="45" t="s">
        <v>111</v>
      </c>
      <c r="E329" s="47">
        <v>12</v>
      </c>
      <c r="F329" s="48">
        <v>121.1</v>
      </c>
      <c r="G329" s="48">
        <v>11.7</v>
      </c>
    </row>
    <row r="330" spans="1:7" ht="10.050000000000001" customHeight="1">
      <c r="A330" s="45" t="s">
        <v>154</v>
      </c>
      <c r="B330" s="45" t="s">
        <v>83</v>
      </c>
      <c r="C330" s="46">
        <v>2003</v>
      </c>
      <c r="D330" s="45" t="s">
        <v>111</v>
      </c>
      <c r="E330" s="47">
        <v>1</v>
      </c>
      <c r="F330" s="48">
        <v>155</v>
      </c>
      <c r="G330" s="48">
        <v>15.9</v>
      </c>
    </row>
    <row r="331" spans="1:7" ht="10.050000000000001" customHeight="1">
      <c r="A331" s="45" t="s">
        <v>154</v>
      </c>
      <c r="B331" s="45" t="s">
        <v>83</v>
      </c>
      <c r="C331" s="46">
        <v>2003</v>
      </c>
      <c r="D331" s="45" t="s">
        <v>111</v>
      </c>
      <c r="E331" s="47">
        <v>2</v>
      </c>
      <c r="F331" s="48">
        <v>113.2</v>
      </c>
      <c r="G331" s="48">
        <v>53.8</v>
      </c>
    </row>
    <row r="332" spans="1:7" ht="10.050000000000001" customHeight="1">
      <c r="A332" s="45" t="s">
        <v>154</v>
      </c>
      <c r="B332" s="45" t="s">
        <v>83</v>
      </c>
      <c r="C332" s="46">
        <v>2003</v>
      </c>
      <c r="D332" s="45" t="s">
        <v>111</v>
      </c>
      <c r="E332" s="47">
        <v>3</v>
      </c>
      <c r="F332" s="48">
        <v>78.400000000000006</v>
      </c>
      <c r="G332" s="48">
        <v>81.3</v>
      </c>
    </row>
    <row r="333" spans="1:7" ht="10.050000000000001" customHeight="1">
      <c r="A333" s="45" t="s">
        <v>154</v>
      </c>
      <c r="B333" s="45" t="s">
        <v>83</v>
      </c>
      <c r="C333" s="46">
        <v>2003</v>
      </c>
      <c r="D333" s="45" t="s">
        <v>111</v>
      </c>
      <c r="E333" s="47">
        <v>4</v>
      </c>
      <c r="F333" s="48">
        <v>117.1</v>
      </c>
      <c r="G333" s="48">
        <v>44.4</v>
      </c>
    </row>
    <row r="334" spans="1:7" ht="10.050000000000001" customHeight="1">
      <c r="A334" s="45" t="s">
        <v>154</v>
      </c>
      <c r="B334" s="45" t="s">
        <v>83</v>
      </c>
      <c r="C334" s="46">
        <v>2003</v>
      </c>
      <c r="D334" s="45" t="s">
        <v>111</v>
      </c>
      <c r="E334" s="47">
        <v>5</v>
      </c>
      <c r="F334" s="48">
        <v>113.8</v>
      </c>
      <c r="G334" s="48">
        <v>36.200000000000003</v>
      </c>
    </row>
    <row r="335" spans="1:7" ht="10.050000000000001" customHeight="1">
      <c r="A335" s="45" t="s">
        <v>154</v>
      </c>
      <c r="B335" s="45" t="s">
        <v>83</v>
      </c>
      <c r="C335" s="46">
        <v>2003</v>
      </c>
      <c r="D335" s="45" t="s">
        <v>111</v>
      </c>
      <c r="E335" s="47">
        <v>6</v>
      </c>
      <c r="F335" s="48">
        <v>138.5</v>
      </c>
      <c r="G335" s="48">
        <v>19.7</v>
      </c>
    </row>
    <row r="336" spans="1:7" ht="10.050000000000001" customHeight="1">
      <c r="A336" s="45" t="s">
        <v>154</v>
      </c>
      <c r="B336" s="45" t="s">
        <v>83</v>
      </c>
      <c r="C336" s="46">
        <v>2003</v>
      </c>
      <c r="D336" s="45" t="s">
        <v>108</v>
      </c>
      <c r="E336" s="47">
        <v>7</v>
      </c>
      <c r="F336" s="48">
        <v>135.4</v>
      </c>
      <c r="G336" s="48">
        <v>24.7</v>
      </c>
    </row>
    <row r="337" spans="1:7" ht="10.050000000000001" customHeight="1">
      <c r="A337" s="45" t="s">
        <v>154</v>
      </c>
      <c r="B337" s="45" t="s">
        <v>83</v>
      </c>
      <c r="C337" s="46">
        <v>2003</v>
      </c>
      <c r="D337" s="45" t="s">
        <v>108</v>
      </c>
      <c r="E337" s="47">
        <v>8</v>
      </c>
      <c r="F337" s="48">
        <v>100.6</v>
      </c>
      <c r="G337" s="48">
        <v>88.9</v>
      </c>
    </row>
    <row r="338" spans="1:7" ht="10.050000000000001" customHeight="1">
      <c r="A338" s="45" t="s">
        <v>154</v>
      </c>
      <c r="B338" s="45" t="s">
        <v>83</v>
      </c>
      <c r="C338" s="46">
        <v>2003</v>
      </c>
      <c r="D338" s="45" t="s">
        <v>108</v>
      </c>
      <c r="E338" s="47">
        <v>9</v>
      </c>
      <c r="F338" s="48">
        <v>126.5</v>
      </c>
      <c r="G338" s="48">
        <v>68</v>
      </c>
    </row>
    <row r="339" spans="1:7" ht="10.050000000000001" customHeight="1">
      <c r="A339" s="45" t="s">
        <v>154</v>
      </c>
      <c r="B339" s="45" t="s">
        <v>83</v>
      </c>
      <c r="C339" s="46">
        <v>2003</v>
      </c>
      <c r="D339" s="45" t="s">
        <v>108</v>
      </c>
      <c r="E339" s="47">
        <v>10</v>
      </c>
      <c r="F339" s="48">
        <v>20.399999999999999</v>
      </c>
      <c r="G339" s="48">
        <v>92.8</v>
      </c>
    </row>
    <row r="340" spans="1:7" ht="10.050000000000001" customHeight="1">
      <c r="A340" s="45" t="s">
        <v>154</v>
      </c>
      <c r="B340" s="45" t="s">
        <v>83</v>
      </c>
      <c r="C340" s="46">
        <v>2003</v>
      </c>
      <c r="D340" s="45" t="s">
        <v>108</v>
      </c>
      <c r="E340" s="47">
        <v>11</v>
      </c>
      <c r="F340" s="48">
        <v>117.6</v>
      </c>
      <c r="G340" s="48">
        <v>81.400000000000006</v>
      </c>
    </row>
    <row r="341" spans="1:7" ht="10.050000000000001" customHeight="1">
      <c r="A341" s="45" t="s">
        <v>154</v>
      </c>
      <c r="B341" s="45" t="s">
        <v>83</v>
      </c>
      <c r="C341" s="46">
        <v>2003</v>
      </c>
      <c r="D341" s="45" t="s">
        <v>108</v>
      </c>
      <c r="E341" s="47">
        <v>12</v>
      </c>
      <c r="F341" s="48">
        <v>93.8</v>
      </c>
      <c r="G341" s="48">
        <v>167.9</v>
      </c>
    </row>
    <row r="342" spans="1:7" ht="10.050000000000001" customHeight="1">
      <c r="A342" s="45" t="s">
        <v>154</v>
      </c>
      <c r="B342" s="45" t="s">
        <v>83</v>
      </c>
      <c r="C342" s="46">
        <v>2004</v>
      </c>
      <c r="D342" s="45" t="s">
        <v>108</v>
      </c>
      <c r="E342" s="47">
        <v>1</v>
      </c>
      <c r="F342" s="48">
        <v>106.6</v>
      </c>
      <c r="G342" s="48">
        <v>113.7</v>
      </c>
    </row>
    <row r="343" spans="1:7" ht="10.050000000000001" customHeight="1">
      <c r="A343" s="45" t="s">
        <v>154</v>
      </c>
      <c r="B343" s="45" t="s">
        <v>83</v>
      </c>
      <c r="C343" s="46">
        <v>2004</v>
      </c>
      <c r="D343" s="45" t="s">
        <v>108</v>
      </c>
      <c r="E343" s="47">
        <v>2</v>
      </c>
      <c r="F343" s="48">
        <v>89.3</v>
      </c>
      <c r="G343" s="48">
        <v>104</v>
      </c>
    </row>
    <row r="344" spans="1:7" ht="10.050000000000001" customHeight="1">
      <c r="A344" s="45" t="s">
        <v>154</v>
      </c>
      <c r="B344" s="45" t="s">
        <v>83</v>
      </c>
      <c r="C344" s="46">
        <v>2004</v>
      </c>
      <c r="D344" s="45" t="s">
        <v>108</v>
      </c>
      <c r="E344" s="47">
        <v>3</v>
      </c>
      <c r="F344" s="48">
        <v>98.7</v>
      </c>
      <c r="G344" s="48">
        <v>58.6</v>
      </c>
    </row>
    <row r="345" spans="1:7" ht="10.050000000000001" customHeight="1">
      <c r="A345" s="45" t="s">
        <v>154</v>
      </c>
      <c r="B345" s="45" t="s">
        <v>83</v>
      </c>
      <c r="C345" s="46">
        <v>2004</v>
      </c>
      <c r="D345" s="45" t="s">
        <v>108</v>
      </c>
      <c r="E345" s="47">
        <v>4</v>
      </c>
      <c r="F345" s="48">
        <v>95.2</v>
      </c>
      <c r="G345" s="48">
        <v>69.2</v>
      </c>
    </row>
    <row r="346" spans="1:7" ht="10.050000000000001" customHeight="1">
      <c r="A346" s="45" t="s">
        <v>154</v>
      </c>
      <c r="B346" s="45" t="s">
        <v>83</v>
      </c>
      <c r="C346" s="46">
        <v>2004</v>
      </c>
      <c r="D346" s="45" t="s">
        <v>108</v>
      </c>
      <c r="E346" s="47">
        <v>5</v>
      </c>
      <c r="F346" s="48">
        <v>77.5</v>
      </c>
      <c r="G346" s="48">
        <v>68.5</v>
      </c>
    </row>
    <row r="347" spans="1:7" ht="10.050000000000001" customHeight="1">
      <c r="A347" s="45" t="s">
        <v>154</v>
      </c>
      <c r="B347" s="45" t="s">
        <v>83</v>
      </c>
      <c r="C347" s="46">
        <v>2004</v>
      </c>
      <c r="D347" s="45" t="s">
        <v>108</v>
      </c>
      <c r="E347" s="47">
        <v>6</v>
      </c>
      <c r="F347" s="48">
        <v>112.7</v>
      </c>
      <c r="G347" s="48">
        <v>41.9</v>
      </c>
    </row>
    <row r="348" spans="1:7" ht="10.050000000000001" customHeight="1">
      <c r="A348" s="45" t="s">
        <v>154</v>
      </c>
      <c r="B348" s="45" t="s">
        <v>83</v>
      </c>
      <c r="C348" s="46">
        <v>2004</v>
      </c>
      <c r="D348" s="45" t="s">
        <v>112</v>
      </c>
      <c r="E348" s="47">
        <v>7</v>
      </c>
      <c r="F348" s="48">
        <v>98.8</v>
      </c>
      <c r="G348" s="48">
        <v>73.099999999999994</v>
      </c>
    </row>
    <row r="349" spans="1:7" ht="10.050000000000001" customHeight="1">
      <c r="A349" s="45" t="s">
        <v>154</v>
      </c>
      <c r="B349" s="45" t="s">
        <v>83</v>
      </c>
      <c r="C349" s="46">
        <v>2004</v>
      </c>
      <c r="D349" s="45" t="s">
        <v>112</v>
      </c>
      <c r="E349" s="47">
        <v>8</v>
      </c>
      <c r="F349" s="48">
        <v>128.5</v>
      </c>
      <c r="G349" s="48">
        <v>101.3</v>
      </c>
    </row>
    <row r="350" spans="1:7" ht="10.050000000000001" customHeight="1">
      <c r="A350" s="45" t="s">
        <v>154</v>
      </c>
      <c r="B350" s="45" t="s">
        <v>83</v>
      </c>
      <c r="C350" s="46">
        <v>2004</v>
      </c>
      <c r="D350" s="45" t="s">
        <v>112</v>
      </c>
      <c r="E350" s="47">
        <v>9</v>
      </c>
      <c r="F350" s="48">
        <v>62.6</v>
      </c>
      <c r="G350" s="48">
        <v>120.6</v>
      </c>
    </row>
    <row r="351" spans="1:7" ht="10.050000000000001" customHeight="1">
      <c r="A351" s="45" t="s">
        <v>154</v>
      </c>
      <c r="B351" s="45" t="s">
        <v>83</v>
      </c>
      <c r="C351" s="46">
        <v>2004</v>
      </c>
      <c r="D351" s="45" t="s">
        <v>112</v>
      </c>
      <c r="E351" s="47">
        <v>10</v>
      </c>
      <c r="F351" s="48">
        <v>109.9</v>
      </c>
      <c r="G351" s="48">
        <v>44.3</v>
      </c>
    </row>
    <row r="352" spans="1:7" ht="10.050000000000001" customHeight="1">
      <c r="A352" s="45" t="s">
        <v>154</v>
      </c>
      <c r="B352" s="45" t="s">
        <v>83</v>
      </c>
      <c r="C352" s="46">
        <v>2004</v>
      </c>
      <c r="D352" s="45" t="s">
        <v>112</v>
      </c>
      <c r="E352" s="47">
        <v>11</v>
      </c>
      <c r="F352" s="48">
        <v>108.6</v>
      </c>
      <c r="G352" s="48">
        <v>36.4</v>
      </c>
    </row>
    <row r="353" spans="1:7" ht="10.050000000000001" customHeight="1">
      <c r="A353" s="45" t="s">
        <v>154</v>
      </c>
      <c r="B353" s="45" t="s">
        <v>83</v>
      </c>
      <c r="C353" s="46">
        <v>2004</v>
      </c>
      <c r="D353" s="45" t="s">
        <v>112</v>
      </c>
      <c r="E353" s="47">
        <v>12</v>
      </c>
      <c r="F353" s="48">
        <v>119.1</v>
      </c>
      <c r="G353" s="48">
        <v>67.5</v>
      </c>
    </row>
    <row r="354" spans="1:7" ht="10.050000000000001" customHeight="1">
      <c r="A354" s="45" t="s">
        <v>154</v>
      </c>
      <c r="B354" s="45" t="s">
        <v>83</v>
      </c>
      <c r="C354" s="46">
        <v>2005</v>
      </c>
      <c r="D354" s="45" t="s">
        <v>112</v>
      </c>
      <c r="E354" s="47">
        <v>1</v>
      </c>
      <c r="F354" s="48">
        <v>91.9</v>
      </c>
      <c r="G354" s="48">
        <v>27.6</v>
      </c>
    </row>
    <row r="355" spans="1:7" ht="10.050000000000001" customHeight="1">
      <c r="A355" s="45" t="s">
        <v>154</v>
      </c>
      <c r="B355" s="45" t="s">
        <v>83</v>
      </c>
      <c r="C355" s="46">
        <v>2005</v>
      </c>
      <c r="D355" s="45" t="s">
        <v>112</v>
      </c>
      <c r="E355" s="47">
        <v>2</v>
      </c>
      <c r="F355" s="48">
        <v>78</v>
      </c>
      <c r="G355" s="48">
        <v>55.4</v>
      </c>
    </row>
    <row r="356" spans="1:7" ht="10.050000000000001" customHeight="1">
      <c r="A356" s="45" t="s">
        <v>154</v>
      </c>
      <c r="B356" s="45" t="s">
        <v>83</v>
      </c>
      <c r="C356" s="46">
        <v>2005</v>
      </c>
      <c r="D356" s="45" t="s">
        <v>112</v>
      </c>
      <c r="E356" s="47">
        <v>3</v>
      </c>
      <c r="F356" s="48">
        <v>93.5</v>
      </c>
      <c r="G356" s="48">
        <v>84.1</v>
      </c>
    </row>
    <row r="357" spans="1:7" ht="10.050000000000001" customHeight="1">
      <c r="A357" s="45" t="s">
        <v>154</v>
      </c>
      <c r="B357" s="45" t="s">
        <v>83</v>
      </c>
      <c r="C357" s="46">
        <v>2005</v>
      </c>
      <c r="D357" s="45" t="s">
        <v>112</v>
      </c>
      <c r="E357" s="47">
        <v>4</v>
      </c>
      <c r="F357" s="48">
        <v>71.900000000000006</v>
      </c>
      <c r="G357" s="48">
        <v>89.1</v>
      </c>
    </row>
    <row r="358" spans="1:7" ht="10.050000000000001" customHeight="1">
      <c r="A358" s="45" t="s">
        <v>154</v>
      </c>
      <c r="B358" s="45" t="s">
        <v>83</v>
      </c>
      <c r="C358" s="46">
        <v>2005</v>
      </c>
      <c r="D358" s="45" t="s">
        <v>112</v>
      </c>
      <c r="E358" s="47">
        <v>5</v>
      </c>
      <c r="F358" s="48">
        <v>65.599999999999994</v>
      </c>
      <c r="G358" s="48">
        <v>50.8</v>
      </c>
    </row>
    <row r="359" spans="1:7" ht="10.050000000000001" customHeight="1">
      <c r="A359" s="45" t="s">
        <v>154</v>
      </c>
      <c r="B359" s="45" t="s">
        <v>83</v>
      </c>
      <c r="C359" s="46">
        <v>2005</v>
      </c>
      <c r="D359" s="45" t="s">
        <v>112</v>
      </c>
      <c r="E359" s="47">
        <v>6</v>
      </c>
      <c r="F359" s="48">
        <v>30.7</v>
      </c>
      <c r="G359" s="48">
        <v>45.9</v>
      </c>
    </row>
    <row r="360" spans="1:7" ht="10.050000000000001" customHeight="1">
      <c r="A360" s="45" t="s">
        <v>154</v>
      </c>
      <c r="B360" s="45" t="s">
        <v>83</v>
      </c>
      <c r="C360" s="46">
        <v>2005</v>
      </c>
      <c r="D360" s="45" t="s">
        <v>113</v>
      </c>
      <c r="E360" s="47">
        <v>7</v>
      </c>
      <c r="F360" s="48">
        <v>72.099999999999994</v>
      </c>
      <c r="G360" s="48">
        <v>150.30000000000001</v>
      </c>
    </row>
    <row r="361" spans="1:7" ht="10.050000000000001" customHeight="1">
      <c r="A361" s="45" t="s">
        <v>154</v>
      </c>
      <c r="B361" s="45" t="s">
        <v>83</v>
      </c>
      <c r="C361" s="46">
        <v>2005</v>
      </c>
      <c r="D361" s="45" t="s">
        <v>113</v>
      </c>
      <c r="E361" s="47">
        <v>8</v>
      </c>
      <c r="F361" s="48">
        <v>129.69999999999999</v>
      </c>
      <c r="G361" s="48">
        <v>73.3</v>
      </c>
    </row>
    <row r="362" spans="1:7" ht="10.050000000000001" customHeight="1">
      <c r="A362" s="45" t="s">
        <v>154</v>
      </c>
      <c r="B362" s="45" t="s">
        <v>83</v>
      </c>
      <c r="C362" s="46">
        <v>2005</v>
      </c>
      <c r="D362" s="45" t="s">
        <v>113</v>
      </c>
      <c r="E362" s="47">
        <v>9</v>
      </c>
      <c r="F362" s="48">
        <v>55.8</v>
      </c>
      <c r="G362" s="48">
        <v>91.6</v>
      </c>
    </row>
    <row r="363" spans="1:7" ht="10.050000000000001" customHeight="1">
      <c r="A363" s="45" t="s">
        <v>154</v>
      </c>
      <c r="B363" s="45" t="s">
        <v>83</v>
      </c>
      <c r="C363" s="46">
        <v>2005</v>
      </c>
      <c r="D363" s="45" t="s">
        <v>113</v>
      </c>
      <c r="E363" s="47">
        <v>10</v>
      </c>
      <c r="F363" s="48">
        <v>79.8</v>
      </c>
      <c r="G363" s="48">
        <v>44.8</v>
      </c>
    </row>
    <row r="364" spans="1:7" ht="10.050000000000001" customHeight="1">
      <c r="A364" s="45" t="s">
        <v>154</v>
      </c>
      <c r="B364" s="45" t="s">
        <v>83</v>
      </c>
      <c r="C364" s="46">
        <v>2005</v>
      </c>
      <c r="D364" s="45" t="s">
        <v>113</v>
      </c>
      <c r="E364" s="47">
        <v>11</v>
      </c>
      <c r="F364" s="48">
        <v>75.2</v>
      </c>
      <c r="G364" s="48">
        <v>73.2</v>
      </c>
    </row>
    <row r="365" spans="1:7" ht="10.050000000000001" customHeight="1">
      <c r="A365" s="45" t="s">
        <v>154</v>
      </c>
      <c r="B365" s="45" t="s">
        <v>83</v>
      </c>
      <c r="C365" s="46">
        <v>2005</v>
      </c>
      <c r="D365" s="45" t="s">
        <v>113</v>
      </c>
      <c r="E365" s="47">
        <v>12</v>
      </c>
      <c r="F365" s="48">
        <v>82.2</v>
      </c>
      <c r="G365" s="48">
        <v>51.6</v>
      </c>
    </row>
    <row r="366" spans="1:7" ht="10.050000000000001" customHeight="1">
      <c r="A366" s="45" t="s">
        <v>154</v>
      </c>
      <c r="B366" s="45" t="s">
        <v>83</v>
      </c>
      <c r="C366" s="46">
        <v>2006</v>
      </c>
      <c r="D366" s="45" t="s">
        <v>113</v>
      </c>
      <c r="E366" s="47">
        <v>1</v>
      </c>
      <c r="F366" s="48">
        <v>84</v>
      </c>
      <c r="G366" s="48">
        <v>45.9</v>
      </c>
    </row>
    <row r="367" spans="1:7" ht="10.050000000000001" customHeight="1">
      <c r="A367" s="45" t="s">
        <v>154</v>
      </c>
      <c r="B367" s="45" t="s">
        <v>83</v>
      </c>
      <c r="C367" s="46">
        <v>2006</v>
      </c>
      <c r="D367" s="45" t="s">
        <v>113</v>
      </c>
      <c r="E367" s="47">
        <v>2</v>
      </c>
      <c r="F367" s="48">
        <v>77.7</v>
      </c>
      <c r="G367" s="48">
        <v>74.8</v>
      </c>
    </row>
    <row r="368" spans="1:7" ht="10.050000000000001" customHeight="1">
      <c r="A368" s="45" t="s">
        <v>154</v>
      </c>
      <c r="B368" s="45" t="s">
        <v>83</v>
      </c>
      <c r="C368" s="46">
        <v>2006</v>
      </c>
      <c r="D368" s="45" t="s">
        <v>113</v>
      </c>
      <c r="E368" s="47">
        <v>3</v>
      </c>
      <c r="F368" s="48">
        <v>83</v>
      </c>
      <c r="G368" s="48">
        <v>43.2</v>
      </c>
    </row>
    <row r="369" spans="1:7" ht="10.050000000000001" customHeight="1">
      <c r="A369" s="45" t="s">
        <v>154</v>
      </c>
      <c r="B369" s="45" t="s">
        <v>83</v>
      </c>
      <c r="C369" s="46">
        <v>2006</v>
      </c>
      <c r="D369" s="45" t="s">
        <v>113</v>
      </c>
      <c r="E369" s="47">
        <v>4</v>
      </c>
      <c r="F369" s="48">
        <v>80.8</v>
      </c>
      <c r="G369" s="48">
        <v>39.6</v>
      </c>
    </row>
    <row r="370" spans="1:7" ht="10.050000000000001" customHeight="1">
      <c r="A370" s="45" t="s">
        <v>154</v>
      </c>
      <c r="B370" s="45" t="s">
        <v>83</v>
      </c>
      <c r="C370" s="46">
        <v>2006</v>
      </c>
      <c r="D370" s="45" t="s">
        <v>113</v>
      </c>
      <c r="E370" s="47">
        <v>5</v>
      </c>
      <c r="F370" s="48">
        <v>74.400000000000006</v>
      </c>
      <c r="G370" s="48">
        <v>16.3</v>
      </c>
    </row>
    <row r="371" spans="1:7" ht="10.050000000000001" customHeight="1">
      <c r="A371" s="45" t="s">
        <v>154</v>
      </c>
      <c r="B371" s="45" t="s">
        <v>83</v>
      </c>
      <c r="C371" s="46">
        <v>2006</v>
      </c>
      <c r="D371" s="45" t="s">
        <v>113</v>
      </c>
      <c r="E371" s="47">
        <v>6</v>
      </c>
      <c r="F371" s="48">
        <v>87.4</v>
      </c>
      <c r="G371" s="48">
        <v>60.3</v>
      </c>
    </row>
    <row r="372" spans="1:7" ht="10.050000000000001" customHeight="1">
      <c r="A372" s="45" t="s">
        <v>154</v>
      </c>
      <c r="B372" s="45" t="s">
        <v>83</v>
      </c>
      <c r="C372" s="46">
        <v>2006</v>
      </c>
      <c r="D372" s="45" t="s">
        <v>114</v>
      </c>
      <c r="E372" s="47">
        <v>7</v>
      </c>
      <c r="F372" s="48">
        <v>75.7</v>
      </c>
      <c r="G372" s="48">
        <v>325.89999999999998</v>
      </c>
    </row>
    <row r="373" spans="1:7" ht="10.050000000000001" customHeight="1">
      <c r="A373" s="45" t="s">
        <v>154</v>
      </c>
      <c r="B373" s="45" t="s">
        <v>83</v>
      </c>
      <c r="C373" s="46">
        <v>2006</v>
      </c>
      <c r="D373" s="45" t="s">
        <v>114</v>
      </c>
      <c r="E373" s="47">
        <v>8</v>
      </c>
      <c r="F373" s="48">
        <v>138.4</v>
      </c>
      <c r="G373" s="48">
        <v>277.3</v>
      </c>
    </row>
    <row r="374" spans="1:7" ht="10.050000000000001" customHeight="1">
      <c r="A374" s="45" t="s">
        <v>154</v>
      </c>
      <c r="B374" s="45" t="s">
        <v>83</v>
      </c>
      <c r="C374" s="46">
        <v>2006</v>
      </c>
      <c r="D374" s="45" t="s">
        <v>114</v>
      </c>
      <c r="E374" s="47">
        <v>9</v>
      </c>
      <c r="F374" s="48">
        <v>84.2</v>
      </c>
      <c r="G374" s="48">
        <v>336.8</v>
      </c>
    </row>
    <row r="375" spans="1:7" ht="10.050000000000001" customHeight="1">
      <c r="A375" s="45" t="s">
        <v>154</v>
      </c>
      <c r="B375" s="45" t="s">
        <v>83</v>
      </c>
      <c r="C375" s="46">
        <v>2006</v>
      </c>
      <c r="D375" s="45" t="s">
        <v>114</v>
      </c>
      <c r="E375" s="47">
        <v>10</v>
      </c>
      <c r="F375" s="48">
        <v>103.5</v>
      </c>
      <c r="G375" s="48">
        <v>325.39999999999998</v>
      </c>
    </row>
    <row r="376" spans="1:7" ht="10.050000000000001" customHeight="1">
      <c r="A376" s="45" t="s">
        <v>154</v>
      </c>
      <c r="B376" s="45" t="s">
        <v>83</v>
      </c>
      <c r="C376" s="46">
        <v>2006</v>
      </c>
      <c r="D376" s="45" t="s">
        <v>114</v>
      </c>
      <c r="E376" s="47">
        <v>11</v>
      </c>
      <c r="F376" s="48">
        <v>138.1</v>
      </c>
      <c r="G376" s="48">
        <v>265.60000000000002</v>
      </c>
    </row>
    <row r="377" spans="1:7" ht="10.050000000000001" customHeight="1">
      <c r="A377" s="45" t="s">
        <v>154</v>
      </c>
      <c r="B377" s="45" t="s">
        <v>83</v>
      </c>
      <c r="C377" s="46">
        <v>2006</v>
      </c>
      <c r="D377" s="45" t="s">
        <v>114</v>
      </c>
      <c r="E377" s="47">
        <v>12</v>
      </c>
      <c r="F377" s="48">
        <v>95.1</v>
      </c>
      <c r="G377" s="48">
        <v>156.69999999999999</v>
      </c>
    </row>
    <row r="378" spans="1:7" ht="10.050000000000001" customHeight="1">
      <c r="A378" s="45" t="s">
        <v>154</v>
      </c>
      <c r="B378" s="45" t="s">
        <v>83</v>
      </c>
      <c r="C378" s="46">
        <v>2007</v>
      </c>
      <c r="D378" s="45" t="s">
        <v>114</v>
      </c>
      <c r="E378" s="47">
        <v>1</v>
      </c>
      <c r="F378" s="48">
        <v>125.3</v>
      </c>
      <c r="G378" s="48">
        <v>198.4</v>
      </c>
    </row>
    <row r="379" spans="1:7" ht="10.050000000000001" customHeight="1">
      <c r="A379" s="45" t="s">
        <v>154</v>
      </c>
      <c r="B379" s="45" t="s">
        <v>83</v>
      </c>
      <c r="C379" s="46">
        <v>2007</v>
      </c>
      <c r="D379" s="45" t="s">
        <v>114</v>
      </c>
      <c r="E379" s="47">
        <v>2</v>
      </c>
      <c r="F379" s="48">
        <v>142.4</v>
      </c>
      <c r="G379" s="48">
        <v>110.3</v>
      </c>
    </row>
    <row r="380" spans="1:7" ht="10.050000000000001" customHeight="1">
      <c r="A380" s="45" t="s">
        <v>154</v>
      </c>
      <c r="B380" s="45" t="s">
        <v>83</v>
      </c>
      <c r="C380" s="46">
        <v>2007</v>
      </c>
      <c r="D380" s="45" t="s">
        <v>114</v>
      </c>
      <c r="E380" s="47">
        <v>3</v>
      </c>
      <c r="F380" s="48">
        <v>162.9</v>
      </c>
      <c r="G380" s="48">
        <v>114.2</v>
      </c>
    </row>
    <row r="381" spans="1:7" ht="10.050000000000001" customHeight="1">
      <c r="A381" s="45" t="s">
        <v>154</v>
      </c>
      <c r="B381" s="45" t="s">
        <v>83</v>
      </c>
      <c r="C381" s="46">
        <v>2007</v>
      </c>
      <c r="D381" s="45" t="s">
        <v>114</v>
      </c>
      <c r="E381" s="47">
        <v>4</v>
      </c>
      <c r="F381" s="48">
        <v>62.8</v>
      </c>
      <c r="G381" s="48">
        <v>101</v>
      </c>
    </row>
    <row r="382" spans="1:7" ht="10.050000000000001" customHeight="1">
      <c r="A382" s="45" t="s">
        <v>154</v>
      </c>
      <c r="B382" s="45" t="s">
        <v>83</v>
      </c>
      <c r="C382" s="46">
        <v>2007</v>
      </c>
      <c r="D382" s="45" t="s">
        <v>114</v>
      </c>
      <c r="E382" s="47">
        <v>5</v>
      </c>
      <c r="F382" s="48">
        <v>175.7</v>
      </c>
      <c r="G382" s="48">
        <v>109.3</v>
      </c>
    </row>
    <row r="383" spans="1:7" ht="10.050000000000001" customHeight="1">
      <c r="A383" s="45" t="s">
        <v>154</v>
      </c>
      <c r="B383" s="45" t="s">
        <v>83</v>
      </c>
      <c r="C383" s="46">
        <v>2007</v>
      </c>
      <c r="D383" s="45" t="s">
        <v>114</v>
      </c>
      <c r="E383" s="47">
        <v>6</v>
      </c>
      <c r="F383" s="48">
        <v>126.9</v>
      </c>
      <c r="G383" s="48">
        <v>111.1</v>
      </c>
    </row>
    <row r="384" spans="1:7" ht="10.050000000000001" customHeight="1">
      <c r="A384" s="45" t="s">
        <v>154</v>
      </c>
      <c r="B384" s="45" t="s">
        <v>83</v>
      </c>
      <c r="C384" s="46">
        <v>2007</v>
      </c>
      <c r="D384" s="45" t="s">
        <v>115</v>
      </c>
      <c r="E384" s="47">
        <v>7</v>
      </c>
      <c r="F384" s="48">
        <v>103.4</v>
      </c>
      <c r="G384" s="48">
        <v>54.1</v>
      </c>
    </row>
    <row r="385" spans="1:7" ht="10.050000000000001" customHeight="1">
      <c r="A385" s="45" t="s">
        <v>154</v>
      </c>
      <c r="B385" s="45" t="s">
        <v>83</v>
      </c>
      <c r="C385" s="46">
        <v>2007</v>
      </c>
      <c r="D385" s="45" t="s">
        <v>115</v>
      </c>
      <c r="E385" s="47">
        <v>8</v>
      </c>
      <c r="F385" s="48">
        <v>149.6</v>
      </c>
      <c r="G385" s="48">
        <v>303.89999999999998</v>
      </c>
    </row>
    <row r="386" spans="1:7" ht="10.050000000000001" customHeight="1">
      <c r="A386" s="45" t="s">
        <v>154</v>
      </c>
      <c r="B386" s="45" t="s">
        <v>83</v>
      </c>
      <c r="C386" s="46">
        <v>2007</v>
      </c>
      <c r="D386" s="45" t="s">
        <v>115</v>
      </c>
      <c r="E386" s="47">
        <v>9</v>
      </c>
      <c r="F386" s="48">
        <v>69.400000000000006</v>
      </c>
      <c r="G386" s="48">
        <v>265.8</v>
      </c>
    </row>
    <row r="387" spans="1:7" ht="10.050000000000001" customHeight="1">
      <c r="A387" s="45" t="s">
        <v>154</v>
      </c>
      <c r="B387" s="45" t="s">
        <v>83</v>
      </c>
      <c r="C387" s="46">
        <v>2007</v>
      </c>
      <c r="D387" s="45" t="s">
        <v>115</v>
      </c>
      <c r="E387" s="47">
        <v>10</v>
      </c>
      <c r="F387" s="48">
        <v>87.4</v>
      </c>
      <c r="G387" s="48">
        <v>249.9</v>
      </c>
    </row>
    <row r="388" spans="1:7" ht="10.050000000000001" customHeight="1">
      <c r="A388" s="45" t="s">
        <v>154</v>
      </c>
      <c r="B388" s="45" t="s">
        <v>83</v>
      </c>
      <c r="C388" s="46">
        <v>2007</v>
      </c>
      <c r="D388" s="45" t="s">
        <v>115</v>
      </c>
      <c r="E388" s="47">
        <v>11</v>
      </c>
      <c r="F388" s="48">
        <v>75.599999999999994</v>
      </c>
      <c r="G388" s="48">
        <v>231.1</v>
      </c>
    </row>
    <row r="389" spans="1:7" ht="10.050000000000001" customHeight="1">
      <c r="A389" s="45" t="s">
        <v>154</v>
      </c>
      <c r="B389" s="45" t="s">
        <v>83</v>
      </c>
      <c r="C389" s="46">
        <v>2007</v>
      </c>
      <c r="D389" s="45" t="s">
        <v>115</v>
      </c>
      <c r="E389" s="47">
        <v>12</v>
      </c>
      <c r="F389" s="48">
        <v>64.2</v>
      </c>
      <c r="G389" s="48">
        <v>188.2</v>
      </c>
    </row>
    <row r="390" spans="1:7" ht="10.050000000000001" customHeight="1">
      <c r="A390" s="45" t="s">
        <v>154</v>
      </c>
      <c r="B390" s="45" t="s">
        <v>83</v>
      </c>
      <c r="C390" s="46">
        <v>2008</v>
      </c>
      <c r="D390" s="45" t="s">
        <v>115</v>
      </c>
      <c r="E390" s="47">
        <v>1</v>
      </c>
      <c r="F390" s="48">
        <v>52.4</v>
      </c>
      <c r="G390" s="48">
        <v>199.8</v>
      </c>
    </row>
    <row r="391" spans="1:7" ht="10.050000000000001" customHeight="1">
      <c r="A391" s="45" t="s">
        <v>154</v>
      </c>
      <c r="B391" s="45" t="s">
        <v>83</v>
      </c>
      <c r="C391" s="46">
        <v>2008</v>
      </c>
      <c r="D391" s="45" t="s">
        <v>115</v>
      </c>
      <c r="E391" s="47">
        <v>2</v>
      </c>
      <c r="F391" s="48">
        <v>65.7</v>
      </c>
      <c r="G391" s="48">
        <v>134.1</v>
      </c>
    </row>
    <row r="392" spans="1:7" ht="10.050000000000001" customHeight="1">
      <c r="A392" s="45" t="s">
        <v>154</v>
      </c>
      <c r="B392" s="45" t="s">
        <v>83</v>
      </c>
      <c r="C392" s="46">
        <v>2008</v>
      </c>
      <c r="D392" s="45" t="s">
        <v>115</v>
      </c>
      <c r="E392" s="47">
        <v>3</v>
      </c>
      <c r="F392" s="48">
        <v>71.8</v>
      </c>
      <c r="G392" s="48">
        <v>139.1</v>
      </c>
    </row>
    <row r="393" spans="1:7" ht="10.050000000000001" customHeight="1">
      <c r="A393" s="45" t="s">
        <v>154</v>
      </c>
      <c r="B393" s="45" t="s">
        <v>83</v>
      </c>
      <c r="C393" s="46">
        <v>2008</v>
      </c>
      <c r="D393" s="45" t="s">
        <v>115</v>
      </c>
      <c r="E393" s="47">
        <v>4</v>
      </c>
      <c r="F393" s="48">
        <v>2.2000000000000002</v>
      </c>
      <c r="G393" s="48">
        <v>136.9</v>
      </c>
    </row>
    <row r="394" spans="1:7" ht="10.050000000000001" customHeight="1">
      <c r="A394" s="45" t="s">
        <v>154</v>
      </c>
      <c r="B394" s="45" t="s">
        <v>83</v>
      </c>
      <c r="C394" s="46">
        <v>2008</v>
      </c>
      <c r="D394" s="45" t="s">
        <v>115</v>
      </c>
      <c r="E394" s="47">
        <v>5</v>
      </c>
      <c r="F394" s="48">
        <v>5.8</v>
      </c>
      <c r="G394" s="48">
        <v>131.1</v>
      </c>
    </row>
    <row r="395" spans="1:7" ht="10.050000000000001" customHeight="1">
      <c r="A395" s="45" t="s">
        <v>154</v>
      </c>
      <c r="B395" s="45" t="s">
        <v>83</v>
      </c>
      <c r="C395" s="46">
        <v>2008</v>
      </c>
      <c r="D395" s="45" t="s">
        <v>115</v>
      </c>
      <c r="E395" s="47">
        <v>6</v>
      </c>
      <c r="F395" s="48">
        <v>15.7</v>
      </c>
      <c r="G395" s="48">
        <v>135.30000000000001</v>
      </c>
    </row>
    <row r="396" spans="1:7" ht="10.050000000000001" customHeight="1">
      <c r="A396" s="45" t="s">
        <v>154</v>
      </c>
      <c r="B396" s="45" t="s">
        <v>83</v>
      </c>
      <c r="C396" s="46">
        <v>2008</v>
      </c>
      <c r="D396" s="45" t="s">
        <v>109</v>
      </c>
      <c r="E396" s="47">
        <v>7</v>
      </c>
      <c r="F396" s="48">
        <v>36.9</v>
      </c>
      <c r="G396" s="48">
        <v>139.4</v>
      </c>
    </row>
    <row r="397" spans="1:7" ht="10.050000000000001" customHeight="1">
      <c r="A397" s="45" t="s">
        <v>154</v>
      </c>
      <c r="B397" s="45" t="s">
        <v>83</v>
      </c>
      <c r="C397" s="46">
        <v>2008</v>
      </c>
      <c r="D397" s="45" t="s">
        <v>109</v>
      </c>
      <c r="E397" s="47">
        <v>8</v>
      </c>
      <c r="F397" s="48">
        <v>41.4</v>
      </c>
      <c r="G397" s="48">
        <v>139.5</v>
      </c>
    </row>
    <row r="398" spans="1:7" ht="10.050000000000001" customHeight="1">
      <c r="A398" s="45" t="s">
        <v>154</v>
      </c>
      <c r="B398" s="45" t="s">
        <v>83</v>
      </c>
      <c r="C398" s="46">
        <v>2008</v>
      </c>
      <c r="D398" s="45" t="s">
        <v>109</v>
      </c>
      <c r="E398" s="47">
        <v>9</v>
      </c>
      <c r="F398" s="48">
        <v>72.599999999999994</v>
      </c>
      <c r="G398" s="48">
        <v>93.9</v>
      </c>
    </row>
    <row r="399" spans="1:7" ht="10.050000000000001" customHeight="1">
      <c r="A399" s="45" t="s">
        <v>154</v>
      </c>
      <c r="B399" s="45" t="s">
        <v>83</v>
      </c>
      <c r="C399" s="46">
        <v>2008</v>
      </c>
      <c r="D399" s="45" t="s">
        <v>109</v>
      </c>
      <c r="E399" s="47">
        <v>10</v>
      </c>
      <c r="F399" s="48">
        <v>31.8</v>
      </c>
      <c r="G399" s="48">
        <v>115.7</v>
      </c>
    </row>
    <row r="400" spans="1:7" ht="10.050000000000001" customHeight="1">
      <c r="A400" s="45" t="s">
        <v>154</v>
      </c>
      <c r="B400" s="45" t="s">
        <v>83</v>
      </c>
      <c r="C400" s="46">
        <v>2008</v>
      </c>
      <c r="D400" s="45" t="s">
        <v>109</v>
      </c>
      <c r="E400" s="47">
        <v>11</v>
      </c>
      <c r="F400" s="48">
        <v>17.399999999999999</v>
      </c>
      <c r="G400" s="48">
        <v>98.3</v>
      </c>
    </row>
    <row r="401" spans="1:7" ht="10.050000000000001" customHeight="1">
      <c r="A401" s="45" t="s">
        <v>154</v>
      </c>
      <c r="B401" s="45" t="s">
        <v>83</v>
      </c>
      <c r="C401" s="46">
        <v>2008</v>
      </c>
      <c r="D401" s="45" t="s">
        <v>109</v>
      </c>
      <c r="E401" s="47">
        <v>12</v>
      </c>
      <c r="F401" s="48">
        <v>68.3</v>
      </c>
      <c r="G401" s="48">
        <v>125</v>
      </c>
    </row>
    <row r="402" spans="1:7" ht="10.050000000000001" customHeight="1">
      <c r="A402" s="45" t="s">
        <v>154</v>
      </c>
      <c r="B402" s="45" t="s">
        <v>83</v>
      </c>
      <c r="C402" s="46">
        <v>2009</v>
      </c>
      <c r="D402" s="45" t="s">
        <v>109</v>
      </c>
      <c r="E402" s="47">
        <v>1</v>
      </c>
      <c r="F402" s="48">
        <v>32.5</v>
      </c>
      <c r="G402" s="48">
        <v>92.5</v>
      </c>
    </row>
    <row r="403" spans="1:7" ht="10.050000000000001" customHeight="1">
      <c r="A403" s="45" t="s">
        <v>154</v>
      </c>
      <c r="B403" s="45" t="s">
        <v>83</v>
      </c>
      <c r="C403" s="46">
        <v>2009</v>
      </c>
      <c r="D403" s="45" t="s">
        <v>109</v>
      </c>
      <c r="E403" s="47">
        <v>2</v>
      </c>
      <c r="F403" s="48">
        <v>7.6</v>
      </c>
      <c r="G403" s="48">
        <v>112.3</v>
      </c>
    </row>
    <row r="404" spans="1:7" ht="10.050000000000001" customHeight="1">
      <c r="A404" s="45" t="s">
        <v>154</v>
      </c>
      <c r="B404" s="45" t="s">
        <v>83</v>
      </c>
      <c r="C404" s="46">
        <v>2009</v>
      </c>
      <c r="D404" s="45" t="s">
        <v>109</v>
      </c>
      <c r="E404" s="47">
        <v>3</v>
      </c>
      <c r="F404" s="48">
        <v>23.2</v>
      </c>
      <c r="G404" s="48">
        <v>89.1</v>
      </c>
    </row>
    <row r="405" spans="1:7" ht="10.050000000000001" customHeight="1">
      <c r="A405" s="45" t="s">
        <v>154</v>
      </c>
      <c r="B405" s="45" t="s">
        <v>83</v>
      </c>
      <c r="C405" s="46">
        <v>2009</v>
      </c>
      <c r="D405" s="45" t="s">
        <v>109</v>
      </c>
      <c r="E405" s="47">
        <v>4</v>
      </c>
      <c r="F405" s="48">
        <v>111.5</v>
      </c>
      <c r="G405" s="48">
        <v>3.2</v>
      </c>
    </row>
    <row r="406" spans="1:7" ht="10.050000000000001" customHeight="1">
      <c r="A406" s="45" t="s">
        <v>154</v>
      </c>
      <c r="B406" s="45" t="s">
        <v>83</v>
      </c>
      <c r="C406" s="46">
        <v>2009</v>
      </c>
      <c r="D406" s="45" t="s">
        <v>109</v>
      </c>
      <c r="E406" s="47">
        <v>5</v>
      </c>
      <c r="F406" s="48">
        <v>18.600000000000001</v>
      </c>
      <c r="G406" s="48">
        <v>10.9</v>
      </c>
    </row>
    <row r="407" spans="1:7" ht="10.050000000000001" customHeight="1">
      <c r="A407" s="45" t="s">
        <v>154</v>
      </c>
      <c r="B407" s="45" t="s">
        <v>83</v>
      </c>
      <c r="C407" s="46">
        <v>2009</v>
      </c>
      <c r="D407" s="45" t="s">
        <v>109</v>
      </c>
      <c r="E407" s="47">
        <v>6</v>
      </c>
      <c r="F407" s="48">
        <v>24</v>
      </c>
      <c r="G407" s="48">
        <v>13.6</v>
      </c>
    </row>
    <row r="408" spans="1:7" ht="10.050000000000001" customHeight="1">
      <c r="A408" s="45" t="s">
        <v>154</v>
      </c>
      <c r="B408" s="45" t="s">
        <v>83</v>
      </c>
      <c r="C408" s="46">
        <v>2009</v>
      </c>
      <c r="D408" s="45" t="s">
        <v>116</v>
      </c>
      <c r="E408" s="47">
        <v>7</v>
      </c>
      <c r="F408" s="48">
        <v>0</v>
      </c>
      <c r="G408" s="48">
        <v>13.6</v>
      </c>
    </row>
    <row r="409" spans="1:7" ht="10.050000000000001" customHeight="1">
      <c r="A409" s="45" t="s">
        <v>154</v>
      </c>
      <c r="B409" s="45" t="s">
        <v>83</v>
      </c>
      <c r="C409" s="46">
        <v>2009</v>
      </c>
      <c r="D409" s="45" t="s">
        <v>116</v>
      </c>
      <c r="E409" s="47">
        <v>8</v>
      </c>
      <c r="F409" s="48">
        <v>10</v>
      </c>
      <c r="G409" s="48">
        <v>40.799999999999997</v>
      </c>
    </row>
    <row r="410" spans="1:7" ht="10.050000000000001" customHeight="1">
      <c r="A410" s="45" t="s">
        <v>154</v>
      </c>
      <c r="B410" s="45" t="s">
        <v>83</v>
      </c>
      <c r="C410" s="46">
        <v>2009</v>
      </c>
      <c r="D410" s="45" t="s">
        <v>116</v>
      </c>
      <c r="E410" s="47">
        <v>9</v>
      </c>
      <c r="F410" s="48">
        <v>27</v>
      </c>
      <c r="G410" s="48">
        <v>40.799999999999997</v>
      </c>
    </row>
    <row r="411" spans="1:7" ht="10.050000000000001" customHeight="1">
      <c r="A411" s="45" t="s">
        <v>154</v>
      </c>
      <c r="B411" s="45" t="s">
        <v>83</v>
      </c>
      <c r="C411" s="46">
        <v>2009</v>
      </c>
      <c r="D411" s="45" t="s">
        <v>116</v>
      </c>
      <c r="E411" s="47">
        <v>10</v>
      </c>
      <c r="F411" s="48">
        <v>20.7</v>
      </c>
      <c r="G411" s="48">
        <v>27.2</v>
      </c>
    </row>
    <row r="412" spans="1:7" ht="10.050000000000001" customHeight="1">
      <c r="A412" s="45" t="s">
        <v>154</v>
      </c>
      <c r="B412" s="45" t="s">
        <v>83</v>
      </c>
      <c r="C412" s="46">
        <v>2009</v>
      </c>
      <c r="D412" s="45" t="s">
        <v>116</v>
      </c>
      <c r="E412" s="47">
        <v>11</v>
      </c>
      <c r="F412" s="48">
        <v>17.2</v>
      </c>
      <c r="G412" s="48">
        <v>10</v>
      </c>
    </row>
    <row r="413" spans="1:7" ht="10.050000000000001" customHeight="1">
      <c r="A413" s="45" t="s">
        <v>154</v>
      </c>
      <c r="B413" s="45" t="s">
        <v>83</v>
      </c>
      <c r="C413" s="46">
        <v>2009</v>
      </c>
      <c r="D413" s="45" t="s">
        <v>116</v>
      </c>
      <c r="E413" s="47">
        <v>12</v>
      </c>
      <c r="F413" s="48">
        <v>0</v>
      </c>
      <c r="G413" s="48">
        <v>10</v>
      </c>
    </row>
    <row r="414" spans="1:7" ht="10.050000000000001" customHeight="1">
      <c r="A414" s="45" t="s">
        <v>154</v>
      </c>
      <c r="B414" s="45" t="s">
        <v>83</v>
      </c>
      <c r="C414" s="46">
        <v>2010</v>
      </c>
      <c r="D414" s="45" t="s">
        <v>116</v>
      </c>
      <c r="E414" s="47">
        <v>1</v>
      </c>
      <c r="F414" s="48">
        <v>0</v>
      </c>
      <c r="G414" s="48">
        <v>10</v>
      </c>
    </row>
    <row r="415" spans="1:7" ht="10.050000000000001" customHeight="1">
      <c r="A415" s="45" t="s">
        <v>154</v>
      </c>
      <c r="B415" s="45" t="s">
        <v>83</v>
      </c>
      <c r="C415" s="46">
        <v>2010</v>
      </c>
      <c r="D415" s="45" t="s">
        <v>116</v>
      </c>
      <c r="E415" s="47">
        <v>2</v>
      </c>
      <c r="F415" s="48">
        <v>5</v>
      </c>
      <c r="G415" s="48">
        <v>5</v>
      </c>
    </row>
    <row r="416" spans="1:7" ht="10.050000000000001" customHeight="1">
      <c r="A416" s="45" t="s">
        <v>154</v>
      </c>
      <c r="B416" s="45" t="s">
        <v>83</v>
      </c>
      <c r="C416" s="46">
        <v>2010</v>
      </c>
      <c r="D416" s="45" t="s">
        <v>116</v>
      </c>
      <c r="E416" s="47">
        <v>3</v>
      </c>
      <c r="F416" s="48">
        <v>0</v>
      </c>
      <c r="G416" s="48">
        <v>5</v>
      </c>
    </row>
    <row r="417" spans="1:7" ht="10.050000000000001" customHeight="1">
      <c r="A417" s="45" t="s">
        <v>154</v>
      </c>
      <c r="B417" s="45" t="s">
        <v>83</v>
      </c>
      <c r="C417" s="46">
        <v>2010</v>
      </c>
      <c r="D417" s="45" t="s">
        <v>117</v>
      </c>
      <c r="E417" s="47">
        <v>8</v>
      </c>
      <c r="F417" s="48">
        <v>9</v>
      </c>
      <c r="G417" s="48">
        <v>18.3</v>
      </c>
    </row>
    <row r="418" spans="1:7" ht="10.050000000000001" customHeight="1">
      <c r="A418" s="45" t="s">
        <v>154</v>
      </c>
      <c r="B418" s="45" t="s">
        <v>83</v>
      </c>
      <c r="C418" s="46">
        <v>2010</v>
      </c>
      <c r="D418" s="45" t="s">
        <v>117</v>
      </c>
      <c r="E418" s="47">
        <v>9</v>
      </c>
      <c r="F418" s="48">
        <v>0</v>
      </c>
      <c r="G418" s="48">
        <v>19.100000000000001</v>
      </c>
    </row>
    <row r="419" spans="1:7" ht="10.050000000000001" customHeight="1">
      <c r="A419" s="45" t="s">
        <v>154</v>
      </c>
      <c r="B419" s="45" t="s">
        <v>83</v>
      </c>
      <c r="C419" s="46">
        <v>2010</v>
      </c>
      <c r="D419" s="45" t="s">
        <v>117</v>
      </c>
      <c r="E419" s="47">
        <v>10</v>
      </c>
      <c r="F419" s="48">
        <v>9</v>
      </c>
      <c r="G419" s="48">
        <v>10.1</v>
      </c>
    </row>
    <row r="420" spans="1:7" ht="10.050000000000001" customHeight="1">
      <c r="A420" s="45" t="s">
        <v>154</v>
      </c>
      <c r="B420" s="45" t="s">
        <v>83</v>
      </c>
      <c r="C420" s="46">
        <v>2010</v>
      </c>
      <c r="D420" s="45" t="s">
        <v>117</v>
      </c>
      <c r="E420" s="47">
        <v>11</v>
      </c>
      <c r="F420" s="48">
        <v>97.5</v>
      </c>
      <c r="G420" s="48">
        <v>38.1</v>
      </c>
    </row>
    <row r="421" spans="1:7" ht="10.050000000000001" customHeight="1">
      <c r="A421" s="45" t="s">
        <v>154</v>
      </c>
      <c r="B421" s="45" t="s">
        <v>83</v>
      </c>
      <c r="C421" s="46">
        <v>2010</v>
      </c>
      <c r="D421" s="45" t="s">
        <v>117</v>
      </c>
      <c r="E421" s="47">
        <v>12</v>
      </c>
      <c r="F421" s="48">
        <v>34.299999999999997</v>
      </c>
      <c r="G421" s="48">
        <v>36.200000000000003</v>
      </c>
    </row>
    <row r="422" spans="1:7" ht="10.050000000000001" customHeight="1">
      <c r="A422" s="45" t="s">
        <v>154</v>
      </c>
      <c r="B422" s="45" t="s">
        <v>83</v>
      </c>
      <c r="C422" s="46">
        <v>2011</v>
      </c>
      <c r="D422" s="45" t="s">
        <v>118</v>
      </c>
      <c r="E422" s="47">
        <v>7</v>
      </c>
      <c r="F422" s="48">
        <v>5.8</v>
      </c>
      <c r="G422" s="48">
        <v>19.8</v>
      </c>
    </row>
    <row r="423" spans="1:7" ht="10.050000000000001" customHeight="1">
      <c r="A423" s="45" t="s">
        <v>154</v>
      </c>
      <c r="B423" s="45" t="s">
        <v>83</v>
      </c>
      <c r="C423" s="46">
        <v>2011</v>
      </c>
      <c r="D423" s="45" t="s">
        <v>118</v>
      </c>
      <c r="E423" s="47">
        <v>8</v>
      </c>
      <c r="F423" s="48">
        <v>0</v>
      </c>
      <c r="G423" s="48">
        <v>19.8</v>
      </c>
    </row>
    <row r="424" spans="1:7" ht="10.050000000000001" customHeight="1">
      <c r="A424" s="45" t="s">
        <v>154</v>
      </c>
      <c r="B424" s="45" t="s">
        <v>83</v>
      </c>
      <c r="C424" s="46">
        <v>2011</v>
      </c>
      <c r="D424" s="45" t="s">
        <v>118</v>
      </c>
      <c r="E424" s="47">
        <v>9</v>
      </c>
      <c r="F424" s="48">
        <v>0.55000000000000004</v>
      </c>
      <c r="G424" s="48">
        <v>50.23</v>
      </c>
    </row>
    <row r="425" spans="1:7" ht="10.050000000000001" customHeight="1">
      <c r="A425" s="45" t="s">
        <v>154</v>
      </c>
      <c r="B425" s="45" t="s">
        <v>83</v>
      </c>
      <c r="C425" s="46">
        <v>2011</v>
      </c>
      <c r="D425" s="45" t="s">
        <v>118</v>
      </c>
      <c r="E425" s="47">
        <v>10</v>
      </c>
      <c r="F425" s="48">
        <v>0.84</v>
      </c>
      <c r="G425" s="48">
        <v>49.39</v>
      </c>
    </row>
    <row r="426" spans="1:7" ht="10.050000000000001" customHeight="1">
      <c r="A426" s="45" t="s">
        <v>154</v>
      </c>
      <c r="B426" s="45" t="s">
        <v>83</v>
      </c>
      <c r="C426" s="46">
        <v>2011</v>
      </c>
      <c r="D426" s="45" t="s">
        <v>118</v>
      </c>
      <c r="E426" s="47">
        <v>11</v>
      </c>
      <c r="F426" s="48">
        <v>0.56999999999999995</v>
      </c>
      <c r="G426" s="48">
        <v>48.82</v>
      </c>
    </row>
    <row r="427" spans="1:7" ht="10.050000000000001" customHeight="1">
      <c r="A427" s="45" t="s">
        <v>154</v>
      </c>
      <c r="B427" s="45" t="s">
        <v>83</v>
      </c>
      <c r="C427" s="46">
        <v>2011</v>
      </c>
      <c r="D427" s="45" t="s">
        <v>118</v>
      </c>
      <c r="E427" s="47">
        <v>12</v>
      </c>
      <c r="F427" s="48">
        <v>0.72</v>
      </c>
      <c r="G427" s="48">
        <v>48.1</v>
      </c>
    </row>
    <row r="428" spans="1:7" ht="10.050000000000001" customHeight="1">
      <c r="A428" s="45" t="s">
        <v>154</v>
      </c>
      <c r="B428" s="45" t="s">
        <v>83</v>
      </c>
      <c r="C428" s="46">
        <v>2012</v>
      </c>
      <c r="D428" s="45" t="s">
        <v>118</v>
      </c>
      <c r="E428" s="47">
        <v>1</v>
      </c>
      <c r="F428" s="48">
        <v>16.84</v>
      </c>
      <c r="G428" s="48">
        <v>47.26</v>
      </c>
    </row>
    <row r="429" spans="1:7" ht="10.050000000000001" customHeight="1">
      <c r="A429" s="45" t="s">
        <v>154</v>
      </c>
      <c r="B429" s="45" t="s">
        <v>83</v>
      </c>
      <c r="C429" s="46">
        <v>2012</v>
      </c>
      <c r="D429" s="45" t="s">
        <v>118</v>
      </c>
      <c r="E429" s="47">
        <v>2</v>
      </c>
      <c r="F429" s="48">
        <v>13.7</v>
      </c>
      <c r="G429" s="48">
        <v>46.045000000000002</v>
      </c>
    </row>
    <row r="430" spans="1:7" ht="10.050000000000001" customHeight="1">
      <c r="A430" s="45" t="s">
        <v>154</v>
      </c>
      <c r="B430" s="45" t="s">
        <v>83</v>
      </c>
      <c r="C430" s="46">
        <v>2012</v>
      </c>
      <c r="D430" s="45" t="s">
        <v>118</v>
      </c>
      <c r="E430" s="47">
        <v>3</v>
      </c>
      <c r="F430" s="48">
        <v>24.265000000000001</v>
      </c>
      <c r="G430" s="48">
        <v>37.18</v>
      </c>
    </row>
    <row r="431" spans="1:7" ht="10.050000000000001" customHeight="1">
      <c r="A431" s="45" t="s">
        <v>154</v>
      </c>
      <c r="B431" s="45" t="s">
        <v>83</v>
      </c>
      <c r="C431" s="46">
        <v>2012</v>
      </c>
      <c r="D431" s="45" t="s">
        <v>118</v>
      </c>
      <c r="E431" s="47">
        <v>4</v>
      </c>
      <c r="F431" s="48">
        <v>25.48</v>
      </c>
      <c r="G431" s="48">
        <v>11.7</v>
      </c>
    </row>
    <row r="432" spans="1:7" ht="10.050000000000001" customHeight="1">
      <c r="A432" s="45" t="s">
        <v>154</v>
      </c>
      <c r="B432" s="45" t="s">
        <v>83</v>
      </c>
      <c r="C432" s="46">
        <v>2012</v>
      </c>
      <c r="D432" s="45" t="s">
        <v>118</v>
      </c>
      <c r="E432" s="47">
        <v>5</v>
      </c>
      <c r="F432" s="48">
        <v>0</v>
      </c>
      <c r="G432" s="48">
        <v>11.7</v>
      </c>
    </row>
    <row r="433" spans="1:7" ht="10.050000000000001" customHeight="1">
      <c r="A433" s="45" t="s">
        <v>154</v>
      </c>
      <c r="B433" s="45" t="s">
        <v>83</v>
      </c>
      <c r="C433" s="46">
        <v>2012</v>
      </c>
      <c r="D433" s="45" t="s">
        <v>118</v>
      </c>
      <c r="E433" s="47">
        <v>6</v>
      </c>
      <c r="F433" s="48">
        <v>35</v>
      </c>
      <c r="G433" s="48">
        <v>11.7</v>
      </c>
    </row>
    <row r="434" spans="1:7" ht="10.050000000000001" customHeight="1">
      <c r="A434" s="45" t="s">
        <v>154</v>
      </c>
      <c r="B434" s="45" t="s">
        <v>83</v>
      </c>
      <c r="C434" s="46">
        <v>2012</v>
      </c>
      <c r="D434" s="45" t="s">
        <v>119</v>
      </c>
      <c r="E434" s="47">
        <v>7</v>
      </c>
      <c r="F434" s="48">
        <v>3.7</v>
      </c>
      <c r="G434" s="48">
        <v>8</v>
      </c>
    </row>
    <row r="435" spans="1:7" ht="10.050000000000001" customHeight="1">
      <c r="A435" s="45" t="s">
        <v>154</v>
      </c>
      <c r="B435" s="45" t="s">
        <v>83</v>
      </c>
      <c r="C435" s="46">
        <v>2012</v>
      </c>
      <c r="D435" s="45" t="s">
        <v>119</v>
      </c>
      <c r="E435" s="47">
        <v>8</v>
      </c>
      <c r="F435" s="48">
        <v>28.9</v>
      </c>
      <c r="G435" s="48">
        <v>0</v>
      </c>
    </row>
    <row r="436" spans="1:7" ht="10.050000000000001" customHeight="1">
      <c r="A436" s="45" t="s">
        <v>154</v>
      </c>
      <c r="B436" s="45" t="s">
        <v>83</v>
      </c>
      <c r="C436" s="46">
        <v>2012</v>
      </c>
      <c r="D436" s="45" t="s">
        <v>119</v>
      </c>
      <c r="E436" s="47">
        <v>9</v>
      </c>
      <c r="F436" s="48">
        <v>31.8</v>
      </c>
      <c r="G436" s="48">
        <v>0</v>
      </c>
    </row>
    <row r="437" spans="1:7" ht="10.050000000000001" customHeight="1">
      <c r="A437" s="45" t="s">
        <v>154</v>
      </c>
      <c r="B437" s="45" t="s">
        <v>83</v>
      </c>
      <c r="C437" s="46">
        <v>2012</v>
      </c>
      <c r="D437" s="45" t="s">
        <v>119</v>
      </c>
      <c r="E437" s="47">
        <v>10</v>
      </c>
      <c r="F437" s="48">
        <v>40.5</v>
      </c>
      <c r="G437" s="48">
        <v>0</v>
      </c>
    </row>
    <row r="438" spans="1:7" ht="10.050000000000001" customHeight="1">
      <c r="A438" s="45" t="s">
        <v>154</v>
      </c>
      <c r="B438" s="45" t="s">
        <v>83</v>
      </c>
      <c r="C438" s="46">
        <v>2012</v>
      </c>
      <c r="D438" s="45" t="s">
        <v>119</v>
      </c>
      <c r="E438" s="47">
        <v>12</v>
      </c>
      <c r="F438" s="48">
        <v>20</v>
      </c>
      <c r="G438" s="48">
        <v>0</v>
      </c>
    </row>
    <row r="439" spans="1:7" ht="10.050000000000001" customHeight="1">
      <c r="A439" s="45" t="s">
        <v>154</v>
      </c>
      <c r="B439" s="45" t="s">
        <v>83</v>
      </c>
      <c r="C439" s="46">
        <v>2013</v>
      </c>
      <c r="D439" s="45" t="s">
        <v>119</v>
      </c>
      <c r="E439" s="47">
        <v>2</v>
      </c>
      <c r="F439" s="48">
        <v>64</v>
      </c>
      <c r="G439" s="48">
        <v>5</v>
      </c>
    </row>
    <row r="440" spans="1:7" ht="10.050000000000001" customHeight="1">
      <c r="A440" s="45" t="s">
        <v>154</v>
      </c>
      <c r="B440" s="45" t="s">
        <v>83</v>
      </c>
      <c r="C440" s="46">
        <v>2013</v>
      </c>
      <c r="D440" s="45" t="s">
        <v>119</v>
      </c>
      <c r="E440" s="47">
        <v>3</v>
      </c>
      <c r="F440" s="48">
        <v>74.7</v>
      </c>
      <c r="G440" s="48">
        <v>5</v>
      </c>
    </row>
    <row r="441" spans="1:7" ht="10.050000000000001" customHeight="1">
      <c r="A441" s="45" t="s">
        <v>154</v>
      </c>
      <c r="B441" s="45" t="s">
        <v>83</v>
      </c>
      <c r="C441" s="46">
        <v>2013</v>
      </c>
      <c r="D441" s="45" t="s">
        <v>119</v>
      </c>
      <c r="E441" s="47">
        <v>4</v>
      </c>
      <c r="F441" s="48">
        <v>27</v>
      </c>
      <c r="G441" s="48">
        <v>5</v>
      </c>
    </row>
    <row r="442" spans="1:7" ht="10.050000000000001" customHeight="1">
      <c r="A442" s="45" t="s">
        <v>154</v>
      </c>
      <c r="B442" s="45" t="s">
        <v>83</v>
      </c>
      <c r="C442" s="46">
        <v>2013</v>
      </c>
      <c r="D442" s="45" t="s">
        <v>119</v>
      </c>
      <c r="E442" s="47">
        <v>6</v>
      </c>
      <c r="F442" s="48">
        <v>41.1</v>
      </c>
      <c r="G442" s="48">
        <v>0</v>
      </c>
    </row>
    <row r="443" spans="1:7" ht="10.050000000000001" customHeight="1">
      <c r="A443" s="45" t="s">
        <v>154</v>
      </c>
      <c r="B443" s="45" t="s">
        <v>83</v>
      </c>
      <c r="C443" s="46">
        <v>2013</v>
      </c>
      <c r="D443" s="45" t="s">
        <v>120</v>
      </c>
      <c r="E443" s="47">
        <v>8</v>
      </c>
      <c r="F443" s="48">
        <v>33.4</v>
      </c>
      <c r="G443" s="48">
        <v>0</v>
      </c>
    </row>
    <row r="444" spans="1:7" ht="10.050000000000001" customHeight="1">
      <c r="A444" s="45" t="s">
        <v>154</v>
      </c>
      <c r="B444" s="45" t="s">
        <v>83</v>
      </c>
      <c r="C444" s="46">
        <v>2013</v>
      </c>
      <c r="D444" s="45" t="s">
        <v>120</v>
      </c>
      <c r="E444" s="47">
        <v>10</v>
      </c>
      <c r="F444" s="48">
        <v>47.2</v>
      </c>
      <c r="G444" s="48">
        <v>0</v>
      </c>
    </row>
    <row r="445" spans="1:7" ht="10.050000000000001" customHeight="1">
      <c r="A445" s="45" t="s">
        <v>154</v>
      </c>
      <c r="B445" s="45" t="s">
        <v>83</v>
      </c>
      <c r="C445" s="46">
        <v>2013</v>
      </c>
      <c r="D445" s="45" t="s">
        <v>120</v>
      </c>
      <c r="E445" s="47">
        <v>11</v>
      </c>
      <c r="F445" s="48">
        <v>60.5</v>
      </c>
      <c r="G445" s="48">
        <v>0</v>
      </c>
    </row>
    <row r="446" spans="1:7" ht="10.050000000000001" customHeight="1">
      <c r="A446" s="45" t="s">
        <v>154</v>
      </c>
      <c r="B446" s="45" t="s">
        <v>83</v>
      </c>
      <c r="C446" s="46">
        <v>2013</v>
      </c>
      <c r="D446" s="45" t="s">
        <v>120</v>
      </c>
      <c r="E446" s="47">
        <v>12</v>
      </c>
      <c r="F446" s="48">
        <v>39.4</v>
      </c>
      <c r="G446" s="48">
        <v>0</v>
      </c>
    </row>
    <row r="447" spans="1:7" ht="10.050000000000001" customHeight="1">
      <c r="A447" s="45" t="s">
        <v>154</v>
      </c>
      <c r="B447" s="45" t="s">
        <v>83</v>
      </c>
      <c r="C447" s="46">
        <v>2014</v>
      </c>
      <c r="D447" s="45" t="s">
        <v>120</v>
      </c>
      <c r="E447" s="47">
        <v>1</v>
      </c>
      <c r="F447" s="48">
        <v>41.9</v>
      </c>
      <c r="G447" s="48">
        <v>0</v>
      </c>
    </row>
    <row r="448" spans="1:7" ht="10.050000000000001" customHeight="1">
      <c r="A448" s="45" t="s">
        <v>154</v>
      </c>
      <c r="B448" s="45" t="s">
        <v>83</v>
      </c>
      <c r="C448" s="46">
        <v>2014</v>
      </c>
      <c r="D448" s="45" t="s">
        <v>120</v>
      </c>
      <c r="E448" s="47">
        <v>3</v>
      </c>
      <c r="F448" s="48">
        <v>34.6</v>
      </c>
      <c r="G448" s="48">
        <v>0</v>
      </c>
    </row>
    <row r="449" spans="1:7" ht="10.050000000000001" customHeight="1">
      <c r="A449" s="45" t="s">
        <v>154</v>
      </c>
      <c r="B449" s="45" t="s">
        <v>83</v>
      </c>
      <c r="C449" s="46">
        <v>2014</v>
      </c>
      <c r="D449" s="45" t="s">
        <v>120</v>
      </c>
      <c r="E449" s="47">
        <v>4</v>
      </c>
      <c r="F449" s="48">
        <v>57.6</v>
      </c>
      <c r="G449" s="48">
        <v>0</v>
      </c>
    </row>
    <row r="450" spans="1:7" ht="10.050000000000001" customHeight="1">
      <c r="A450" s="45" t="s">
        <v>154</v>
      </c>
      <c r="B450" s="45" t="s">
        <v>83</v>
      </c>
      <c r="C450" s="46">
        <v>2014</v>
      </c>
      <c r="D450" s="45" t="s">
        <v>120</v>
      </c>
      <c r="E450" s="47">
        <v>5</v>
      </c>
      <c r="F450" s="48">
        <v>41</v>
      </c>
      <c r="G450" s="48">
        <v>0</v>
      </c>
    </row>
    <row r="451" spans="1:7" ht="10.050000000000001" customHeight="1">
      <c r="A451" s="45" t="s">
        <v>154</v>
      </c>
      <c r="B451" s="45" t="s">
        <v>83</v>
      </c>
      <c r="C451" s="46">
        <v>2014</v>
      </c>
      <c r="D451" s="45" t="s">
        <v>120</v>
      </c>
      <c r="E451" s="47">
        <v>6</v>
      </c>
      <c r="F451" s="48">
        <v>34.299999999999997</v>
      </c>
      <c r="G451" s="48">
        <v>0</v>
      </c>
    </row>
    <row r="452" spans="1:7" ht="10.050000000000001" customHeight="1">
      <c r="A452" s="45" t="s">
        <v>154</v>
      </c>
      <c r="B452" s="45" t="s">
        <v>83</v>
      </c>
      <c r="C452" s="46">
        <v>2014</v>
      </c>
      <c r="D452" s="45" t="s">
        <v>121</v>
      </c>
      <c r="E452" s="47">
        <v>9</v>
      </c>
      <c r="F452" s="48">
        <v>61.8</v>
      </c>
      <c r="G452" s="48">
        <v>0</v>
      </c>
    </row>
    <row r="453" spans="1:7" ht="10.050000000000001" customHeight="1">
      <c r="A453" s="45" t="s">
        <v>154</v>
      </c>
      <c r="B453" s="45" t="s">
        <v>83</v>
      </c>
      <c r="C453" s="46">
        <v>2014</v>
      </c>
      <c r="D453" s="45" t="s">
        <v>121</v>
      </c>
      <c r="E453" s="47">
        <v>10</v>
      </c>
      <c r="F453" s="48">
        <v>17.600000000000001</v>
      </c>
      <c r="G453" s="48">
        <v>0</v>
      </c>
    </row>
    <row r="454" spans="1:7" ht="10.050000000000001" customHeight="1">
      <c r="A454" s="45" t="s">
        <v>154</v>
      </c>
      <c r="B454" s="45" t="s">
        <v>83</v>
      </c>
      <c r="C454" s="46">
        <v>2014</v>
      </c>
      <c r="D454" s="45" t="s">
        <v>121</v>
      </c>
      <c r="E454" s="47">
        <v>12</v>
      </c>
      <c r="F454" s="48">
        <v>48.5</v>
      </c>
      <c r="G454" s="48">
        <v>0</v>
      </c>
    </row>
    <row r="455" spans="1:7" ht="10.050000000000001" customHeight="1">
      <c r="A455" s="45" t="s">
        <v>154</v>
      </c>
      <c r="B455" s="45" t="s">
        <v>83</v>
      </c>
      <c r="C455" s="46">
        <v>2015</v>
      </c>
      <c r="D455" s="45" t="s">
        <v>121</v>
      </c>
      <c r="E455" s="47">
        <v>1</v>
      </c>
      <c r="F455" s="48">
        <v>52.8</v>
      </c>
      <c r="G455" s="48">
        <v>0</v>
      </c>
    </row>
    <row r="456" spans="1:7" ht="10.050000000000001" customHeight="1">
      <c r="A456" s="45" t="s">
        <v>154</v>
      </c>
      <c r="B456" s="45" t="s">
        <v>83</v>
      </c>
      <c r="C456" s="46">
        <v>2015</v>
      </c>
      <c r="D456" s="45" t="s">
        <v>121</v>
      </c>
      <c r="E456" s="47">
        <v>2</v>
      </c>
      <c r="F456" s="48">
        <v>36.6</v>
      </c>
      <c r="G456" s="48">
        <v>0</v>
      </c>
    </row>
    <row r="457" spans="1:7" ht="10.050000000000001" customHeight="1">
      <c r="A457" s="45" t="s">
        <v>154</v>
      </c>
      <c r="B457" s="45" t="s">
        <v>83</v>
      </c>
      <c r="C457" s="46">
        <v>2015</v>
      </c>
      <c r="D457" s="45" t="s">
        <v>121</v>
      </c>
      <c r="E457" s="47">
        <v>4</v>
      </c>
      <c r="F457" s="48">
        <v>45.6</v>
      </c>
      <c r="G457" s="48">
        <v>0</v>
      </c>
    </row>
    <row r="458" spans="1:7" ht="10.050000000000001" customHeight="1">
      <c r="A458" s="45" t="s">
        <v>154</v>
      </c>
      <c r="B458" s="45" t="s">
        <v>83</v>
      </c>
      <c r="C458" s="46">
        <v>2015</v>
      </c>
      <c r="D458" s="45" t="s">
        <v>121</v>
      </c>
      <c r="E458" s="47">
        <v>5</v>
      </c>
      <c r="F458" s="48">
        <v>44</v>
      </c>
      <c r="G458" s="48">
        <v>0</v>
      </c>
    </row>
    <row r="459" spans="1:7" ht="10.050000000000001" customHeight="1">
      <c r="A459" s="45" t="s">
        <v>154</v>
      </c>
      <c r="B459" s="45" t="s">
        <v>83</v>
      </c>
      <c r="C459" s="46">
        <v>2015</v>
      </c>
      <c r="D459" s="45" t="s">
        <v>122</v>
      </c>
      <c r="E459" s="47">
        <v>7</v>
      </c>
      <c r="F459" s="48">
        <v>41.7</v>
      </c>
      <c r="G459" s="48">
        <v>0</v>
      </c>
    </row>
    <row r="460" spans="1:7" ht="10.050000000000001" customHeight="1">
      <c r="A460" s="45" t="s">
        <v>154</v>
      </c>
      <c r="B460" s="45" t="s">
        <v>83</v>
      </c>
      <c r="C460" s="46">
        <v>2015</v>
      </c>
      <c r="D460" s="45" t="s">
        <v>122</v>
      </c>
      <c r="E460" s="47">
        <v>8</v>
      </c>
      <c r="F460" s="48">
        <v>38.5</v>
      </c>
      <c r="G460" s="48">
        <v>0</v>
      </c>
    </row>
    <row r="461" spans="1:7" ht="10.050000000000001" customHeight="1">
      <c r="A461" s="45" t="s">
        <v>154</v>
      </c>
      <c r="B461" s="45" t="s">
        <v>83</v>
      </c>
      <c r="C461" s="46">
        <v>2015</v>
      </c>
      <c r="D461" s="45" t="s">
        <v>122</v>
      </c>
      <c r="E461" s="47">
        <v>9</v>
      </c>
      <c r="F461" s="48">
        <v>39.200000000000003</v>
      </c>
      <c r="G461" s="48">
        <v>0</v>
      </c>
    </row>
    <row r="462" spans="1:7" ht="10.050000000000001" customHeight="1">
      <c r="A462" s="45" t="s">
        <v>154</v>
      </c>
      <c r="B462" s="45" t="s">
        <v>83</v>
      </c>
      <c r="C462" s="46">
        <v>2015</v>
      </c>
      <c r="D462" s="45" t="s">
        <v>122</v>
      </c>
      <c r="E462" s="47">
        <v>10</v>
      </c>
      <c r="F462" s="48">
        <v>42.5</v>
      </c>
      <c r="G462" s="48">
        <v>0</v>
      </c>
    </row>
    <row r="463" spans="1:7" ht="10.050000000000001" customHeight="1">
      <c r="A463" s="45" t="s">
        <v>154</v>
      </c>
      <c r="B463" s="45" t="s">
        <v>83</v>
      </c>
      <c r="C463" s="46">
        <v>2015</v>
      </c>
      <c r="D463" s="45" t="s">
        <v>122</v>
      </c>
      <c r="E463" s="47">
        <v>11</v>
      </c>
      <c r="F463" s="48">
        <v>24.5</v>
      </c>
      <c r="G463" s="48">
        <v>0</v>
      </c>
    </row>
    <row r="464" spans="1:7" ht="10.050000000000001" customHeight="1">
      <c r="A464" s="45" t="s">
        <v>154</v>
      </c>
      <c r="B464" s="45" t="s">
        <v>83</v>
      </c>
      <c r="C464" s="46">
        <v>2015</v>
      </c>
      <c r="D464" s="45" t="s">
        <v>122</v>
      </c>
      <c r="E464" s="47">
        <v>12</v>
      </c>
      <c r="F464" s="48">
        <v>73.7</v>
      </c>
      <c r="G464" s="48">
        <v>0</v>
      </c>
    </row>
    <row r="465" spans="1:7" ht="10.050000000000001" customHeight="1">
      <c r="A465" s="45" t="s">
        <v>154</v>
      </c>
      <c r="B465" s="45" t="s">
        <v>83</v>
      </c>
      <c r="C465" s="46">
        <v>2016</v>
      </c>
      <c r="D465" s="45" t="s">
        <v>122</v>
      </c>
      <c r="E465" s="47">
        <v>1</v>
      </c>
      <c r="F465" s="48">
        <v>61.7</v>
      </c>
      <c r="G465" s="48">
        <v>0</v>
      </c>
    </row>
    <row r="466" spans="1:7" ht="10.050000000000001" customHeight="1">
      <c r="A466" s="45" t="s">
        <v>154</v>
      </c>
      <c r="B466" s="45" t="s">
        <v>83</v>
      </c>
      <c r="C466" s="46">
        <v>2016</v>
      </c>
      <c r="D466" s="45" t="s">
        <v>122</v>
      </c>
      <c r="E466" s="47">
        <v>2</v>
      </c>
      <c r="F466" s="48">
        <v>8.1999999999999993</v>
      </c>
      <c r="G466" s="48">
        <v>18.399999999999999</v>
      </c>
    </row>
    <row r="467" spans="1:7" ht="10.050000000000001" customHeight="1">
      <c r="A467" s="45" t="s">
        <v>154</v>
      </c>
      <c r="B467" s="45" t="s">
        <v>83</v>
      </c>
      <c r="C467" s="46">
        <v>2016</v>
      </c>
      <c r="D467" s="45" t="s">
        <v>122</v>
      </c>
      <c r="E467" s="47">
        <v>3</v>
      </c>
      <c r="F467" s="48">
        <v>18.5</v>
      </c>
      <c r="G467" s="48">
        <v>0</v>
      </c>
    </row>
    <row r="468" spans="1:7" ht="10.050000000000001" customHeight="1">
      <c r="A468" s="45" t="s">
        <v>154</v>
      </c>
      <c r="B468" s="45" t="s">
        <v>83</v>
      </c>
      <c r="C468" s="46">
        <v>2016</v>
      </c>
      <c r="D468" s="45" t="s">
        <v>122</v>
      </c>
      <c r="E468" s="47">
        <v>6</v>
      </c>
      <c r="F468" s="48">
        <v>93</v>
      </c>
      <c r="G468" s="48">
        <v>0</v>
      </c>
    </row>
    <row r="469" spans="1:7" ht="10.050000000000001" customHeight="1">
      <c r="A469" s="45" t="s">
        <v>154</v>
      </c>
      <c r="B469" s="45" t="s">
        <v>83</v>
      </c>
      <c r="C469" s="46">
        <v>2016</v>
      </c>
      <c r="D469" s="45" t="s">
        <v>123</v>
      </c>
      <c r="E469" s="47">
        <v>7</v>
      </c>
      <c r="F469" s="48">
        <v>50.4</v>
      </c>
      <c r="G469" s="48">
        <v>0</v>
      </c>
    </row>
    <row r="470" spans="1:7" ht="10.050000000000001" customHeight="1">
      <c r="A470" s="45" t="s">
        <v>154</v>
      </c>
      <c r="B470" s="45" t="s">
        <v>83</v>
      </c>
      <c r="C470" s="46">
        <v>2016</v>
      </c>
      <c r="D470" s="45" t="s">
        <v>123</v>
      </c>
      <c r="E470" s="47">
        <v>8</v>
      </c>
      <c r="F470" s="48">
        <v>72.2</v>
      </c>
      <c r="G470" s="48">
        <v>0</v>
      </c>
    </row>
    <row r="471" spans="1:7" ht="10.050000000000001" customHeight="1">
      <c r="A471" s="45" t="s">
        <v>154</v>
      </c>
      <c r="B471" s="45" t="s">
        <v>83</v>
      </c>
      <c r="C471" s="46">
        <v>2016</v>
      </c>
      <c r="D471" s="45" t="s">
        <v>123</v>
      </c>
      <c r="E471" s="47">
        <v>10</v>
      </c>
      <c r="F471" s="48">
        <v>0</v>
      </c>
      <c r="G471" s="48">
        <v>75.599999999999994</v>
      </c>
    </row>
    <row r="472" spans="1:7" ht="10.050000000000001" customHeight="1">
      <c r="A472" s="45" t="s">
        <v>154</v>
      </c>
      <c r="B472" s="45" t="s">
        <v>83</v>
      </c>
      <c r="C472" s="46">
        <v>2016</v>
      </c>
      <c r="D472" s="45" t="s">
        <v>123</v>
      </c>
      <c r="E472" s="47">
        <v>11</v>
      </c>
      <c r="F472" s="48">
        <v>84</v>
      </c>
      <c r="G472" s="48">
        <v>0</v>
      </c>
    </row>
    <row r="473" spans="1:7" ht="10.050000000000001" customHeight="1">
      <c r="A473" s="45" t="s">
        <v>154</v>
      </c>
      <c r="B473" s="45" t="s">
        <v>83</v>
      </c>
      <c r="C473" s="46">
        <v>2016</v>
      </c>
      <c r="D473" s="45" t="s">
        <v>123</v>
      </c>
      <c r="E473" s="47">
        <v>12</v>
      </c>
      <c r="F473" s="48">
        <v>96</v>
      </c>
      <c r="G473" s="48">
        <v>0</v>
      </c>
    </row>
    <row r="474" spans="1:7" ht="10.050000000000001" customHeight="1">
      <c r="A474" s="45" t="s">
        <v>154</v>
      </c>
      <c r="B474" s="45" t="s">
        <v>83</v>
      </c>
      <c r="C474" s="46">
        <v>2017</v>
      </c>
      <c r="D474" s="45" t="s">
        <v>123</v>
      </c>
      <c r="E474" s="47">
        <v>1</v>
      </c>
      <c r="F474" s="48">
        <v>91.2</v>
      </c>
      <c r="G474" s="48">
        <v>0</v>
      </c>
    </row>
    <row r="475" spans="1:7" ht="10.050000000000001" customHeight="1">
      <c r="A475" s="45" t="s">
        <v>154</v>
      </c>
      <c r="B475" s="45" t="s">
        <v>83</v>
      </c>
      <c r="C475" s="46">
        <v>2017</v>
      </c>
      <c r="D475" s="45" t="s">
        <v>123</v>
      </c>
      <c r="E475" s="47">
        <v>2</v>
      </c>
      <c r="F475" s="48">
        <v>62.3</v>
      </c>
      <c r="G475" s="48">
        <v>0</v>
      </c>
    </row>
    <row r="476" spans="1:7" ht="10.050000000000001" customHeight="1">
      <c r="A476" s="45" t="s">
        <v>154</v>
      </c>
      <c r="B476" s="45" t="s">
        <v>83</v>
      </c>
      <c r="C476" s="46">
        <v>2017</v>
      </c>
      <c r="D476" s="45" t="s">
        <v>123</v>
      </c>
      <c r="E476" s="47">
        <v>5</v>
      </c>
      <c r="F476" s="48">
        <v>71.400000000000006</v>
      </c>
      <c r="G476" s="48">
        <v>0</v>
      </c>
    </row>
    <row r="477" spans="1:7" ht="10.050000000000001" customHeight="1">
      <c r="A477" s="45" t="s">
        <v>154</v>
      </c>
      <c r="B477" s="45" t="s">
        <v>83</v>
      </c>
      <c r="C477" s="46">
        <v>2017</v>
      </c>
      <c r="D477" s="45" t="s">
        <v>123</v>
      </c>
      <c r="E477" s="47">
        <v>6</v>
      </c>
      <c r="F477" s="48">
        <v>118.6</v>
      </c>
      <c r="G477" s="48">
        <v>0</v>
      </c>
    </row>
    <row r="478" spans="1:7" ht="10.050000000000001" customHeight="1">
      <c r="A478" s="45" t="s">
        <v>154</v>
      </c>
      <c r="B478" s="45" t="s">
        <v>83</v>
      </c>
      <c r="C478" s="46">
        <v>2017</v>
      </c>
      <c r="D478" s="45" t="s">
        <v>124</v>
      </c>
      <c r="E478" s="47">
        <v>7</v>
      </c>
      <c r="F478" s="48">
        <v>84.4</v>
      </c>
      <c r="G478" s="48">
        <v>0</v>
      </c>
    </row>
    <row r="479" spans="1:7" ht="10.050000000000001" customHeight="1">
      <c r="A479" s="45" t="s">
        <v>154</v>
      </c>
      <c r="B479" s="45" t="s">
        <v>83</v>
      </c>
      <c r="C479" s="46">
        <v>2017</v>
      </c>
      <c r="D479" s="45" t="s">
        <v>124</v>
      </c>
      <c r="E479" s="47">
        <v>8</v>
      </c>
      <c r="F479" s="48">
        <v>70.099999999999994</v>
      </c>
      <c r="G479" s="48">
        <v>0</v>
      </c>
    </row>
    <row r="480" spans="1:7" ht="10.050000000000001" customHeight="1">
      <c r="A480" s="45" t="s">
        <v>154</v>
      </c>
      <c r="B480" s="45" t="s">
        <v>83</v>
      </c>
      <c r="C480" s="46">
        <v>2017</v>
      </c>
      <c r="D480" s="45" t="s">
        <v>124</v>
      </c>
      <c r="E480" s="47">
        <v>9</v>
      </c>
      <c r="F480" s="48">
        <v>110.7</v>
      </c>
      <c r="G480" s="48">
        <v>0</v>
      </c>
    </row>
    <row r="481" spans="1:7" ht="10.050000000000001" customHeight="1">
      <c r="A481" s="45" t="s">
        <v>154</v>
      </c>
      <c r="B481" s="45" t="s">
        <v>83</v>
      </c>
      <c r="C481" s="46">
        <v>2017</v>
      </c>
      <c r="D481" s="45" t="s">
        <v>124</v>
      </c>
      <c r="E481" s="47">
        <v>10</v>
      </c>
      <c r="F481" s="48">
        <v>0</v>
      </c>
      <c r="G481" s="48">
        <v>94.5</v>
      </c>
    </row>
    <row r="482" spans="1:7" ht="10.050000000000001" customHeight="1">
      <c r="A482" s="45" t="s">
        <v>154</v>
      </c>
      <c r="B482" s="45" t="s">
        <v>83</v>
      </c>
      <c r="C482" s="46">
        <v>2017</v>
      </c>
      <c r="D482" s="45" t="s">
        <v>124</v>
      </c>
      <c r="E482" s="47">
        <v>11</v>
      </c>
      <c r="F482" s="48">
        <v>112.3</v>
      </c>
      <c r="G482" s="48">
        <v>94.5</v>
      </c>
    </row>
    <row r="483" spans="1:7" ht="10.050000000000001" customHeight="1">
      <c r="A483" s="45" t="s">
        <v>154</v>
      </c>
      <c r="B483" s="45" t="s">
        <v>83</v>
      </c>
      <c r="C483" s="46">
        <v>2017</v>
      </c>
      <c r="D483" s="45" t="s">
        <v>124</v>
      </c>
      <c r="E483" s="47">
        <v>12</v>
      </c>
      <c r="F483" s="48">
        <v>0</v>
      </c>
      <c r="G483" s="48">
        <v>94.5</v>
      </c>
    </row>
    <row r="484" spans="1:7" ht="10.050000000000001" customHeight="1">
      <c r="A484" s="45" t="s">
        <v>154</v>
      </c>
      <c r="B484" s="45" t="s">
        <v>83</v>
      </c>
      <c r="C484" s="46">
        <v>2018</v>
      </c>
      <c r="D484" s="45" t="s">
        <v>124</v>
      </c>
      <c r="E484" s="47">
        <v>1</v>
      </c>
      <c r="F484" s="48">
        <v>75.900000000000006</v>
      </c>
      <c r="G484" s="48">
        <v>94.5</v>
      </c>
    </row>
    <row r="485" spans="1:7" ht="10.050000000000001" customHeight="1">
      <c r="A485" s="45" t="s">
        <v>154</v>
      </c>
      <c r="B485" s="45" t="s">
        <v>83</v>
      </c>
      <c r="C485" s="46">
        <v>2018</v>
      </c>
      <c r="D485" s="45" t="s">
        <v>124</v>
      </c>
      <c r="E485" s="47">
        <v>2</v>
      </c>
      <c r="F485" s="48">
        <v>75.900000000000006</v>
      </c>
      <c r="G485" s="48">
        <v>0</v>
      </c>
    </row>
    <row r="486" spans="1:7" ht="10.050000000000001" customHeight="1">
      <c r="A486" s="45" t="s">
        <v>154</v>
      </c>
      <c r="B486" s="45" t="s">
        <v>83</v>
      </c>
      <c r="C486" s="46">
        <v>2018</v>
      </c>
      <c r="D486" s="45" t="s">
        <v>124</v>
      </c>
      <c r="E486" s="47">
        <v>3</v>
      </c>
      <c r="F486" s="48">
        <v>97.6</v>
      </c>
      <c r="G486" s="48">
        <v>0</v>
      </c>
    </row>
    <row r="487" spans="1:7" ht="10.050000000000001" customHeight="1">
      <c r="A487" s="45" t="s">
        <v>154</v>
      </c>
      <c r="B487" s="45" t="s">
        <v>83</v>
      </c>
      <c r="C487" s="46">
        <v>2018</v>
      </c>
      <c r="D487" s="45" t="s">
        <v>124</v>
      </c>
      <c r="E487" s="47">
        <v>4</v>
      </c>
      <c r="F487" s="48">
        <v>74</v>
      </c>
      <c r="G487" s="48">
        <v>0</v>
      </c>
    </row>
    <row r="488" spans="1:7" ht="10.050000000000001" customHeight="1">
      <c r="A488" s="45" t="s">
        <v>154</v>
      </c>
      <c r="B488" s="45" t="s">
        <v>83</v>
      </c>
      <c r="C488" s="46">
        <v>2018</v>
      </c>
      <c r="D488" s="45" t="s">
        <v>124</v>
      </c>
      <c r="E488" s="47">
        <v>5</v>
      </c>
      <c r="F488" s="48">
        <v>62.1</v>
      </c>
      <c r="G488" s="48">
        <v>0</v>
      </c>
    </row>
    <row r="489" spans="1:7" ht="10.050000000000001" customHeight="1">
      <c r="A489" s="45" t="s">
        <v>154</v>
      </c>
      <c r="B489" s="45" t="s">
        <v>83</v>
      </c>
      <c r="C489" s="46">
        <v>2018</v>
      </c>
      <c r="D489" s="45" t="s">
        <v>124</v>
      </c>
      <c r="E489" s="47">
        <v>6</v>
      </c>
      <c r="F489" s="48">
        <v>212.7</v>
      </c>
      <c r="G489" s="48">
        <v>0</v>
      </c>
    </row>
    <row r="490" spans="1:7" ht="10.050000000000001" customHeight="1">
      <c r="A490" s="45" t="s">
        <v>154</v>
      </c>
      <c r="B490" s="45" t="s">
        <v>83</v>
      </c>
      <c r="C490" s="46">
        <v>2018</v>
      </c>
      <c r="D490" s="45" t="s">
        <v>125</v>
      </c>
      <c r="E490" s="47">
        <v>7</v>
      </c>
      <c r="F490" s="48">
        <v>85.9</v>
      </c>
      <c r="G490" s="48">
        <v>0</v>
      </c>
    </row>
    <row r="491" spans="1:7" ht="10.050000000000001" customHeight="1">
      <c r="A491" s="45" t="s">
        <v>154</v>
      </c>
      <c r="B491" s="45" t="s">
        <v>83</v>
      </c>
      <c r="C491" s="46">
        <v>2018</v>
      </c>
      <c r="D491" s="45" t="s">
        <v>125</v>
      </c>
      <c r="E491" s="47">
        <v>8</v>
      </c>
      <c r="F491" s="48">
        <v>124</v>
      </c>
      <c r="G491" s="48">
        <v>0</v>
      </c>
    </row>
    <row r="492" spans="1:7" ht="10.050000000000001" customHeight="1">
      <c r="A492" s="45" t="s">
        <v>154</v>
      </c>
      <c r="B492" s="45" t="s">
        <v>83</v>
      </c>
      <c r="C492" s="46">
        <v>2018</v>
      </c>
      <c r="D492" s="45" t="s">
        <v>125</v>
      </c>
      <c r="E492" s="47">
        <v>9</v>
      </c>
      <c r="F492" s="48">
        <v>97</v>
      </c>
      <c r="G492" s="48">
        <v>0</v>
      </c>
    </row>
    <row r="493" spans="1:7" ht="10.050000000000001" customHeight="1">
      <c r="A493" s="45" t="s">
        <v>154</v>
      </c>
      <c r="B493" s="45" t="s">
        <v>83</v>
      </c>
      <c r="C493" s="46">
        <v>2018</v>
      </c>
      <c r="D493" s="45" t="s">
        <v>125</v>
      </c>
      <c r="E493" s="47">
        <v>10</v>
      </c>
      <c r="F493" s="48">
        <v>93.4</v>
      </c>
      <c r="G493" s="48">
        <v>0</v>
      </c>
    </row>
    <row r="494" spans="1:7" ht="10.050000000000001" customHeight="1">
      <c r="A494" s="45" t="s">
        <v>154</v>
      </c>
      <c r="B494" s="45" t="s">
        <v>83</v>
      </c>
      <c r="C494" s="46">
        <v>2018</v>
      </c>
      <c r="D494" s="45" t="s">
        <v>125</v>
      </c>
      <c r="E494" s="47">
        <v>11</v>
      </c>
      <c r="F494" s="48">
        <v>82.1</v>
      </c>
      <c r="G494" s="48">
        <v>0</v>
      </c>
    </row>
    <row r="495" spans="1:7" ht="10.050000000000001" customHeight="1">
      <c r="A495" s="45" t="s">
        <v>154</v>
      </c>
      <c r="B495" s="45" t="s">
        <v>83</v>
      </c>
      <c r="C495" s="46">
        <v>2018</v>
      </c>
      <c r="D495" s="45" t="s">
        <v>125</v>
      </c>
      <c r="E495" s="47">
        <v>12</v>
      </c>
      <c r="F495" s="48">
        <v>3.3</v>
      </c>
      <c r="G495" s="48">
        <v>0</v>
      </c>
    </row>
    <row r="496" spans="1:7" ht="10.050000000000001" customHeight="1">
      <c r="A496" s="45" t="s">
        <v>154</v>
      </c>
      <c r="B496" s="45" t="s">
        <v>83</v>
      </c>
      <c r="C496" s="46">
        <v>2019</v>
      </c>
      <c r="D496" s="45" t="s">
        <v>125</v>
      </c>
      <c r="E496" s="47">
        <v>1</v>
      </c>
      <c r="F496" s="48">
        <v>783.17</v>
      </c>
      <c r="G496" s="48">
        <v>101.07</v>
      </c>
    </row>
    <row r="497" spans="1:7" ht="10.050000000000001" customHeight="1">
      <c r="A497" s="45" t="s">
        <v>154</v>
      </c>
      <c r="B497" s="45" t="s">
        <v>83</v>
      </c>
      <c r="C497" s="46">
        <v>2019</v>
      </c>
      <c r="D497" s="45" t="s">
        <v>125</v>
      </c>
      <c r="E497" s="47">
        <v>2</v>
      </c>
      <c r="F497" s="48">
        <v>204.63</v>
      </c>
      <c r="G497" s="48">
        <v>79.97</v>
      </c>
    </row>
    <row r="498" spans="1:7" ht="10.050000000000001" customHeight="1">
      <c r="A498" s="45" t="s">
        <v>154</v>
      </c>
      <c r="B498" s="45" t="s">
        <v>83</v>
      </c>
      <c r="C498" s="46">
        <v>2019</v>
      </c>
      <c r="D498" s="45" t="s">
        <v>125</v>
      </c>
      <c r="E498" s="47">
        <v>3</v>
      </c>
      <c r="F498" s="48">
        <v>253.16</v>
      </c>
      <c r="G498" s="48">
        <v>116.967</v>
      </c>
    </row>
    <row r="499" spans="1:7" ht="10.050000000000001" customHeight="1">
      <c r="A499" s="45" t="s">
        <v>154</v>
      </c>
      <c r="B499" s="45" t="s">
        <v>83</v>
      </c>
      <c r="C499" s="46">
        <v>2019</v>
      </c>
      <c r="D499" s="45" t="s">
        <v>125</v>
      </c>
      <c r="E499" s="47">
        <v>4</v>
      </c>
      <c r="F499" s="48">
        <v>342.95299999999997</v>
      </c>
      <c r="G499" s="48">
        <v>195.31700000000001</v>
      </c>
    </row>
    <row r="500" spans="1:7" ht="10.050000000000001" customHeight="1">
      <c r="A500" s="45" t="s">
        <v>154</v>
      </c>
      <c r="B500" s="45" t="s">
        <v>83</v>
      </c>
      <c r="C500" s="46">
        <v>2019</v>
      </c>
      <c r="D500" s="45" t="s">
        <v>125</v>
      </c>
      <c r="E500" s="47">
        <v>5</v>
      </c>
      <c r="F500" s="48">
        <v>276.79500000000002</v>
      </c>
      <c r="G500" s="48">
        <v>202.642</v>
      </c>
    </row>
    <row r="501" spans="1:7" ht="10.050000000000001" customHeight="1">
      <c r="A501" s="45" t="s">
        <v>154</v>
      </c>
      <c r="B501" s="45" t="s">
        <v>83</v>
      </c>
      <c r="C501" s="46">
        <v>2019</v>
      </c>
      <c r="D501" s="45" t="s">
        <v>125</v>
      </c>
      <c r="E501" s="47">
        <v>6</v>
      </c>
      <c r="F501" s="48">
        <v>318.142</v>
      </c>
      <c r="G501" s="48">
        <v>195.14</v>
      </c>
    </row>
    <row r="502" spans="1:7" ht="10.050000000000001" customHeight="1">
      <c r="A502" s="45" t="s">
        <v>154</v>
      </c>
      <c r="B502" s="45" t="s">
        <v>83</v>
      </c>
      <c r="C502" s="46">
        <v>2019</v>
      </c>
      <c r="D502" s="45" t="s">
        <v>126</v>
      </c>
      <c r="E502" s="47">
        <v>7</v>
      </c>
      <c r="F502" s="48">
        <v>472.32</v>
      </c>
      <c r="G502" s="48">
        <v>154.17099999999999</v>
      </c>
    </row>
    <row r="503" spans="1:7" ht="10.050000000000001" customHeight="1">
      <c r="A503" s="45" t="s">
        <v>154</v>
      </c>
      <c r="B503" s="45" t="s">
        <v>83</v>
      </c>
      <c r="C503" s="46">
        <v>2019</v>
      </c>
      <c r="D503" s="45" t="s">
        <v>126</v>
      </c>
      <c r="E503" s="47">
        <v>8</v>
      </c>
      <c r="F503" s="48">
        <v>439.81200000000001</v>
      </c>
      <c r="G503" s="48">
        <v>189.88900000000001</v>
      </c>
    </row>
    <row r="504" spans="1:7" ht="10.050000000000001" customHeight="1">
      <c r="A504" s="45" t="s">
        <v>154</v>
      </c>
      <c r="B504" s="45" t="s">
        <v>83</v>
      </c>
      <c r="C504" s="46">
        <v>2019</v>
      </c>
      <c r="D504" s="45" t="s">
        <v>126</v>
      </c>
      <c r="E504" s="47">
        <v>9</v>
      </c>
      <c r="F504" s="48">
        <v>304.00599999999997</v>
      </c>
      <c r="G504" s="48">
        <v>204.233</v>
      </c>
    </row>
    <row r="505" spans="1:7" ht="10.050000000000001" customHeight="1">
      <c r="A505" s="45" t="s">
        <v>154</v>
      </c>
      <c r="B505" s="45" t="s">
        <v>83</v>
      </c>
      <c r="C505" s="46">
        <v>2019</v>
      </c>
      <c r="D505" s="45" t="s">
        <v>126</v>
      </c>
      <c r="E505" s="47">
        <v>10</v>
      </c>
      <c r="F505" s="48">
        <v>433.96899999999999</v>
      </c>
      <c r="G505" s="48">
        <v>277.84399999999999</v>
      </c>
    </row>
    <row r="506" spans="1:7" ht="10.050000000000001" customHeight="1">
      <c r="A506" s="45" t="s">
        <v>154</v>
      </c>
      <c r="B506" s="45" t="s">
        <v>83</v>
      </c>
      <c r="C506" s="46">
        <v>2019</v>
      </c>
      <c r="D506" s="45" t="s">
        <v>126</v>
      </c>
      <c r="E506" s="47">
        <v>11</v>
      </c>
      <c r="F506" s="48">
        <v>322.39800000000002</v>
      </c>
      <c r="G506" s="48">
        <v>212.14099999999999</v>
      </c>
    </row>
    <row r="507" spans="1:7" ht="10.050000000000001" customHeight="1">
      <c r="A507" s="45" t="s">
        <v>154</v>
      </c>
      <c r="B507" s="45" t="s">
        <v>83</v>
      </c>
      <c r="C507" s="46">
        <v>2019</v>
      </c>
      <c r="D507" s="45" t="s">
        <v>126</v>
      </c>
      <c r="E507" s="47">
        <v>12</v>
      </c>
      <c r="F507" s="48">
        <v>298.04300000000001</v>
      </c>
      <c r="G507" s="48">
        <v>216.83799999999999</v>
      </c>
    </row>
    <row r="508" spans="1:7" ht="10.050000000000001" customHeight="1">
      <c r="A508" s="45" t="s">
        <v>154</v>
      </c>
      <c r="B508" s="45" t="s">
        <v>83</v>
      </c>
      <c r="C508" s="46">
        <v>2020</v>
      </c>
      <c r="D508" s="45" t="s">
        <v>126</v>
      </c>
      <c r="E508" s="47">
        <v>1</v>
      </c>
      <c r="F508" s="48">
        <v>362.23599999999999</v>
      </c>
      <c r="G508" s="48">
        <v>169.982</v>
      </c>
    </row>
    <row r="509" spans="1:7" ht="10.050000000000001" customHeight="1">
      <c r="A509" s="45" t="s">
        <v>154</v>
      </c>
      <c r="B509" s="45" t="s">
        <v>83</v>
      </c>
      <c r="C509" s="46">
        <v>2020</v>
      </c>
      <c r="D509" s="45" t="s">
        <v>126</v>
      </c>
      <c r="E509" s="47">
        <v>2</v>
      </c>
      <c r="F509" s="48">
        <v>319.97300000000001</v>
      </c>
      <c r="G509" s="48">
        <v>113.60299999999999</v>
      </c>
    </row>
    <row r="510" spans="1:7" ht="10.050000000000001" customHeight="1">
      <c r="A510" s="45" t="s">
        <v>154</v>
      </c>
      <c r="B510" s="45" t="s">
        <v>83</v>
      </c>
      <c r="C510" s="46">
        <v>2020</v>
      </c>
      <c r="D510" s="45" t="s">
        <v>126</v>
      </c>
      <c r="E510" s="47">
        <v>3</v>
      </c>
      <c r="F510" s="48">
        <v>404.94</v>
      </c>
      <c r="G510" s="48">
        <v>166.60300000000001</v>
      </c>
    </row>
    <row r="511" spans="1:7" ht="10.050000000000001" customHeight="1">
      <c r="A511" s="45" t="s">
        <v>154</v>
      </c>
      <c r="B511" s="45" t="s">
        <v>83</v>
      </c>
      <c r="C511" s="46">
        <v>2020</v>
      </c>
      <c r="D511" s="45" t="s">
        <v>126</v>
      </c>
      <c r="E511" s="47">
        <v>4</v>
      </c>
      <c r="F511" s="48">
        <v>214.38800000000001</v>
      </c>
      <c r="G511" s="48">
        <v>125.92700000000001</v>
      </c>
    </row>
    <row r="512" spans="1:7" ht="10.050000000000001" customHeight="1">
      <c r="A512" s="45" t="s">
        <v>154</v>
      </c>
      <c r="B512" s="45" t="s">
        <v>83</v>
      </c>
      <c r="C512" s="46">
        <v>2020</v>
      </c>
      <c r="D512" s="45" t="s">
        <v>126</v>
      </c>
      <c r="E512" s="47">
        <v>5</v>
      </c>
      <c r="F512" s="48">
        <v>226.97300000000001</v>
      </c>
      <c r="G512" s="48">
        <v>106.854</v>
      </c>
    </row>
    <row r="513" spans="1:7" ht="10.050000000000001" customHeight="1">
      <c r="A513" s="45" t="s">
        <v>154</v>
      </c>
      <c r="B513" s="45" t="s">
        <v>83</v>
      </c>
      <c r="C513" s="46">
        <v>2020</v>
      </c>
      <c r="D513" s="45" t="s">
        <v>126</v>
      </c>
      <c r="E513" s="47">
        <v>6</v>
      </c>
      <c r="F513" s="48">
        <v>350.04500000000002</v>
      </c>
      <c r="G513" s="48">
        <v>102.309</v>
      </c>
    </row>
    <row r="514" spans="1:7" ht="10.050000000000001" customHeight="1">
      <c r="A514" s="45" t="s">
        <v>154</v>
      </c>
      <c r="B514" s="45" t="s">
        <v>83</v>
      </c>
      <c r="C514" s="46">
        <v>2020</v>
      </c>
      <c r="D514" s="45" t="s">
        <v>128</v>
      </c>
      <c r="E514" s="47">
        <v>7</v>
      </c>
      <c r="F514" s="48">
        <v>271.58499999999998</v>
      </c>
      <c r="G514" s="48">
        <v>209.77799999999999</v>
      </c>
    </row>
    <row r="515" spans="1:7" ht="10.050000000000001" customHeight="1">
      <c r="A515" s="45" t="s">
        <v>154</v>
      </c>
      <c r="B515" s="45" t="s">
        <v>83</v>
      </c>
      <c r="C515" s="46">
        <v>2020</v>
      </c>
      <c r="D515" s="45" t="s">
        <v>128</v>
      </c>
      <c r="E515" s="47">
        <v>8</v>
      </c>
      <c r="F515" s="48">
        <v>304.84899999999999</v>
      </c>
      <c r="G515" s="48">
        <v>110.624</v>
      </c>
    </row>
    <row r="516" spans="1:7" ht="10.050000000000001" customHeight="1">
      <c r="A516" s="45" t="s">
        <v>154</v>
      </c>
      <c r="B516" s="45" t="s">
        <v>83</v>
      </c>
      <c r="C516" s="46">
        <v>2020</v>
      </c>
      <c r="D516" s="45" t="s">
        <v>128</v>
      </c>
      <c r="E516" s="47">
        <v>9</v>
      </c>
      <c r="F516" s="48">
        <v>310.76299999999998</v>
      </c>
      <c r="G516" s="48">
        <v>147.11099999999999</v>
      </c>
    </row>
    <row r="517" spans="1:7" ht="10.050000000000001" customHeight="1">
      <c r="A517" s="45" t="s">
        <v>154</v>
      </c>
      <c r="B517" s="45" t="s">
        <v>83</v>
      </c>
      <c r="C517" s="46">
        <v>2020</v>
      </c>
      <c r="D517" s="45" t="s">
        <v>128</v>
      </c>
      <c r="E517" s="47">
        <v>10</v>
      </c>
      <c r="F517" s="48">
        <v>360.15</v>
      </c>
      <c r="G517" s="48">
        <v>119.602</v>
      </c>
    </row>
    <row r="518" spans="1:7" ht="10.050000000000001" customHeight="1">
      <c r="A518" s="45" t="s">
        <v>154</v>
      </c>
      <c r="B518" s="45" t="s">
        <v>83</v>
      </c>
      <c r="C518" s="46">
        <v>2020</v>
      </c>
      <c r="D518" s="45" t="s">
        <v>128</v>
      </c>
      <c r="E518" s="47">
        <v>11</v>
      </c>
      <c r="F518" s="48">
        <v>376.5</v>
      </c>
      <c r="G518" s="48">
        <v>113.39700000000001</v>
      </c>
    </row>
    <row r="519" spans="1:7" ht="10.050000000000001" customHeight="1">
      <c r="A519" s="45" t="s">
        <v>154</v>
      </c>
      <c r="B519" s="45" t="s">
        <v>83</v>
      </c>
      <c r="C519" s="46">
        <v>2020</v>
      </c>
      <c r="D519" s="45" t="s">
        <v>128</v>
      </c>
      <c r="E519" s="47">
        <v>12</v>
      </c>
      <c r="F519" s="48">
        <v>460.76400000000001</v>
      </c>
      <c r="G519" s="48">
        <v>199.28100000000001</v>
      </c>
    </row>
    <row r="520" spans="1:7" ht="10.050000000000001" customHeight="1">
      <c r="A520" s="45" t="s">
        <v>154</v>
      </c>
      <c r="B520" s="45" t="s">
        <v>83</v>
      </c>
      <c r="C520" s="46">
        <v>2021</v>
      </c>
      <c r="D520" s="45" t="s">
        <v>128</v>
      </c>
      <c r="E520" s="47">
        <v>1</v>
      </c>
      <c r="F520" s="48">
        <v>420.68900000000002</v>
      </c>
      <c r="G520" s="48">
        <v>178.94200000000001</v>
      </c>
    </row>
    <row r="521" spans="1:7" ht="10.050000000000001" customHeight="1">
      <c r="A521" s="45" t="s">
        <v>154</v>
      </c>
      <c r="B521" s="45" t="s">
        <v>83</v>
      </c>
      <c r="C521" s="46">
        <v>2021</v>
      </c>
      <c r="D521" s="45" t="s">
        <v>128</v>
      </c>
      <c r="E521" s="47">
        <v>2</v>
      </c>
      <c r="F521" s="48">
        <v>395.48899999999998</v>
      </c>
      <c r="G521" s="48">
        <v>107.559</v>
      </c>
    </row>
    <row r="522" spans="1:7" ht="10.050000000000001" customHeight="1">
      <c r="A522" s="45" t="s">
        <v>154</v>
      </c>
      <c r="B522" s="45" t="s">
        <v>83</v>
      </c>
      <c r="C522" s="46">
        <v>2021</v>
      </c>
      <c r="D522" s="45" t="s">
        <v>128</v>
      </c>
      <c r="E522" s="47">
        <v>3</v>
      </c>
      <c r="F522" s="48">
        <v>535.85299999999995</v>
      </c>
      <c r="G522" s="48">
        <v>140.56</v>
      </c>
    </row>
    <row r="523" spans="1:7" ht="10.050000000000001" customHeight="1">
      <c r="A523" s="45" t="s">
        <v>154</v>
      </c>
      <c r="B523" s="45" t="s">
        <v>83</v>
      </c>
      <c r="C523" s="46">
        <v>2021</v>
      </c>
      <c r="D523" s="45" t="s">
        <v>128</v>
      </c>
      <c r="E523" s="47">
        <v>4</v>
      </c>
      <c r="F523" s="48">
        <v>444.94099999999997</v>
      </c>
      <c r="G523" s="48">
        <v>145.41900000000001</v>
      </c>
    </row>
    <row r="524" spans="1:7" ht="10.050000000000001" customHeight="1">
      <c r="A524" s="45" t="s">
        <v>154</v>
      </c>
      <c r="B524" s="45" t="s">
        <v>83</v>
      </c>
      <c r="C524" s="46">
        <v>2021</v>
      </c>
      <c r="D524" s="45" t="s">
        <v>128</v>
      </c>
      <c r="E524" s="47">
        <v>5</v>
      </c>
      <c r="F524" s="48">
        <v>320.67899999999997</v>
      </c>
      <c r="G524" s="48">
        <v>174.79</v>
      </c>
    </row>
    <row r="525" spans="1:7" ht="10.050000000000001" customHeight="1">
      <c r="A525" s="45" t="s">
        <v>154</v>
      </c>
      <c r="B525" s="45" t="s">
        <v>83</v>
      </c>
      <c r="C525" s="46">
        <v>2021</v>
      </c>
      <c r="D525" s="45" t="s">
        <v>128</v>
      </c>
      <c r="E525" s="47">
        <v>6</v>
      </c>
      <c r="F525" s="48">
        <v>438.67</v>
      </c>
      <c r="G525" s="48">
        <v>151.16999999999999</v>
      </c>
    </row>
    <row r="526" spans="1:7" ht="10.050000000000001" customHeight="1">
      <c r="A526" s="45" t="s">
        <v>154</v>
      </c>
      <c r="B526" s="45" t="s">
        <v>83</v>
      </c>
      <c r="C526" s="46">
        <v>2021</v>
      </c>
      <c r="D526" s="45" t="s">
        <v>129</v>
      </c>
      <c r="E526" s="47">
        <v>7</v>
      </c>
      <c r="F526" s="48">
        <v>385.71</v>
      </c>
      <c r="G526" s="48">
        <v>181.6</v>
      </c>
    </row>
    <row r="527" spans="1:7" ht="10.050000000000001" customHeight="1">
      <c r="A527" s="45" t="s">
        <v>154</v>
      </c>
      <c r="B527" s="45" t="s">
        <v>83</v>
      </c>
      <c r="C527" s="46">
        <v>2021</v>
      </c>
      <c r="D527" s="45" t="s">
        <v>129</v>
      </c>
      <c r="E527" s="47">
        <v>8</v>
      </c>
      <c r="F527" s="48">
        <v>419.79399999999998</v>
      </c>
      <c r="G527" s="48">
        <v>185.82599999999999</v>
      </c>
    </row>
    <row r="528" spans="1:7" ht="10.050000000000001" customHeight="1">
      <c r="A528" s="45" t="s">
        <v>154</v>
      </c>
      <c r="B528" s="45" t="s">
        <v>83</v>
      </c>
      <c r="C528" s="46">
        <v>2021</v>
      </c>
      <c r="D528" s="45" t="s">
        <v>129</v>
      </c>
      <c r="E528" s="47">
        <v>9</v>
      </c>
      <c r="F528" s="48">
        <v>441.8</v>
      </c>
      <c r="G528" s="48">
        <v>246.316</v>
      </c>
    </row>
    <row r="529" spans="1:7" ht="10.050000000000001" customHeight="1">
      <c r="A529" s="45" t="s">
        <v>154</v>
      </c>
      <c r="B529" s="45" t="s">
        <v>83</v>
      </c>
      <c r="C529" s="46">
        <v>2021</v>
      </c>
      <c r="D529" s="45" t="s">
        <v>129</v>
      </c>
      <c r="E529" s="47">
        <v>10</v>
      </c>
      <c r="F529" s="48">
        <v>515.64800000000002</v>
      </c>
      <c r="G529" s="48">
        <v>225.798</v>
      </c>
    </row>
    <row r="530" spans="1:7" ht="10.050000000000001" customHeight="1">
      <c r="A530" s="45" t="s">
        <v>154</v>
      </c>
      <c r="B530" s="45" t="s">
        <v>83</v>
      </c>
      <c r="C530" s="46">
        <v>2021</v>
      </c>
      <c r="D530" s="45" t="s">
        <v>129</v>
      </c>
      <c r="E530" s="47">
        <v>11</v>
      </c>
      <c r="F530" s="48">
        <v>546.49599999999998</v>
      </c>
      <c r="G530" s="48">
        <v>233.732</v>
      </c>
    </row>
    <row r="531" spans="1:7" ht="10.050000000000001" customHeight="1">
      <c r="A531" s="45" t="s">
        <v>154</v>
      </c>
      <c r="B531" s="45" t="s">
        <v>83</v>
      </c>
      <c r="C531" s="46">
        <v>2021</v>
      </c>
      <c r="D531" s="45" t="s">
        <v>129</v>
      </c>
      <c r="E531" s="47">
        <v>12</v>
      </c>
      <c r="F531" s="48">
        <v>681.94600000000003</v>
      </c>
      <c r="G531" s="48">
        <v>280.39600000000002</v>
      </c>
    </row>
    <row r="532" spans="1:7" ht="10.050000000000001" customHeight="1">
      <c r="A532" s="45" t="s">
        <v>154</v>
      </c>
      <c r="B532" s="45" t="s">
        <v>83</v>
      </c>
      <c r="C532" s="46">
        <v>2022</v>
      </c>
      <c r="D532" s="45" t="s">
        <v>129</v>
      </c>
      <c r="E532" s="47">
        <v>1</v>
      </c>
      <c r="F532" s="48">
        <v>691.49800000000005</v>
      </c>
      <c r="G532" s="48">
        <v>300.58800000000002</v>
      </c>
    </row>
    <row r="533" spans="1:7" ht="10.050000000000001" customHeight="1">
      <c r="A533" s="45" t="s">
        <v>154</v>
      </c>
      <c r="B533" s="45" t="s">
        <v>83</v>
      </c>
      <c r="C533" s="46">
        <v>2022</v>
      </c>
      <c r="D533" s="45" t="s">
        <v>129</v>
      </c>
      <c r="E533" s="47">
        <v>2</v>
      </c>
      <c r="F533" s="48">
        <v>613.05999999999995</v>
      </c>
      <c r="G533" s="48">
        <v>282.34800000000001</v>
      </c>
    </row>
    <row r="534" spans="1:7" ht="10.050000000000001" customHeight="1">
      <c r="A534" s="45" t="s">
        <v>154</v>
      </c>
      <c r="B534" s="45" t="s">
        <v>83</v>
      </c>
      <c r="C534" s="46">
        <v>2022</v>
      </c>
      <c r="D534" s="45" t="s">
        <v>129</v>
      </c>
      <c r="E534" s="47">
        <v>3</v>
      </c>
      <c r="F534" s="48">
        <v>719.62300000000005</v>
      </c>
      <c r="G534" s="48">
        <v>159.435</v>
      </c>
    </row>
    <row r="535" spans="1:7" ht="10.050000000000001" customHeight="1">
      <c r="A535" s="45" t="s">
        <v>154</v>
      </c>
      <c r="B535" s="45" t="s">
        <v>83</v>
      </c>
      <c r="C535" s="46">
        <v>2022</v>
      </c>
      <c r="D535" s="45" t="s">
        <v>129</v>
      </c>
      <c r="E535" s="47">
        <v>4</v>
      </c>
      <c r="F535" s="48">
        <v>619.08100000000002</v>
      </c>
      <c r="G535" s="48">
        <v>323.774</v>
      </c>
    </row>
    <row r="536" spans="1:7" ht="10.050000000000001" customHeight="1">
      <c r="A536" s="45" t="s">
        <v>154</v>
      </c>
      <c r="B536" s="45" t="s">
        <v>83</v>
      </c>
      <c r="C536" s="46">
        <v>2022</v>
      </c>
      <c r="D536" s="45" t="s">
        <v>129</v>
      </c>
      <c r="E536" s="47">
        <v>5</v>
      </c>
      <c r="F536" s="48">
        <v>363.41899999999998</v>
      </c>
      <c r="G536" s="48">
        <v>265.13499999999999</v>
      </c>
    </row>
    <row r="537" spans="1:7" ht="10.050000000000001" customHeight="1">
      <c r="A537" s="45" t="s">
        <v>154</v>
      </c>
      <c r="B537" s="45" t="s">
        <v>83</v>
      </c>
      <c r="C537" s="46">
        <v>2022</v>
      </c>
      <c r="D537" s="45" t="s">
        <v>129</v>
      </c>
      <c r="E537" s="47">
        <v>6</v>
      </c>
      <c r="F537" s="48">
        <v>436.601</v>
      </c>
      <c r="G537" s="48">
        <v>187.054</v>
      </c>
    </row>
    <row r="538" spans="1:7" ht="10.050000000000001" customHeight="1">
      <c r="A538" s="45" t="s">
        <v>154</v>
      </c>
      <c r="B538" s="45" t="s">
        <v>83</v>
      </c>
      <c r="C538" s="46">
        <v>2022</v>
      </c>
      <c r="D538" s="45" t="s">
        <v>130</v>
      </c>
      <c r="E538" s="47">
        <v>7</v>
      </c>
      <c r="F538" s="48">
        <v>437.94</v>
      </c>
      <c r="G538" s="48">
        <v>130.81399999999999</v>
      </c>
    </row>
    <row r="539" spans="1:7" ht="10.050000000000001" customHeight="1">
      <c r="A539" s="45" t="s">
        <v>154</v>
      </c>
      <c r="B539" s="45" t="s">
        <v>83</v>
      </c>
      <c r="C539" s="46">
        <v>2022</v>
      </c>
      <c r="D539" s="45" t="s">
        <v>130</v>
      </c>
      <c r="E539" s="47">
        <v>8</v>
      </c>
      <c r="F539" s="48">
        <v>485.40600000000001</v>
      </c>
      <c r="G539" s="48">
        <v>297.30799999999999</v>
      </c>
    </row>
    <row r="540" spans="1:7" ht="10.050000000000001" customHeight="1">
      <c r="A540" s="45" t="s">
        <v>154</v>
      </c>
      <c r="B540" s="45" t="s">
        <v>83</v>
      </c>
      <c r="C540" s="46">
        <v>2022</v>
      </c>
      <c r="D540" s="45" t="s">
        <v>130</v>
      </c>
      <c r="E540" s="47">
        <v>9</v>
      </c>
      <c r="F540" s="48">
        <v>526.202</v>
      </c>
      <c r="G540" s="48">
        <v>319.64600000000002</v>
      </c>
    </row>
    <row r="541" spans="1:7" ht="10.050000000000001" customHeight="1">
      <c r="A541" s="45" t="s">
        <v>154</v>
      </c>
      <c r="B541" s="45" t="s">
        <v>83</v>
      </c>
      <c r="C541" s="46">
        <v>2022</v>
      </c>
      <c r="D541" s="45" t="s">
        <v>130</v>
      </c>
      <c r="E541" s="47">
        <v>10</v>
      </c>
      <c r="F541" s="48">
        <v>408.50299999999999</v>
      </c>
      <c r="G541" s="48">
        <v>279.22300000000001</v>
      </c>
    </row>
    <row r="542" spans="1:7" ht="10.050000000000001" customHeight="1">
      <c r="A542" s="45" t="s">
        <v>154</v>
      </c>
      <c r="B542" s="45" t="s">
        <v>83</v>
      </c>
      <c r="C542" s="46">
        <v>2022</v>
      </c>
      <c r="D542" s="45" t="s">
        <v>130</v>
      </c>
      <c r="E542" s="47">
        <v>11</v>
      </c>
      <c r="F542" s="48">
        <v>527.33699999999999</v>
      </c>
      <c r="G542" s="48">
        <v>396.846</v>
      </c>
    </row>
    <row r="543" spans="1:7" ht="10.050000000000001" customHeight="1">
      <c r="A543" s="45" t="s">
        <v>154</v>
      </c>
      <c r="B543" s="45" t="s">
        <v>83</v>
      </c>
      <c r="C543" s="46">
        <v>2022</v>
      </c>
      <c r="D543" s="45" t="s">
        <v>130</v>
      </c>
      <c r="E543" s="47">
        <v>12</v>
      </c>
      <c r="F543" s="48">
        <v>568.08600000000001</v>
      </c>
      <c r="G543" s="48">
        <v>272.26</v>
      </c>
    </row>
    <row r="544" spans="1:7" ht="10.050000000000001" customHeight="1">
      <c r="A544" s="45" t="s">
        <v>154</v>
      </c>
      <c r="B544" s="45" t="s">
        <v>83</v>
      </c>
      <c r="C544" s="46">
        <v>2023</v>
      </c>
      <c r="D544" s="45" t="s">
        <v>130</v>
      </c>
      <c r="E544" s="47">
        <v>1</v>
      </c>
      <c r="F544" s="48">
        <v>615.32799999999997</v>
      </c>
      <c r="G544" s="48">
        <v>225.77199999999999</v>
      </c>
    </row>
    <row r="545" spans="1:7" ht="10.050000000000001" customHeight="1">
      <c r="A545" s="45" t="s">
        <v>154</v>
      </c>
      <c r="B545" s="45" t="s">
        <v>83</v>
      </c>
      <c r="C545" s="46">
        <v>2023</v>
      </c>
      <c r="D545" s="45" t="s">
        <v>130</v>
      </c>
      <c r="E545" s="47">
        <v>2</v>
      </c>
      <c r="F545" s="48">
        <v>559.63400000000001</v>
      </c>
      <c r="G545" s="48">
        <v>180.518</v>
      </c>
    </row>
    <row r="546" spans="1:7" ht="10.050000000000001" customHeight="1">
      <c r="A546" s="45" t="s">
        <v>154</v>
      </c>
      <c r="B546" s="45" t="s">
        <v>83</v>
      </c>
      <c r="C546" s="46">
        <v>2023</v>
      </c>
      <c r="D546" s="45" t="s">
        <v>130</v>
      </c>
      <c r="E546" s="47">
        <v>3</v>
      </c>
      <c r="F546" s="48">
        <v>577.346</v>
      </c>
      <c r="G546" s="48">
        <v>240.232</v>
      </c>
    </row>
    <row r="547" spans="1:7" ht="10.050000000000001" customHeight="1">
      <c r="A547" s="45" t="s">
        <v>154</v>
      </c>
      <c r="B547" s="45" t="s">
        <v>83</v>
      </c>
      <c r="C547" s="46">
        <v>2023</v>
      </c>
      <c r="D547" s="45" t="s">
        <v>130</v>
      </c>
      <c r="E547" s="47">
        <v>4</v>
      </c>
      <c r="F547" s="48">
        <v>349.66</v>
      </c>
      <c r="G547" s="48">
        <v>211.072</v>
      </c>
    </row>
    <row r="548" spans="1:7" ht="10.050000000000001" customHeight="1">
      <c r="A548" s="45" t="s">
        <v>154</v>
      </c>
      <c r="B548" s="45" t="s">
        <v>83</v>
      </c>
      <c r="C548" s="46">
        <v>2023</v>
      </c>
      <c r="D548" s="45" t="s">
        <v>130</v>
      </c>
      <c r="E548" s="47">
        <v>5</v>
      </c>
      <c r="F548" s="48">
        <v>418.161</v>
      </c>
      <c r="G548" s="48">
        <v>146.67099999999999</v>
      </c>
    </row>
    <row r="549" spans="1:7" ht="10.050000000000001" customHeight="1">
      <c r="A549" s="45" t="s">
        <v>154</v>
      </c>
      <c r="B549" s="45" t="s">
        <v>83</v>
      </c>
      <c r="C549" s="46">
        <v>2023</v>
      </c>
      <c r="D549" s="45" t="s">
        <v>130</v>
      </c>
      <c r="E549" s="47">
        <v>6</v>
      </c>
      <c r="F549" s="48">
        <v>393.58800000000002</v>
      </c>
      <c r="G549" s="48">
        <v>214.38300000000001</v>
      </c>
    </row>
    <row r="550" spans="1:7" ht="10.050000000000001" customHeight="1">
      <c r="A550" s="45" t="s">
        <v>154</v>
      </c>
      <c r="B550" s="45" t="s">
        <v>83</v>
      </c>
      <c r="C550" s="46">
        <v>2023</v>
      </c>
      <c r="D550" s="45" t="s">
        <v>131</v>
      </c>
      <c r="E550" s="47">
        <v>7</v>
      </c>
      <c r="F550" s="48">
        <v>450.34699999999998</v>
      </c>
      <c r="G550" s="48">
        <v>180.43600000000001</v>
      </c>
    </row>
    <row r="551" spans="1:7" ht="10.050000000000001" customHeight="1">
      <c r="A551" s="45" t="s">
        <v>154</v>
      </c>
      <c r="B551" s="45" t="s">
        <v>83</v>
      </c>
      <c r="C551" s="46">
        <v>2023</v>
      </c>
      <c r="D551" s="45" t="s">
        <v>131</v>
      </c>
      <c r="E551" s="47">
        <v>8</v>
      </c>
      <c r="F551" s="48">
        <v>278.34399999999999</v>
      </c>
      <c r="G551" s="48">
        <v>156.49199999999999</v>
      </c>
    </row>
    <row r="552" spans="1:7" ht="10.050000000000001" customHeight="1">
      <c r="A552" s="45" t="s">
        <v>154</v>
      </c>
      <c r="B552" s="45" t="s">
        <v>83</v>
      </c>
      <c r="C552" s="46">
        <v>2023</v>
      </c>
      <c r="D552" s="45" t="s">
        <v>131</v>
      </c>
      <c r="E552" s="47">
        <v>9</v>
      </c>
      <c r="F552" s="48">
        <v>623.73199999999997</v>
      </c>
      <c r="G552" s="48">
        <v>242.34</v>
      </c>
    </row>
    <row r="553" spans="1:7" ht="10.050000000000001" customHeight="1">
      <c r="A553" s="45" t="s">
        <v>154</v>
      </c>
      <c r="B553" s="45" t="s">
        <v>83</v>
      </c>
      <c r="C553" s="46">
        <v>2023</v>
      </c>
      <c r="D553" s="45" t="s">
        <v>131</v>
      </c>
      <c r="E553" s="47">
        <v>10</v>
      </c>
      <c r="F553" s="48">
        <v>441.625</v>
      </c>
      <c r="G553" s="48">
        <v>249.655</v>
      </c>
    </row>
    <row r="554" spans="1:7" ht="10.050000000000001" customHeight="1">
      <c r="A554" s="45" t="s">
        <v>154</v>
      </c>
      <c r="B554" s="45" t="s">
        <v>83</v>
      </c>
      <c r="C554" s="46">
        <v>2023</v>
      </c>
      <c r="D554" s="45" t="s">
        <v>131</v>
      </c>
      <c r="E554" s="47">
        <v>11</v>
      </c>
      <c r="F554" s="48">
        <v>366.88</v>
      </c>
      <c r="G554" s="48">
        <v>255.83500000000001</v>
      </c>
    </row>
    <row r="555" spans="1:7" ht="10.050000000000001" customHeight="1">
      <c r="A555" s="45" t="s">
        <v>154</v>
      </c>
      <c r="B555" s="45" t="s">
        <v>83</v>
      </c>
      <c r="C555" s="46">
        <v>2023</v>
      </c>
      <c r="D555" s="45" t="s">
        <v>131</v>
      </c>
      <c r="E555" s="47">
        <v>12</v>
      </c>
      <c r="F555" s="48">
        <v>398.83100000000002</v>
      </c>
      <c r="G555" s="48">
        <v>214.404</v>
      </c>
    </row>
    <row r="556" spans="1:7" ht="10.050000000000001" customHeight="1">
      <c r="A556" s="45" t="s">
        <v>154</v>
      </c>
      <c r="B556" s="45" t="s">
        <v>83</v>
      </c>
      <c r="C556" s="46">
        <v>2024</v>
      </c>
      <c r="D556" s="45" t="s">
        <v>131</v>
      </c>
      <c r="E556" s="47">
        <v>1</v>
      </c>
      <c r="F556" s="48">
        <v>636.39499999999998</v>
      </c>
      <c r="G556" s="48">
        <v>257.60899999999998</v>
      </c>
    </row>
    <row r="557" spans="1:7" ht="10.050000000000001" customHeight="1">
      <c r="A557" s="45" t="s">
        <v>154</v>
      </c>
      <c r="B557" s="45" t="s">
        <v>83</v>
      </c>
      <c r="C557" s="46">
        <v>2024</v>
      </c>
      <c r="D557" s="45" t="s">
        <v>131</v>
      </c>
      <c r="E557" s="47">
        <v>2</v>
      </c>
      <c r="F557" s="48">
        <v>596.99</v>
      </c>
      <c r="G557" s="48">
        <v>229.43899999999999</v>
      </c>
    </row>
    <row r="558" spans="1:7" ht="10.050000000000001" customHeight="1">
      <c r="A558" s="45" t="s">
        <v>154</v>
      </c>
      <c r="B558" s="45" t="s">
        <v>83</v>
      </c>
      <c r="C558" s="46">
        <v>2024</v>
      </c>
      <c r="D558" s="45" t="s">
        <v>131</v>
      </c>
      <c r="E558" s="47">
        <v>3</v>
      </c>
      <c r="F558" s="48">
        <v>666.02700000000004</v>
      </c>
      <c r="G558" s="48">
        <v>186.012</v>
      </c>
    </row>
    <row r="559" spans="1:7" ht="10.050000000000001" customHeight="1">
      <c r="A559" s="45" t="s">
        <v>154</v>
      </c>
      <c r="B559" s="45" t="s">
        <v>83</v>
      </c>
      <c r="C559" s="46">
        <v>2024</v>
      </c>
      <c r="D559" s="45" t="s">
        <v>131</v>
      </c>
      <c r="E559" s="47">
        <v>4</v>
      </c>
      <c r="F559" s="48">
        <v>490.78899999999999</v>
      </c>
      <c r="G559" s="48">
        <v>208.143</v>
      </c>
    </row>
    <row r="560" spans="1:7" ht="10.050000000000001" customHeight="1">
      <c r="A560" s="45" t="s">
        <v>154</v>
      </c>
      <c r="B560" s="45" t="s">
        <v>83</v>
      </c>
      <c r="C560" s="46">
        <v>2024</v>
      </c>
      <c r="D560" s="45" t="s">
        <v>131</v>
      </c>
      <c r="E560" s="47">
        <v>5</v>
      </c>
      <c r="F560" s="48">
        <v>526.32299999999998</v>
      </c>
      <c r="G560" s="48">
        <v>225.28</v>
      </c>
    </row>
    <row r="561" spans="1:7" ht="10.050000000000001" customHeight="1">
      <c r="A561" s="45" t="s">
        <v>154</v>
      </c>
      <c r="B561" s="45" t="s">
        <v>83</v>
      </c>
      <c r="C561" s="46">
        <v>2024</v>
      </c>
      <c r="D561" s="45" t="s">
        <v>131</v>
      </c>
      <c r="E561" s="47">
        <v>6</v>
      </c>
      <c r="F561" s="48">
        <v>463.41800000000001</v>
      </c>
      <c r="G561" s="48">
        <v>284.80200000000002</v>
      </c>
    </row>
    <row r="562" spans="1:7" ht="10.050000000000001" customHeight="1">
      <c r="A562" s="45" t="s">
        <v>154</v>
      </c>
      <c r="B562" s="45" t="s">
        <v>83</v>
      </c>
      <c r="C562" s="46">
        <v>2024</v>
      </c>
      <c r="D562" s="45" t="s">
        <v>132</v>
      </c>
      <c r="E562" s="47">
        <v>7</v>
      </c>
      <c r="F562" s="48">
        <v>782.18799999999999</v>
      </c>
      <c r="G562" s="48">
        <v>247.13399999999999</v>
      </c>
    </row>
    <row r="563" spans="1:7" ht="10.050000000000001" customHeight="1">
      <c r="A563" s="45" t="s">
        <v>154</v>
      </c>
      <c r="B563" s="45" t="s">
        <v>83</v>
      </c>
      <c r="C563" s="46">
        <v>2024</v>
      </c>
      <c r="D563" s="45" t="s">
        <v>132</v>
      </c>
      <c r="E563" s="47">
        <v>8</v>
      </c>
      <c r="F563" s="48">
        <v>763.41800000000001</v>
      </c>
      <c r="G563" s="48">
        <v>248.67599999999999</v>
      </c>
    </row>
    <row r="564" spans="1:7" ht="10.050000000000001" customHeight="1">
      <c r="A564" s="45" t="s">
        <v>154</v>
      </c>
      <c r="B564" s="45" t="s">
        <v>83</v>
      </c>
      <c r="C564" s="46">
        <v>2024</v>
      </c>
      <c r="D564" s="45" t="s">
        <v>132</v>
      </c>
      <c r="E564" s="47">
        <v>9</v>
      </c>
      <c r="F564" s="48">
        <v>774.70100000000002</v>
      </c>
      <c r="G564" s="48">
        <v>353.03500000000003</v>
      </c>
    </row>
    <row r="565" spans="1:7" ht="10.050000000000001" customHeight="1">
      <c r="A565" s="45" t="s">
        <v>154</v>
      </c>
      <c r="B565" s="45" t="s">
        <v>83</v>
      </c>
      <c r="C565" s="46">
        <v>2024</v>
      </c>
      <c r="D565" s="45" t="s">
        <v>132</v>
      </c>
      <c r="E565" s="47">
        <v>10</v>
      </c>
      <c r="F565" s="48">
        <v>980.90499999999997</v>
      </c>
      <c r="G565" s="48">
        <v>285.70999999999998</v>
      </c>
    </row>
    <row r="566" spans="1:7" ht="10.050000000000001" customHeight="1">
      <c r="A566" s="45" t="s">
        <v>154</v>
      </c>
      <c r="B566" s="45" t="s">
        <v>83</v>
      </c>
      <c r="C566" s="46">
        <v>2024</v>
      </c>
      <c r="D566" s="45" t="s">
        <v>132</v>
      </c>
      <c r="E566" s="47">
        <v>11</v>
      </c>
      <c r="F566" s="48">
        <v>700.89300000000003</v>
      </c>
      <c r="G566" s="48">
        <v>244.077</v>
      </c>
    </row>
    <row r="567" spans="1:7" ht="10.050000000000001" customHeight="1">
      <c r="A567" s="45" t="s">
        <v>154</v>
      </c>
      <c r="B567" s="45" t="s">
        <v>83</v>
      </c>
      <c r="C567" s="46">
        <v>2024</v>
      </c>
      <c r="D567" s="45" t="s">
        <v>132</v>
      </c>
      <c r="E567" s="47">
        <v>12</v>
      </c>
      <c r="F567" s="48">
        <v>668.375</v>
      </c>
      <c r="G567" s="48">
        <v>284.08199999999999</v>
      </c>
    </row>
    <row r="568" spans="1:7" ht="10.050000000000001" customHeight="1">
      <c r="A568" s="45" t="s">
        <v>154</v>
      </c>
      <c r="B568" s="45" t="s">
        <v>82</v>
      </c>
      <c r="C568" s="46">
        <v>2000</v>
      </c>
      <c r="D568" s="45" t="s">
        <v>107</v>
      </c>
      <c r="E568" s="47">
        <v>7</v>
      </c>
      <c r="F568" s="48">
        <v>8662.7000000000007</v>
      </c>
      <c r="G568" s="48">
        <v>3914.7</v>
      </c>
    </row>
    <row r="569" spans="1:7" ht="10.050000000000001" customHeight="1">
      <c r="A569" s="45" t="s">
        <v>154</v>
      </c>
      <c r="B569" s="45" t="s">
        <v>82</v>
      </c>
      <c r="C569" s="46">
        <v>2000</v>
      </c>
      <c r="D569" s="45" t="s">
        <v>107</v>
      </c>
      <c r="E569" s="47">
        <v>8</v>
      </c>
      <c r="F569" s="48">
        <v>10858.4</v>
      </c>
      <c r="G569" s="48">
        <v>3183.8</v>
      </c>
    </row>
    <row r="570" spans="1:7" ht="10.050000000000001" customHeight="1">
      <c r="A570" s="45" t="s">
        <v>154</v>
      </c>
      <c r="B570" s="45" t="s">
        <v>82</v>
      </c>
      <c r="C570" s="46">
        <v>2000</v>
      </c>
      <c r="D570" s="45" t="s">
        <v>107</v>
      </c>
      <c r="E570" s="47">
        <v>9</v>
      </c>
      <c r="F570" s="48">
        <v>10696.1</v>
      </c>
      <c r="G570" s="48">
        <v>3296.6</v>
      </c>
    </row>
    <row r="571" spans="1:7" ht="10.050000000000001" customHeight="1">
      <c r="A571" s="45" t="s">
        <v>154</v>
      </c>
      <c r="B571" s="45" t="s">
        <v>82</v>
      </c>
      <c r="C571" s="46">
        <v>2000</v>
      </c>
      <c r="D571" s="45" t="s">
        <v>107</v>
      </c>
      <c r="E571" s="47">
        <v>10</v>
      </c>
      <c r="F571" s="48">
        <v>12630.6</v>
      </c>
      <c r="G571" s="48">
        <v>2545.3000000000002</v>
      </c>
    </row>
    <row r="572" spans="1:7" ht="10.050000000000001" customHeight="1">
      <c r="A572" s="45" t="s">
        <v>154</v>
      </c>
      <c r="B572" s="45" t="s">
        <v>82</v>
      </c>
      <c r="C572" s="46">
        <v>2000</v>
      </c>
      <c r="D572" s="45" t="s">
        <v>107</v>
      </c>
      <c r="E572" s="47">
        <v>11</v>
      </c>
      <c r="F572" s="48">
        <v>14947.1</v>
      </c>
      <c r="G572" s="48">
        <v>4200.8999999999996</v>
      </c>
    </row>
    <row r="573" spans="1:7" ht="10.050000000000001" customHeight="1">
      <c r="A573" s="45" t="s">
        <v>154</v>
      </c>
      <c r="B573" s="45" t="s">
        <v>82</v>
      </c>
      <c r="C573" s="46">
        <v>2000</v>
      </c>
      <c r="D573" s="45" t="s">
        <v>107</v>
      </c>
      <c r="E573" s="47">
        <v>12</v>
      </c>
      <c r="F573" s="48">
        <v>18166.5</v>
      </c>
      <c r="G573" s="48">
        <v>3462.3</v>
      </c>
    </row>
    <row r="574" spans="1:7" ht="10.050000000000001" customHeight="1">
      <c r="A574" s="45" t="s">
        <v>154</v>
      </c>
      <c r="B574" s="45" t="s">
        <v>82</v>
      </c>
      <c r="C574" s="46">
        <v>2001</v>
      </c>
      <c r="D574" s="45" t="s">
        <v>107</v>
      </c>
      <c r="E574" s="47">
        <v>1</v>
      </c>
      <c r="F574" s="48">
        <v>18078.099999999999</v>
      </c>
      <c r="G574" s="48">
        <v>4850.1000000000004</v>
      </c>
    </row>
    <row r="575" spans="1:7" ht="10.050000000000001" customHeight="1">
      <c r="A575" s="45" t="s">
        <v>154</v>
      </c>
      <c r="B575" s="45" t="s">
        <v>82</v>
      </c>
      <c r="C575" s="46">
        <v>2001</v>
      </c>
      <c r="D575" s="45" t="s">
        <v>107</v>
      </c>
      <c r="E575" s="47">
        <v>2</v>
      </c>
      <c r="F575" s="48">
        <v>12758.1</v>
      </c>
      <c r="G575" s="48">
        <v>5257.4</v>
      </c>
    </row>
    <row r="576" spans="1:7" ht="10.050000000000001" customHeight="1">
      <c r="A576" s="45" t="s">
        <v>154</v>
      </c>
      <c r="B576" s="45" t="s">
        <v>82</v>
      </c>
      <c r="C576" s="46">
        <v>2001</v>
      </c>
      <c r="D576" s="45" t="s">
        <v>107</v>
      </c>
      <c r="E576" s="47">
        <v>3</v>
      </c>
      <c r="F576" s="48">
        <v>14554</v>
      </c>
      <c r="G576" s="48">
        <v>4869.3999999999996</v>
      </c>
    </row>
    <row r="577" spans="1:7" ht="10.050000000000001" customHeight="1">
      <c r="A577" s="45" t="s">
        <v>154</v>
      </c>
      <c r="B577" s="45" t="s">
        <v>82</v>
      </c>
      <c r="C577" s="46">
        <v>2001</v>
      </c>
      <c r="D577" s="45" t="s">
        <v>107</v>
      </c>
      <c r="E577" s="47">
        <v>4</v>
      </c>
      <c r="F577" s="48">
        <v>15882.3</v>
      </c>
      <c r="G577" s="48">
        <v>4146</v>
      </c>
    </row>
    <row r="578" spans="1:7" ht="10.050000000000001" customHeight="1">
      <c r="A578" s="45" t="s">
        <v>154</v>
      </c>
      <c r="B578" s="45" t="s">
        <v>82</v>
      </c>
      <c r="C578" s="46">
        <v>2001</v>
      </c>
      <c r="D578" s="45" t="s">
        <v>107</v>
      </c>
      <c r="E578" s="47">
        <v>5</v>
      </c>
      <c r="F578" s="48">
        <v>16233.6</v>
      </c>
      <c r="G578" s="48">
        <v>3745.8</v>
      </c>
    </row>
    <row r="579" spans="1:7" ht="10.050000000000001" customHeight="1">
      <c r="A579" s="45" t="s">
        <v>154</v>
      </c>
      <c r="B579" s="45" t="s">
        <v>82</v>
      </c>
      <c r="C579" s="46">
        <v>2001</v>
      </c>
      <c r="D579" s="45" t="s">
        <v>107</v>
      </c>
      <c r="E579" s="47">
        <v>6</v>
      </c>
      <c r="F579" s="48">
        <v>14567.8</v>
      </c>
      <c r="G579" s="48">
        <v>5551.6</v>
      </c>
    </row>
    <row r="580" spans="1:7" ht="10.050000000000001" customHeight="1">
      <c r="A580" s="45" t="s">
        <v>154</v>
      </c>
      <c r="B580" s="45" t="s">
        <v>82</v>
      </c>
      <c r="C580" s="46">
        <v>2001</v>
      </c>
      <c r="D580" s="45" t="s">
        <v>110</v>
      </c>
      <c r="E580" s="47">
        <v>7</v>
      </c>
      <c r="F580" s="48">
        <v>16787.8</v>
      </c>
      <c r="G580" s="48">
        <v>3944.2</v>
      </c>
    </row>
    <row r="581" spans="1:7" ht="10.050000000000001" customHeight="1">
      <c r="A581" s="45" t="s">
        <v>154</v>
      </c>
      <c r="B581" s="45" t="s">
        <v>82</v>
      </c>
      <c r="C581" s="46">
        <v>2001</v>
      </c>
      <c r="D581" s="45" t="s">
        <v>110</v>
      </c>
      <c r="E581" s="47">
        <v>8</v>
      </c>
      <c r="F581" s="48">
        <v>22679</v>
      </c>
      <c r="G581" s="48">
        <v>3316.3</v>
      </c>
    </row>
    <row r="582" spans="1:7" ht="10.050000000000001" customHeight="1">
      <c r="A582" s="45" t="s">
        <v>154</v>
      </c>
      <c r="B582" s="45" t="s">
        <v>82</v>
      </c>
      <c r="C582" s="46">
        <v>2001</v>
      </c>
      <c r="D582" s="45" t="s">
        <v>110</v>
      </c>
      <c r="E582" s="47">
        <v>9</v>
      </c>
      <c r="F582" s="48">
        <v>16352.9</v>
      </c>
      <c r="G582" s="48">
        <v>4561.3</v>
      </c>
    </row>
    <row r="583" spans="1:7" ht="10.050000000000001" customHeight="1">
      <c r="A583" s="45" t="s">
        <v>154</v>
      </c>
      <c r="B583" s="45" t="s">
        <v>82</v>
      </c>
      <c r="C583" s="46">
        <v>2001</v>
      </c>
      <c r="D583" s="45" t="s">
        <v>110</v>
      </c>
      <c r="E583" s="47">
        <v>10</v>
      </c>
      <c r="F583" s="48">
        <v>15543.4</v>
      </c>
      <c r="G583" s="48">
        <v>3480.3</v>
      </c>
    </row>
    <row r="584" spans="1:7" ht="10.050000000000001" customHeight="1">
      <c r="A584" s="45" t="s">
        <v>154</v>
      </c>
      <c r="B584" s="45" t="s">
        <v>82</v>
      </c>
      <c r="C584" s="46">
        <v>2001</v>
      </c>
      <c r="D584" s="45" t="s">
        <v>110</v>
      </c>
      <c r="E584" s="47">
        <v>11</v>
      </c>
      <c r="F584" s="48">
        <v>15924.1</v>
      </c>
      <c r="G584" s="48">
        <v>4624.3999999999996</v>
      </c>
    </row>
    <row r="585" spans="1:7" ht="10.050000000000001" customHeight="1">
      <c r="A585" s="45" t="s">
        <v>154</v>
      </c>
      <c r="B585" s="45" t="s">
        <v>82</v>
      </c>
      <c r="C585" s="46">
        <v>2001</v>
      </c>
      <c r="D585" s="45" t="s">
        <v>110</v>
      </c>
      <c r="E585" s="47">
        <v>12</v>
      </c>
      <c r="F585" s="48">
        <v>17267.5</v>
      </c>
      <c r="G585" s="48">
        <v>5463.2</v>
      </c>
    </row>
    <row r="586" spans="1:7" ht="10.050000000000001" customHeight="1">
      <c r="A586" s="45" t="s">
        <v>154</v>
      </c>
      <c r="B586" s="45" t="s">
        <v>82</v>
      </c>
      <c r="C586" s="46">
        <v>2002</v>
      </c>
      <c r="D586" s="45" t="s">
        <v>110</v>
      </c>
      <c r="E586" s="47">
        <v>1</v>
      </c>
      <c r="F586" s="48">
        <v>19269.400000000001</v>
      </c>
      <c r="G586" s="48">
        <v>5157.1000000000004</v>
      </c>
    </row>
    <row r="587" spans="1:7" ht="10.050000000000001" customHeight="1">
      <c r="A587" s="45" t="s">
        <v>154</v>
      </c>
      <c r="B587" s="45" t="s">
        <v>82</v>
      </c>
      <c r="C587" s="46">
        <v>2002</v>
      </c>
      <c r="D587" s="45" t="s">
        <v>110</v>
      </c>
      <c r="E587" s="47">
        <v>2</v>
      </c>
      <c r="F587" s="48">
        <v>18276.2</v>
      </c>
      <c r="G587" s="48">
        <v>4492.8999999999996</v>
      </c>
    </row>
    <row r="588" spans="1:7" ht="10.050000000000001" customHeight="1">
      <c r="A588" s="45" t="s">
        <v>154</v>
      </c>
      <c r="B588" s="45" t="s">
        <v>82</v>
      </c>
      <c r="C588" s="46">
        <v>2002</v>
      </c>
      <c r="D588" s="45" t="s">
        <v>110</v>
      </c>
      <c r="E588" s="47">
        <v>3</v>
      </c>
      <c r="F588" s="48">
        <v>19981.8</v>
      </c>
      <c r="G588" s="48">
        <v>4450</v>
      </c>
    </row>
    <row r="589" spans="1:7" ht="10.050000000000001" customHeight="1">
      <c r="A589" s="45" t="s">
        <v>154</v>
      </c>
      <c r="B589" s="45" t="s">
        <v>82</v>
      </c>
      <c r="C589" s="46">
        <v>2002</v>
      </c>
      <c r="D589" s="45" t="s">
        <v>110</v>
      </c>
      <c r="E589" s="47">
        <v>4</v>
      </c>
      <c r="F589" s="48">
        <v>16775.400000000001</v>
      </c>
      <c r="G589" s="48">
        <v>6034.6</v>
      </c>
    </row>
    <row r="590" spans="1:7" ht="10.050000000000001" customHeight="1">
      <c r="A590" s="45" t="s">
        <v>154</v>
      </c>
      <c r="B590" s="45" t="s">
        <v>82</v>
      </c>
      <c r="C590" s="46">
        <v>2002</v>
      </c>
      <c r="D590" s="45" t="s">
        <v>110</v>
      </c>
      <c r="E590" s="47">
        <v>5</v>
      </c>
      <c r="F590" s="48">
        <v>16847.099999999999</v>
      </c>
      <c r="G590" s="48">
        <v>4946.5</v>
      </c>
    </row>
    <row r="591" spans="1:7" ht="10.050000000000001" customHeight="1">
      <c r="A591" s="45" t="s">
        <v>154</v>
      </c>
      <c r="B591" s="45" t="s">
        <v>82</v>
      </c>
      <c r="C591" s="46">
        <v>2002</v>
      </c>
      <c r="D591" s="45" t="s">
        <v>110</v>
      </c>
      <c r="E591" s="47">
        <v>6</v>
      </c>
      <c r="F591" s="48">
        <v>13374.3</v>
      </c>
      <c r="G591" s="48">
        <v>4915</v>
      </c>
    </row>
    <row r="592" spans="1:7" ht="10.050000000000001" customHeight="1">
      <c r="A592" s="45" t="s">
        <v>154</v>
      </c>
      <c r="B592" s="45" t="s">
        <v>82</v>
      </c>
      <c r="C592" s="46">
        <v>2002</v>
      </c>
      <c r="D592" s="45" t="s">
        <v>111</v>
      </c>
      <c r="E592" s="47">
        <v>7</v>
      </c>
      <c r="F592" s="48">
        <v>13643.2</v>
      </c>
      <c r="G592" s="48">
        <v>5959.4</v>
      </c>
    </row>
    <row r="593" spans="1:7" ht="10.050000000000001" customHeight="1">
      <c r="A593" s="45" t="s">
        <v>154</v>
      </c>
      <c r="B593" s="45" t="s">
        <v>82</v>
      </c>
      <c r="C593" s="46">
        <v>2002</v>
      </c>
      <c r="D593" s="45" t="s">
        <v>111</v>
      </c>
      <c r="E593" s="47">
        <v>8</v>
      </c>
      <c r="F593" s="48">
        <v>15019.7</v>
      </c>
      <c r="G593" s="48">
        <v>5167.3999999999996</v>
      </c>
    </row>
    <row r="594" spans="1:7" ht="10.050000000000001" customHeight="1">
      <c r="A594" s="45" t="s">
        <v>154</v>
      </c>
      <c r="B594" s="45" t="s">
        <v>82</v>
      </c>
      <c r="C594" s="46">
        <v>2002</v>
      </c>
      <c r="D594" s="45" t="s">
        <v>111</v>
      </c>
      <c r="E594" s="47">
        <v>9</v>
      </c>
      <c r="F594" s="48">
        <v>12576.4</v>
      </c>
      <c r="G594" s="48">
        <v>5498.5</v>
      </c>
    </row>
    <row r="595" spans="1:7" ht="10.050000000000001" customHeight="1">
      <c r="A595" s="45" t="s">
        <v>154</v>
      </c>
      <c r="B595" s="45" t="s">
        <v>82</v>
      </c>
      <c r="C595" s="46">
        <v>2002</v>
      </c>
      <c r="D595" s="45" t="s">
        <v>111</v>
      </c>
      <c r="E595" s="47">
        <v>10</v>
      </c>
      <c r="F595" s="48">
        <v>14341.9</v>
      </c>
      <c r="G595" s="48">
        <v>4186.3</v>
      </c>
    </row>
    <row r="596" spans="1:7" ht="10.050000000000001" customHeight="1">
      <c r="A596" s="45" t="s">
        <v>154</v>
      </c>
      <c r="B596" s="45" t="s">
        <v>82</v>
      </c>
      <c r="C596" s="46">
        <v>2002</v>
      </c>
      <c r="D596" s="45" t="s">
        <v>111</v>
      </c>
      <c r="E596" s="47">
        <v>11</v>
      </c>
      <c r="F596" s="48">
        <v>11308.4</v>
      </c>
      <c r="G596" s="48">
        <v>5287.9</v>
      </c>
    </row>
    <row r="597" spans="1:7" ht="10.050000000000001" customHeight="1">
      <c r="A597" s="45" t="s">
        <v>154</v>
      </c>
      <c r="B597" s="45" t="s">
        <v>82</v>
      </c>
      <c r="C597" s="46">
        <v>2002</v>
      </c>
      <c r="D597" s="45" t="s">
        <v>111</v>
      </c>
      <c r="E597" s="47">
        <v>12</v>
      </c>
      <c r="F597" s="48">
        <v>13466.9</v>
      </c>
      <c r="G597" s="48">
        <v>5541.9</v>
      </c>
    </row>
    <row r="598" spans="1:7" ht="10.050000000000001" customHeight="1">
      <c r="A598" s="45" t="s">
        <v>154</v>
      </c>
      <c r="B598" s="45" t="s">
        <v>82</v>
      </c>
      <c r="C598" s="46">
        <v>2003</v>
      </c>
      <c r="D598" s="45" t="s">
        <v>111</v>
      </c>
      <c r="E598" s="47">
        <v>1</v>
      </c>
      <c r="F598" s="48">
        <v>13637.8</v>
      </c>
      <c r="G598" s="48">
        <v>4544.3999999999996</v>
      </c>
    </row>
    <row r="599" spans="1:7" ht="10.050000000000001" customHeight="1">
      <c r="A599" s="45" t="s">
        <v>154</v>
      </c>
      <c r="B599" s="45" t="s">
        <v>82</v>
      </c>
      <c r="C599" s="46">
        <v>2003</v>
      </c>
      <c r="D599" s="45" t="s">
        <v>111</v>
      </c>
      <c r="E599" s="47">
        <v>2</v>
      </c>
      <c r="F599" s="48">
        <v>12831.2</v>
      </c>
      <c r="G599" s="48">
        <v>5071.7</v>
      </c>
    </row>
    <row r="600" spans="1:7" ht="10.050000000000001" customHeight="1">
      <c r="A600" s="45" t="s">
        <v>154</v>
      </c>
      <c r="B600" s="45" t="s">
        <v>82</v>
      </c>
      <c r="C600" s="46">
        <v>2003</v>
      </c>
      <c r="D600" s="45" t="s">
        <v>111</v>
      </c>
      <c r="E600" s="47">
        <v>3</v>
      </c>
      <c r="F600" s="48">
        <v>10284.5</v>
      </c>
      <c r="G600" s="48">
        <v>5255.5</v>
      </c>
    </row>
    <row r="601" spans="1:7" ht="10.050000000000001" customHeight="1">
      <c r="A601" s="45" t="s">
        <v>154</v>
      </c>
      <c r="B601" s="45" t="s">
        <v>82</v>
      </c>
      <c r="C601" s="46">
        <v>2003</v>
      </c>
      <c r="D601" s="45" t="s">
        <v>111</v>
      </c>
      <c r="E601" s="47">
        <v>4</v>
      </c>
      <c r="F601" s="48">
        <v>12153.5</v>
      </c>
      <c r="G601" s="48">
        <v>5596.5</v>
      </c>
    </row>
    <row r="602" spans="1:7" ht="10.050000000000001" customHeight="1">
      <c r="A602" s="45" t="s">
        <v>154</v>
      </c>
      <c r="B602" s="45" t="s">
        <v>82</v>
      </c>
      <c r="C602" s="46">
        <v>2003</v>
      </c>
      <c r="D602" s="45" t="s">
        <v>111</v>
      </c>
      <c r="E602" s="47">
        <v>5</v>
      </c>
      <c r="F602" s="48">
        <v>10881.4</v>
      </c>
      <c r="G602" s="48">
        <v>4487.3</v>
      </c>
    </row>
    <row r="603" spans="1:7" ht="10.050000000000001" customHeight="1">
      <c r="A603" s="45" t="s">
        <v>154</v>
      </c>
      <c r="B603" s="45" t="s">
        <v>82</v>
      </c>
      <c r="C603" s="46">
        <v>2003</v>
      </c>
      <c r="D603" s="45" t="s">
        <v>111</v>
      </c>
      <c r="E603" s="47">
        <v>6</v>
      </c>
      <c r="F603" s="48">
        <v>9748.5</v>
      </c>
      <c r="G603" s="48">
        <v>4212.6000000000004</v>
      </c>
    </row>
    <row r="604" spans="1:7" ht="10.050000000000001" customHeight="1">
      <c r="A604" s="45" t="s">
        <v>154</v>
      </c>
      <c r="B604" s="45" t="s">
        <v>82</v>
      </c>
      <c r="C604" s="46">
        <v>2003</v>
      </c>
      <c r="D604" s="45" t="s">
        <v>108</v>
      </c>
      <c r="E604" s="47">
        <v>7</v>
      </c>
      <c r="F604" s="48">
        <v>9690.7000000000007</v>
      </c>
      <c r="G604" s="48">
        <v>4449.5</v>
      </c>
    </row>
    <row r="605" spans="1:7" ht="10.050000000000001" customHeight="1">
      <c r="A605" s="45" t="s">
        <v>154</v>
      </c>
      <c r="B605" s="45" t="s">
        <v>82</v>
      </c>
      <c r="C605" s="46">
        <v>2003</v>
      </c>
      <c r="D605" s="45" t="s">
        <v>108</v>
      </c>
      <c r="E605" s="47">
        <v>8</v>
      </c>
      <c r="F605" s="48">
        <v>9042.2000000000007</v>
      </c>
      <c r="G605" s="48">
        <v>4557.8999999999996</v>
      </c>
    </row>
    <row r="606" spans="1:7" ht="10.050000000000001" customHeight="1">
      <c r="A606" s="45" t="s">
        <v>154</v>
      </c>
      <c r="B606" s="45" t="s">
        <v>82</v>
      </c>
      <c r="C606" s="46">
        <v>2003</v>
      </c>
      <c r="D606" s="45" t="s">
        <v>108</v>
      </c>
      <c r="E606" s="47">
        <v>9</v>
      </c>
      <c r="F606" s="48">
        <v>10802.8</v>
      </c>
      <c r="G606" s="48">
        <v>3552.5</v>
      </c>
    </row>
    <row r="607" spans="1:7" ht="10.050000000000001" customHeight="1">
      <c r="A607" s="45" t="s">
        <v>154</v>
      </c>
      <c r="B607" s="45" t="s">
        <v>82</v>
      </c>
      <c r="C607" s="46">
        <v>2003</v>
      </c>
      <c r="D607" s="45" t="s">
        <v>108</v>
      </c>
      <c r="E607" s="47">
        <v>10</v>
      </c>
      <c r="F607" s="48">
        <v>10278.5</v>
      </c>
      <c r="G607" s="48">
        <v>3728.4</v>
      </c>
    </row>
    <row r="608" spans="1:7" ht="10.050000000000001" customHeight="1">
      <c r="A608" s="45" t="s">
        <v>154</v>
      </c>
      <c r="B608" s="45" t="s">
        <v>82</v>
      </c>
      <c r="C608" s="46">
        <v>2003</v>
      </c>
      <c r="D608" s="45" t="s">
        <v>108</v>
      </c>
      <c r="E608" s="47">
        <v>11</v>
      </c>
      <c r="F608" s="48">
        <v>9703.9</v>
      </c>
      <c r="G608" s="48">
        <v>5119.8</v>
      </c>
    </row>
    <row r="609" spans="1:7" ht="10.050000000000001" customHeight="1">
      <c r="A609" s="45" t="s">
        <v>154</v>
      </c>
      <c r="B609" s="45" t="s">
        <v>82</v>
      </c>
      <c r="C609" s="46">
        <v>2003</v>
      </c>
      <c r="D609" s="45" t="s">
        <v>108</v>
      </c>
      <c r="E609" s="47">
        <v>12</v>
      </c>
      <c r="F609" s="48">
        <v>11346.8</v>
      </c>
      <c r="G609" s="48">
        <v>3936.8</v>
      </c>
    </row>
    <row r="610" spans="1:7" ht="10.050000000000001" customHeight="1">
      <c r="A610" s="45" t="s">
        <v>154</v>
      </c>
      <c r="B610" s="45" t="s">
        <v>82</v>
      </c>
      <c r="C610" s="46">
        <v>2004</v>
      </c>
      <c r="D610" s="45" t="s">
        <v>108</v>
      </c>
      <c r="E610" s="47">
        <v>1</v>
      </c>
      <c r="F610" s="48">
        <v>8568.1</v>
      </c>
      <c r="G610" s="48">
        <v>3903.4</v>
      </c>
    </row>
    <row r="611" spans="1:7" ht="10.050000000000001" customHeight="1">
      <c r="A611" s="45" t="s">
        <v>154</v>
      </c>
      <c r="B611" s="45" t="s">
        <v>82</v>
      </c>
      <c r="C611" s="46">
        <v>2004</v>
      </c>
      <c r="D611" s="45" t="s">
        <v>108</v>
      </c>
      <c r="E611" s="47">
        <v>2</v>
      </c>
      <c r="F611" s="48">
        <v>8184.8</v>
      </c>
      <c r="G611" s="48">
        <v>2734</v>
      </c>
    </row>
    <row r="612" spans="1:7" ht="10.050000000000001" customHeight="1">
      <c r="A612" s="45" t="s">
        <v>154</v>
      </c>
      <c r="B612" s="45" t="s">
        <v>82</v>
      </c>
      <c r="C612" s="46">
        <v>2004</v>
      </c>
      <c r="D612" s="45" t="s">
        <v>108</v>
      </c>
      <c r="E612" s="47">
        <v>3</v>
      </c>
      <c r="F612" s="48">
        <v>8026.3</v>
      </c>
      <c r="G612" s="48">
        <v>2672</v>
      </c>
    </row>
    <row r="613" spans="1:7" ht="10.050000000000001" customHeight="1">
      <c r="A613" s="45" t="s">
        <v>154</v>
      </c>
      <c r="B613" s="45" t="s">
        <v>82</v>
      </c>
      <c r="C613" s="46">
        <v>2004</v>
      </c>
      <c r="D613" s="45" t="s">
        <v>108</v>
      </c>
      <c r="E613" s="47">
        <v>4</v>
      </c>
      <c r="F613" s="48">
        <v>7428.9</v>
      </c>
      <c r="G613" s="48">
        <v>3012.8</v>
      </c>
    </row>
    <row r="614" spans="1:7" ht="10.050000000000001" customHeight="1">
      <c r="A614" s="45" t="s">
        <v>154</v>
      </c>
      <c r="B614" s="45" t="s">
        <v>82</v>
      </c>
      <c r="C614" s="46">
        <v>2004</v>
      </c>
      <c r="D614" s="45" t="s">
        <v>108</v>
      </c>
      <c r="E614" s="47">
        <v>5</v>
      </c>
      <c r="F614" s="48">
        <v>6312</v>
      </c>
      <c r="G614" s="48">
        <v>2205</v>
      </c>
    </row>
    <row r="615" spans="1:7" ht="10.050000000000001" customHeight="1">
      <c r="A615" s="45" t="s">
        <v>154</v>
      </c>
      <c r="B615" s="45" t="s">
        <v>82</v>
      </c>
      <c r="C615" s="46">
        <v>2004</v>
      </c>
      <c r="D615" s="45" t="s">
        <v>108</v>
      </c>
      <c r="E615" s="47">
        <v>6</v>
      </c>
      <c r="F615" s="48">
        <v>6094.4</v>
      </c>
      <c r="G615" s="48">
        <v>4434.5</v>
      </c>
    </row>
    <row r="616" spans="1:7" ht="10.050000000000001" customHeight="1">
      <c r="A616" s="45" t="s">
        <v>154</v>
      </c>
      <c r="B616" s="45" t="s">
        <v>82</v>
      </c>
      <c r="C616" s="46">
        <v>2004</v>
      </c>
      <c r="D616" s="45" t="s">
        <v>112</v>
      </c>
      <c r="E616" s="47">
        <v>7</v>
      </c>
      <c r="F616" s="48">
        <v>5520.2</v>
      </c>
      <c r="G616" s="48">
        <v>4105.1000000000004</v>
      </c>
    </row>
    <row r="617" spans="1:7" ht="10.050000000000001" customHeight="1">
      <c r="A617" s="45" t="s">
        <v>154</v>
      </c>
      <c r="B617" s="45" t="s">
        <v>82</v>
      </c>
      <c r="C617" s="46">
        <v>2004</v>
      </c>
      <c r="D617" s="45" t="s">
        <v>112</v>
      </c>
      <c r="E617" s="47">
        <v>8</v>
      </c>
      <c r="F617" s="48">
        <v>5192.1000000000004</v>
      </c>
      <c r="G617" s="48">
        <v>3526.1</v>
      </c>
    </row>
    <row r="618" spans="1:7" ht="10.050000000000001" customHeight="1">
      <c r="A618" s="45" t="s">
        <v>154</v>
      </c>
      <c r="B618" s="45" t="s">
        <v>82</v>
      </c>
      <c r="C618" s="46">
        <v>2004</v>
      </c>
      <c r="D618" s="45" t="s">
        <v>112</v>
      </c>
      <c r="E618" s="47">
        <v>9</v>
      </c>
      <c r="F618" s="48">
        <v>5499.3</v>
      </c>
      <c r="G618" s="48">
        <v>1501.9</v>
      </c>
    </row>
    <row r="619" spans="1:7" ht="10.050000000000001" customHeight="1">
      <c r="A619" s="45" t="s">
        <v>154</v>
      </c>
      <c r="B619" s="45" t="s">
        <v>82</v>
      </c>
      <c r="C619" s="46">
        <v>2004</v>
      </c>
      <c r="D619" s="45" t="s">
        <v>112</v>
      </c>
      <c r="E619" s="47">
        <v>10</v>
      </c>
      <c r="F619" s="48">
        <v>5019.8</v>
      </c>
      <c r="G619" s="48">
        <v>1941.7</v>
      </c>
    </row>
    <row r="620" spans="1:7" ht="10.050000000000001" customHeight="1">
      <c r="A620" s="45" t="s">
        <v>154</v>
      </c>
      <c r="B620" s="45" t="s">
        <v>82</v>
      </c>
      <c r="C620" s="46">
        <v>2004</v>
      </c>
      <c r="D620" s="45" t="s">
        <v>112</v>
      </c>
      <c r="E620" s="47">
        <v>11</v>
      </c>
      <c r="F620" s="48">
        <v>5691.3</v>
      </c>
      <c r="G620" s="48">
        <v>2980.3</v>
      </c>
    </row>
    <row r="621" spans="1:7" ht="10.050000000000001" customHeight="1">
      <c r="A621" s="45" t="s">
        <v>154</v>
      </c>
      <c r="B621" s="45" t="s">
        <v>82</v>
      </c>
      <c r="C621" s="46">
        <v>2004</v>
      </c>
      <c r="D621" s="45" t="s">
        <v>112</v>
      </c>
      <c r="E621" s="47">
        <v>12</v>
      </c>
      <c r="F621" s="48">
        <v>6427.5</v>
      </c>
      <c r="G621" s="48">
        <v>2922.8</v>
      </c>
    </row>
    <row r="622" spans="1:7" ht="10.050000000000001" customHeight="1">
      <c r="A622" s="45" t="s">
        <v>154</v>
      </c>
      <c r="B622" s="45" t="s">
        <v>82</v>
      </c>
      <c r="C622" s="46">
        <v>2005</v>
      </c>
      <c r="D622" s="45" t="s">
        <v>112</v>
      </c>
      <c r="E622" s="47">
        <v>1</v>
      </c>
      <c r="F622" s="48">
        <v>7726.6</v>
      </c>
      <c r="G622" s="48">
        <v>2786.1</v>
      </c>
    </row>
    <row r="623" spans="1:7" ht="10.050000000000001" customHeight="1">
      <c r="A623" s="45" t="s">
        <v>154</v>
      </c>
      <c r="B623" s="45" t="s">
        <v>82</v>
      </c>
      <c r="C623" s="46">
        <v>2005</v>
      </c>
      <c r="D623" s="45" t="s">
        <v>112</v>
      </c>
      <c r="E623" s="47">
        <v>2</v>
      </c>
      <c r="F623" s="48">
        <v>6618.4</v>
      </c>
      <c r="G623" s="48">
        <v>3094.8</v>
      </c>
    </row>
    <row r="624" spans="1:7" ht="10.050000000000001" customHeight="1">
      <c r="A624" s="45" t="s">
        <v>154</v>
      </c>
      <c r="B624" s="45" t="s">
        <v>82</v>
      </c>
      <c r="C624" s="46">
        <v>2005</v>
      </c>
      <c r="D624" s="45" t="s">
        <v>112</v>
      </c>
      <c r="E624" s="47">
        <v>3</v>
      </c>
      <c r="F624" s="48">
        <v>8676.5</v>
      </c>
      <c r="G624" s="48">
        <v>2937.6</v>
      </c>
    </row>
    <row r="625" spans="1:7" ht="10.050000000000001" customHeight="1">
      <c r="A625" s="45" t="s">
        <v>154</v>
      </c>
      <c r="B625" s="45" t="s">
        <v>82</v>
      </c>
      <c r="C625" s="46">
        <v>2005</v>
      </c>
      <c r="D625" s="45" t="s">
        <v>112</v>
      </c>
      <c r="E625" s="47">
        <v>4</v>
      </c>
      <c r="F625" s="48">
        <v>7850.1</v>
      </c>
      <c r="G625" s="48">
        <v>3674.9</v>
      </c>
    </row>
    <row r="626" spans="1:7" ht="10.050000000000001" customHeight="1">
      <c r="A626" s="45" t="s">
        <v>154</v>
      </c>
      <c r="B626" s="45" t="s">
        <v>82</v>
      </c>
      <c r="C626" s="46">
        <v>2005</v>
      </c>
      <c r="D626" s="45" t="s">
        <v>112</v>
      </c>
      <c r="E626" s="47">
        <v>5</v>
      </c>
      <c r="F626" s="48">
        <v>7405.8</v>
      </c>
      <c r="G626" s="48">
        <v>2578.8000000000002</v>
      </c>
    </row>
    <row r="627" spans="1:7" ht="10.050000000000001" customHeight="1">
      <c r="A627" s="45" t="s">
        <v>154</v>
      </c>
      <c r="B627" s="45" t="s">
        <v>82</v>
      </c>
      <c r="C627" s="46">
        <v>2005</v>
      </c>
      <c r="D627" s="45" t="s">
        <v>112</v>
      </c>
      <c r="E627" s="47">
        <v>6</v>
      </c>
      <c r="F627" s="48">
        <v>6402.5</v>
      </c>
      <c r="G627" s="48">
        <v>3146.7</v>
      </c>
    </row>
    <row r="628" spans="1:7" ht="10.050000000000001" customHeight="1">
      <c r="A628" s="45" t="s">
        <v>154</v>
      </c>
      <c r="B628" s="45" t="s">
        <v>82</v>
      </c>
      <c r="C628" s="46">
        <v>2005</v>
      </c>
      <c r="D628" s="45" t="s">
        <v>113</v>
      </c>
      <c r="E628" s="47">
        <v>7</v>
      </c>
      <c r="F628" s="48">
        <v>6042.8</v>
      </c>
      <c r="G628" s="48">
        <v>1967.9</v>
      </c>
    </row>
    <row r="629" spans="1:7" ht="10.050000000000001" customHeight="1">
      <c r="A629" s="45" t="s">
        <v>154</v>
      </c>
      <c r="B629" s="45" t="s">
        <v>82</v>
      </c>
      <c r="C629" s="46">
        <v>2005</v>
      </c>
      <c r="D629" s="45" t="s">
        <v>113</v>
      </c>
      <c r="E629" s="47">
        <v>8</v>
      </c>
      <c r="F629" s="48">
        <v>6555.7</v>
      </c>
      <c r="G629" s="48">
        <v>2226.8000000000002</v>
      </c>
    </row>
    <row r="630" spans="1:7" ht="10.050000000000001" customHeight="1">
      <c r="A630" s="45" t="s">
        <v>154</v>
      </c>
      <c r="B630" s="45" t="s">
        <v>82</v>
      </c>
      <c r="C630" s="46">
        <v>2005</v>
      </c>
      <c r="D630" s="45" t="s">
        <v>113</v>
      </c>
      <c r="E630" s="47">
        <v>9</v>
      </c>
      <c r="F630" s="48">
        <v>5341.6</v>
      </c>
      <c r="G630" s="48">
        <v>2249.5</v>
      </c>
    </row>
    <row r="631" spans="1:7" ht="10.050000000000001" customHeight="1">
      <c r="A631" s="45" t="s">
        <v>154</v>
      </c>
      <c r="B631" s="45" t="s">
        <v>82</v>
      </c>
      <c r="C631" s="46">
        <v>2005</v>
      </c>
      <c r="D631" s="45" t="s">
        <v>113</v>
      </c>
      <c r="E631" s="47">
        <v>10</v>
      </c>
      <c r="F631" s="48">
        <v>5840.1</v>
      </c>
      <c r="G631" s="48">
        <v>1953.2</v>
      </c>
    </row>
    <row r="632" spans="1:7" ht="10.050000000000001" customHeight="1">
      <c r="A632" s="45" t="s">
        <v>154</v>
      </c>
      <c r="B632" s="45" t="s">
        <v>82</v>
      </c>
      <c r="C632" s="46">
        <v>2005</v>
      </c>
      <c r="D632" s="45" t="s">
        <v>113</v>
      </c>
      <c r="E632" s="47">
        <v>11</v>
      </c>
      <c r="F632" s="48">
        <v>6603.3</v>
      </c>
      <c r="G632" s="48">
        <v>2590.6</v>
      </c>
    </row>
    <row r="633" spans="1:7" ht="10.050000000000001" customHeight="1">
      <c r="A633" s="45" t="s">
        <v>154</v>
      </c>
      <c r="B633" s="45" t="s">
        <v>82</v>
      </c>
      <c r="C633" s="46">
        <v>2005</v>
      </c>
      <c r="D633" s="45" t="s">
        <v>113</v>
      </c>
      <c r="E633" s="47">
        <v>12</v>
      </c>
      <c r="F633" s="48">
        <v>6814.7</v>
      </c>
      <c r="G633" s="48">
        <v>2925.2</v>
      </c>
    </row>
    <row r="634" spans="1:7" ht="10.050000000000001" customHeight="1">
      <c r="A634" s="45" t="s">
        <v>154</v>
      </c>
      <c r="B634" s="45" t="s">
        <v>82</v>
      </c>
      <c r="C634" s="46">
        <v>2006</v>
      </c>
      <c r="D634" s="45" t="s">
        <v>113</v>
      </c>
      <c r="E634" s="47">
        <v>1</v>
      </c>
      <c r="F634" s="48">
        <v>5363.3</v>
      </c>
      <c r="G634" s="48">
        <v>2530.9</v>
      </c>
    </row>
    <row r="635" spans="1:7" ht="10.050000000000001" customHeight="1">
      <c r="A635" s="45" t="s">
        <v>154</v>
      </c>
      <c r="B635" s="45" t="s">
        <v>82</v>
      </c>
      <c r="C635" s="46">
        <v>2006</v>
      </c>
      <c r="D635" s="45" t="s">
        <v>113</v>
      </c>
      <c r="E635" s="47">
        <v>2</v>
      </c>
      <c r="F635" s="48">
        <v>6527.2</v>
      </c>
      <c r="G635" s="48">
        <v>2862.3</v>
      </c>
    </row>
    <row r="636" spans="1:7" ht="10.050000000000001" customHeight="1">
      <c r="A636" s="45" t="s">
        <v>154</v>
      </c>
      <c r="B636" s="45" t="s">
        <v>82</v>
      </c>
      <c r="C636" s="46">
        <v>2006</v>
      </c>
      <c r="D636" s="45" t="s">
        <v>113</v>
      </c>
      <c r="E636" s="47">
        <v>3</v>
      </c>
      <c r="F636" s="48">
        <v>6359.2</v>
      </c>
      <c r="G636" s="48">
        <v>3564.8</v>
      </c>
    </row>
    <row r="637" spans="1:7" ht="10.050000000000001" customHeight="1">
      <c r="A637" s="45" t="s">
        <v>154</v>
      </c>
      <c r="B637" s="45" t="s">
        <v>82</v>
      </c>
      <c r="C637" s="46">
        <v>2006</v>
      </c>
      <c r="D637" s="45" t="s">
        <v>113</v>
      </c>
      <c r="E637" s="47">
        <v>4</v>
      </c>
      <c r="F637" s="48">
        <v>5314.9</v>
      </c>
      <c r="G637" s="48">
        <v>2904.7</v>
      </c>
    </row>
    <row r="638" spans="1:7" ht="10.050000000000001" customHeight="1">
      <c r="A638" s="45" t="s">
        <v>154</v>
      </c>
      <c r="B638" s="45" t="s">
        <v>82</v>
      </c>
      <c r="C638" s="46">
        <v>2006</v>
      </c>
      <c r="D638" s="45" t="s">
        <v>113</v>
      </c>
      <c r="E638" s="47">
        <v>5</v>
      </c>
      <c r="F638" s="48">
        <v>5494.2</v>
      </c>
      <c r="G638" s="48">
        <v>2098.9</v>
      </c>
    </row>
    <row r="639" spans="1:7" ht="10.050000000000001" customHeight="1">
      <c r="A639" s="45" t="s">
        <v>154</v>
      </c>
      <c r="B639" s="45" t="s">
        <v>82</v>
      </c>
      <c r="C639" s="46">
        <v>2006</v>
      </c>
      <c r="D639" s="45" t="s">
        <v>113</v>
      </c>
      <c r="E639" s="47">
        <v>6</v>
      </c>
      <c r="F639" s="48">
        <v>5382.3</v>
      </c>
      <c r="G639" s="48">
        <v>3043.8</v>
      </c>
    </row>
    <row r="640" spans="1:7" ht="10.050000000000001" customHeight="1">
      <c r="A640" s="45" t="s">
        <v>154</v>
      </c>
      <c r="B640" s="45" t="s">
        <v>82</v>
      </c>
      <c r="C640" s="46">
        <v>2006</v>
      </c>
      <c r="D640" s="45" t="s">
        <v>114</v>
      </c>
      <c r="E640" s="47">
        <v>7</v>
      </c>
      <c r="F640" s="48">
        <v>5320.8</v>
      </c>
      <c r="G640" s="48">
        <v>2139.1</v>
      </c>
    </row>
    <row r="641" spans="1:7" ht="10.050000000000001" customHeight="1">
      <c r="A641" s="45" t="s">
        <v>154</v>
      </c>
      <c r="B641" s="45" t="s">
        <v>82</v>
      </c>
      <c r="C641" s="46">
        <v>2006</v>
      </c>
      <c r="D641" s="45" t="s">
        <v>114</v>
      </c>
      <c r="E641" s="47">
        <v>8</v>
      </c>
      <c r="F641" s="48">
        <v>5931.2</v>
      </c>
      <c r="G641" s="48">
        <v>1517.9</v>
      </c>
    </row>
    <row r="642" spans="1:7" ht="10.050000000000001" customHeight="1">
      <c r="A642" s="45" t="s">
        <v>154</v>
      </c>
      <c r="B642" s="45" t="s">
        <v>82</v>
      </c>
      <c r="C642" s="46">
        <v>2006</v>
      </c>
      <c r="D642" s="45" t="s">
        <v>114</v>
      </c>
      <c r="E642" s="47">
        <v>9</v>
      </c>
      <c r="F642" s="48">
        <v>5502</v>
      </c>
      <c r="G642" s="48">
        <v>1496.8</v>
      </c>
    </row>
    <row r="643" spans="1:7" ht="10.050000000000001" customHeight="1">
      <c r="A643" s="45" t="s">
        <v>154</v>
      </c>
      <c r="B643" s="45" t="s">
        <v>82</v>
      </c>
      <c r="C643" s="46">
        <v>2006</v>
      </c>
      <c r="D643" s="45" t="s">
        <v>114</v>
      </c>
      <c r="E643" s="47">
        <v>10</v>
      </c>
      <c r="F643" s="48">
        <v>5985.6</v>
      </c>
      <c r="G643" s="48">
        <v>2013.1</v>
      </c>
    </row>
    <row r="644" spans="1:7" ht="10.050000000000001" customHeight="1">
      <c r="A644" s="45" t="s">
        <v>154</v>
      </c>
      <c r="B644" s="45" t="s">
        <v>82</v>
      </c>
      <c r="C644" s="46">
        <v>2006</v>
      </c>
      <c r="D644" s="45" t="s">
        <v>114</v>
      </c>
      <c r="E644" s="47">
        <v>11</v>
      </c>
      <c r="F644" s="48">
        <v>6073.1</v>
      </c>
      <c r="G644" s="48">
        <v>2344.9</v>
      </c>
    </row>
    <row r="645" spans="1:7" ht="10.050000000000001" customHeight="1">
      <c r="A645" s="45" t="s">
        <v>154</v>
      </c>
      <c r="B645" s="45" t="s">
        <v>82</v>
      </c>
      <c r="C645" s="46">
        <v>2006</v>
      </c>
      <c r="D645" s="45" t="s">
        <v>114</v>
      </c>
      <c r="E645" s="47">
        <v>12</v>
      </c>
      <c r="F645" s="48">
        <v>6340.6</v>
      </c>
      <c r="G645" s="48">
        <v>2611.5</v>
      </c>
    </row>
    <row r="646" spans="1:7" ht="10.050000000000001" customHeight="1">
      <c r="A646" s="45" t="s">
        <v>154</v>
      </c>
      <c r="B646" s="45" t="s">
        <v>82</v>
      </c>
      <c r="C646" s="46">
        <v>2007</v>
      </c>
      <c r="D646" s="45" t="s">
        <v>114</v>
      </c>
      <c r="E646" s="47">
        <v>1</v>
      </c>
      <c r="F646" s="48">
        <v>6554.9</v>
      </c>
      <c r="G646" s="48">
        <v>2648.3</v>
      </c>
    </row>
    <row r="647" spans="1:7" ht="10.050000000000001" customHeight="1">
      <c r="A647" s="45" t="s">
        <v>154</v>
      </c>
      <c r="B647" s="45" t="s">
        <v>82</v>
      </c>
      <c r="C647" s="46">
        <v>2007</v>
      </c>
      <c r="D647" s="45" t="s">
        <v>114</v>
      </c>
      <c r="E647" s="47">
        <v>2</v>
      </c>
      <c r="F647" s="48">
        <v>6253.1</v>
      </c>
      <c r="G647" s="48">
        <v>2439.6999999999998</v>
      </c>
    </row>
    <row r="648" spans="1:7" ht="10.050000000000001" customHeight="1">
      <c r="A648" s="45" t="s">
        <v>154</v>
      </c>
      <c r="B648" s="45" t="s">
        <v>82</v>
      </c>
      <c r="C648" s="46">
        <v>2007</v>
      </c>
      <c r="D648" s="45" t="s">
        <v>114</v>
      </c>
      <c r="E648" s="47">
        <v>3</v>
      </c>
      <c r="F648" s="48">
        <v>6323.1</v>
      </c>
      <c r="G648" s="48">
        <v>3120.7</v>
      </c>
    </row>
    <row r="649" spans="1:7" ht="10.050000000000001" customHeight="1">
      <c r="A649" s="45" t="s">
        <v>154</v>
      </c>
      <c r="B649" s="45" t="s">
        <v>82</v>
      </c>
      <c r="C649" s="46">
        <v>2007</v>
      </c>
      <c r="D649" s="45" t="s">
        <v>114</v>
      </c>
      <c r="E649" s="47">
        <v>4</v>
      </c>
      <c r="F649" s="48">
        <v>5705.9</v>
      </c>
      <c r="G649" s="48">
        <v>3198.5</v>
      </c>
    </row>
    <row r="650" spans="1:7" ht="10.050000000000001" customHeight="1">
      <c r="A650" s="45" t="s">
        <v>154</v>
      </c>
      <c r="B650" s="45" t="s">
        <v>82</v>
      </c>
      <c r="C650" s="46">
        <v>2007</v>
      </c>
      <c r="D650" s="45" t="s">
        <v>114</v>
      </c>
      <c r="E650" s="47">
        <v>5</v>
      </c>
      <c r="F650" s="48">
        <v>5532.6</v>
      </c>
      <c r="G650" s="48">
        <v>2436.5</v>
      </c>
    </row>
    <row r="651" spans="1:7" ht="10.050000000000001" customHeight="1">
      <c r="A651" s="45" t="s">
        <v>154</v>
      </c>
      <c r="B651" s="45" t="s">
        <v>82</v>
      </c>
      <c r="C651" s="46">
        <v>2007</v>
      </c>
      <c r="D651" s="45" t="s">
        <v>114</v>
      </c>
      <c r="E651" s="47">
        <v>6</v>
      </c>
      <c r="F651" s="48">
        <v>4899.2</v>
      </c>
      <c r="G651" s="48">
        <v>3213.8</v>
      </c>
    </row>
    <row r="652" spans="1:7" ht="10.050000000000001" customHeight="1">
      <c r="A652" s="45" t="s">
        <v>154</v>
      </c>
      <c r="B652" s="45" t="s">
        <v>82</v>
      </c>
      <c r="C652" s="46">
        <v>2007</v>
      </c>
      <c r="D652" s="45" t="s">
        <v>115</v>
      </c>
      <c r="E652" s="47">
        <v>7</v>
      </c>
      <c r="F652" s="48">
        <v>5180</v>
      </c>
      <c r="G652" s="48">
        <v>2836.3</v>
      </c>
    </row>
    <row r="653" spans="1:7" ht="10.050000000000001" customHeight="1">
      <c r="A653" s="45" t="s">
        <v>154</v>
      </c>
      <c r="B653" s="45" t="s">
        <v>82</v>
      </c>
      <c r="C653" s="46">
        <v>2007</v>
      </c>
      <c r="D653" s="45" t="s">
        <v>115</v>
      </c>
      <c r="E653" s="47">
        <v>8</v>
      </c>
      <c r="F653" s="48">
        <v>5321.8</v>
      </c>
      <c r="G653" s="48">
        <v>1911.9</v>
      </c>
    </row>
    <row r="654" spans="1:7" ht="10.050000000000001" customHeight="1">
      <c r="A654" s="45" t="s">
        <v>154</v>
      </c>
      <c r="B654" s="45" t="s">
        <v>82</v>
      </c>
      <c r="C654" s="46">
        <v>2007</v>
      </c>
      <c r="D654" s="45" t="s">
        <v>115</v>
      </c>
      <c r="E654" s="47">
        <v>9</v>
      </c>
      <c r="F654" s="48">
        <v>3315</v>
      </c>
      <c r="G654" s="48">
        <v>1358.2</v>
      </c>
    </row>
    <row r="655" spans="1:7" ht="10.050000000000001" customHeight="1">
      <c r="A655" s="45" t="s">
        <v>154</v>
      </c>
      <c r="B655" s="45" t="s">
        <v>82</v>
      </c>
      <c r="C655" s="46">
        <v>2007</v>
      </c>
      <c r="D655" s="45" t="s">
        <v>115</v>
      </c>
      <c r="E655" s="47">
        <v>10</v>
      </c>
      <c r="F655" s="48">
        <v>3963.2</v>
      </c>
      <c r="G655" s="48">
        <v>1486.5</v>
      </c>
    </row>
    <row r="656" spans="1:7" ht="10.050000000000001" customHeight="1">
      <c r="A656" s="45" t="s">
        <v>154</v>
      </c>
      <c r="B656" s="45" t="s">
        <v>82</v>
      </c>
      <c r="C656" s="46">
        <v>2007</v>
      </c>
      <c r="D656" s="45" t="s">
        <v>115</v>
      </c>
      <c r="E656" s="47">
        <v>11</v>
      </c>
      <c r="F656" s="48">
        <v>4602.1000000000004</v>
      </c>
      <c r="G656" s="48">
        <v>2565.4</v>
      </c>
    </row>
    <row r="657" spans="1:7" ht="10.050000000000001" customHeight="1">
      <c r="A657" s="45" t="s">
        <v>154</v>
      </c>
      <c r="B657" s="45" t="s">
        <v>82</v>
      </c>
      <c r="C657" s="46">
        <v>2007</v>
      </c>
      <c r="D657" s="45" t="s">
        <v>115</v>
      </c>
      <c r="E657" s="47">
        <v>12</v>
      </c>
      <c r="F657" s="48">
        <v>5667.7</v>
      </c>
      <c r="G657" s="48">
        <v>1799.5</v>
      </c>
    </row>
    <row r="658" spans="1:7" ht="10.050000000000001" customHeight="1">
      <c r="A658" s="45" t="s">
        <v>154</v>
      </c>
      <c r="B658" s="45" t="s">
        <v>82</v>
      </c>
      <c r="C658" s="46">
        <v>2008</v>
      </c>
      <c r="D658" s="45" t="s">
        <v>115</v>
      </c>
      <c r="E658" s="47">
        <v>1</v>
      </c>
      <c r="F658" s="48">
        <v>5398.7</v>
      </c>
      <c r="G658" s="48">
        <v>2664.6</v>
      </c>
    </row>
    <row r="659" spans="1:7" ht="10.050000000000001" customHeight="1">
      <c r="A659" s="45" t="s">
        <v>154</v>
      </c>
      <c r="B659" s="45" t="s">
        <v>82</v>
      </c>
      <c r="C659" s="46">
        <v>2008</v>
      </c>
      <c r="D659" s="45" t="s">
        <v>115</v>
      </c>
      <c r="E659" s="47">
        <v>2</v>
      </c>
      <c r="F659" s="48">
        <v>5062</v>
      </c>
      <c r="G659" s="48">
        <v>2275.5</v>
      </c>
    </row>
    <row r="660" spans="1:7" ht="10.050000000000001" customHeight="1">
      <c r="A660" s="45" t="s">
        <v>154</v>
      </c>
      <c r="B660" s="45" t="s">
        <v>82</v>
      </c>
      <c r="C660" s="46">
        <v>2008</v>
      </c>
      <c r="D660" s="45" t="s">
        <v>115</v>
      </c>
      <c r="E660" s="47">
        <v>3</v>
      </c>
      <c r="F660" s="48">
        <v>4551.1000000000004</v>
      </c>
      <c r="G660" s="48">
        <v>2370.6</v>
      </c>
    </row>
    <row r="661" spans="1:7" ht="10.050000000000001" customHeight="1">
      <c r="A661" s="45" t="s">
        <v>154</v>
      </c>
      <c r="B661" s="45" t="s">
        <v>82</v>
      </c>
      <c r="C661" s="46">
        <v>2008</v>
      </c>
      <c r="D661" s="45" t="s">
        <v>115</v>
      </c>
      <c r="E661" s="47">
        <v>4</v>
      </c>
      <c r="F661" s="48">
        <v>4965.5</v>
      </c>
      <c r="G661" s="48">
        <v>2158.4</v>
      </c>
    </row>
    <row r="662" spans="1:7" ht="10.050000000000001" customHeight="1">
      <c r="A662" s="45" t="s">
        <v>154</v>
      </c>
      <c r="B662" s="45" t="s">
        <v>82</v>
      </c>
      <c r="C662" s="46">
        <v>2008</v>
      </c>
      <c r="D662" s="45" t="s">
        <v>115</v>
      </c>
      <c r="E662" s="47">
        <v>5</v>
      </c>
      <c r="F662" s="48">
        <v>4656</v>
      </c>
      <c r="G662" s="48">
        <v>2534.8000000000002</v>
      </c>
    </row>
    <row r="663" spans="1:7" ht="10.050000000000001" customHeight="1">
      <c r="A663" s="45" t="s">
        <v>154</v>
      </c>
      <c r="B663" s="45" t="s">
        <v>82</v>
      </c>
      <c r="C663" s="46">
        <v>2008</v>
      </c>
      <c r="D663" s="45" t="s">
        <v>115</v>
      </c>
      <c r="E663" s="47">
        <v>6</v>
      </c>
      <c r="F663" s="48">
        <v>5346.4</v>
      </c>
      <c r="G663" s="48">
        <v>2603</v>
      </c>
    </row>
    <row r="664" spans="1:7" ht="10.050000000000001" customHeight="1">
      <c r="A664" s="45" t="s">
        <v>154</v>
      </c>
      <c r="B664" s="45" t="s">
        <v>82</v>
      </c>
      <c r="C664" s="46">
        <v>2008</v>
      </c>
      <c r="D664" s="45" t="s">
        <v>109</v>
      </c>
      <c r="E664" s="47">
        <v>7</v>
      </c>
      <c r="F664" s="48">
        <v>5978.7</v>
      </c>
      <c r="G664" s="48">
        <v>1944.4</v>
      </c>
    </row>
    <row r="665" spans="1:7" ht="10.050000000000001" customHeight="1">
      <c r="A665" s="45" t="s">
        <v>154</v>
      </c>
      <c r="B665" s="45" t="s">
        <v>82</v>
      </c>
      <c r="C665" s="46">
        <v>2008</v>
      </c>
      <c r="D665" s="45" t="s">
        <v>109</v>
      </c>
      <c r="E665" s="47">
        <v>8</v>
      </c>
      <c r="F665" s="48">
        <v>4858.2</v>
      </c>
      <c r="G665" s="48">
        <v>2175.8000000000002</v>
      </c>
    </row>
    <row r="666" spans="1:7" ht="10.050000000000001" customHeight="1">
      <c r="A666" s="45" t="s">
        <v>154</v>
      </c>
      <c r="B666" s="45" t="s">
        <v>82</v>
      </c>
      <c r="C666" s="46">
        <v>2008</v>
      </c>
      <c r="D666" s="45" t="s">
        <v>109</v>
      </c>
      <c r="E666" s="47">
        <v>9</v>
      </c>
      <c r="F666" s="48">
        <v>4336.5</v>
      </c>
      <c r="G666" s="48">
        <v>2710.3</v>
      </c>
    </row>
    <row r="667" spans="1:7" ht="10.050000000000001" customHeight="1">
      <c r="A667" s="45" t="s">
        <v>154</v>
      </c>
      <c r="B667" s="45" t="s">
        <v>82</v>
      </c>
      <c r="C667" s="46">
        <v>2008</v>
      </c>
      <c r="D667" s="45" t="s">
        <v>109</v>
      </c>
      <c r="E667" s="47">
        <v>10</v>
      </c>
      <c r="F667" s="48">
        <v>4035.5</v>
      </c>
      <c r="G667" s="48">
        <v>2651.9</v>
      </c>
    </row>
    <row r="668" spans="1:7" ht="10.050000000000001" customHeight="1">
      <c r="A668" s="45" t="s">
        <v>154</v>
      </c>
      <c r="B668" s="45" t="s">
        <v>82</v>
      </c>
      <c r="C668" s="46">
        <v>2008</v>
      </c>
      <c r="D668" s="45" t="s">
        <v>109</v>
      </c>
      <c r="E668" s="47">
        <v>11</v>
      </c>
      <c r="F668" s="48">
        <v>3794.9</v>
      </c>
      <c r="G668" s="48">
        <v>2431.6999999999998</v>
      </c>
    </row>
    <row r="669" spans="1:7" ht="10.050000000000001" customHeight="1">
      <c r="A669" s="45" t="s">
        <v>154</v>
      </c>
      <c r="B669" s="45" t="s">
        <v>82</v>
      </c>
      <c r="C669" s="46">
        <v>2008</v>
      </c>
      <c r="D669" s="45" t="s">
        <v>109</v>
      </c>
      <c r="E669" s="47">
        <v>12</v>
      </c>
      <c r="F669" s="48">
        <v>3183.1</v>
      </c>
      <c r="G669" s="48">
        <v>1932.4</v>
      </c>
    </row>
    <row r="670" spans="1:7" ht="10.050000000000001" customHeight="1">
      <c r="A670" s="45" t="s">
        <v>154</v>
      </c>
      <c r="B670" s="45" t="s">
        <v>82</v>
      </c>
      <c r="C670" s="46">
        <v>2009</v>
      </c>
      <c r="D670" s="45" t="s">
        <v>109</v>
      </c>
      <c r="E670" s="47">
        <v>1</v>
      </c>
      <c r="F670" s="48">
        <v>3670.6</v>
      </c>
      <c r="G670" s="48">
        <v>1688.4</v>
      </c>
    </row>
    <row r="671" spans="1:7" ht="10.050000000000001" customHeight="1">
      <c r="A671" s="45" t="s">
        <v>154</v>
      </c>
      <c r="B671" s="45" t="s">
        <v>82</v>
      </c>
      <c r="C671" s="46">
        <v>2009</v>
      </c>
      <c r="D671" s="45" t="s">
        <v>109</v>
      </c>
      <c r="E671" s="47">
        <v>2</v>
      </c>
      <c r="F671" s="48">
        <v>2622</v>
      </c>
      <c r="G671" s="48">
        <v>1804.7</v>
      </c>
    </row>
    <row r="672" spans="1:7" ht="10.050000000000001" customHeight="1">
      <c r="A672" s="45" t="s">
        <v>154</v>
      </c>
      <c r="B672" s="45" t="s">
        <v>82</v>
      </c>
      <c r="C672" s="46">
        <v>2009</v>
      </c>
      <c r="D672" s="45" t="s">
        <v>109</v>
      </c>
      <c r="E672" s="47">
        <v>3</v>
      </c>
      <c r="F672" s="48">
        <v>3173</v>
      </c>
      <c r="G672" s="48">
        <v>1621.9</v>
      </c>
    </row>
    <row r="673" spans="1:7" ht="10.050000000000001" customHeight="1">
      <c r="A673" s="45" t="s">
        <v>154</v>
      </c>
      <c r="B673" s="45" t="s">
        <v>82</v>
      </c>
      <c r="C673" s="46">
        <v>2009</v>
      </c>
      <c r="D673" s="45" t="s">
        <v>109</v>
      </c>
      <c r="E673" s="47">
        <v>4</v>
      </c>
      <c r="F673" s="48">
        <v>3226.9</v>
      </c>
      <c r="G673" s="48">
        <v>2131.9</v>
      </c>
    </row>
    <row r="674" spans="1:7" ht="10.050000000000001" customHeight="1">
      <c r="A674" s="45" t="s">
        <v>154</v>
      </c>
      <c r="B674" s="45" t="s">
        <v>82</v>
      </c>
      <c r="C674" s="46">
        <v>2009</v>
      </c>
      <c r="D674" s="45" t="s">
        <v>109</v>
      </c>
      <c r="E674" s="47">
        <v>5</v>
      </c>
      <c r="F674" s="48">
        <v>3297.4</v>
      </c>
      <c r="G674" s="48">
        <v>2330.6</v>
      </c>
    </row>
    <row r="675" spans="1:7" ht="10.050000000000001" customHeight="1">
      <c r="A675" s="45" t="s">
        <v>154</v>
      </c>
      <c r="B675" s="45" t="s">
        <v>82</v>
      </c>
      <c r="C675" s="46">
        <v>2009</v>
      </c>
      <c r="D675" s="45" t="s">
        <v>109</v>
      </c>
      <c r="E675" s="47">
        <v>6</v>
      </c>
      <c r="F675" s="48">
        <v>3644.3</v>
      </c>
      <c r="G675" s="48">
        <v>2515.5</v>
      </c>
    </row>
    <row r="676" spans="1:7" ht="10.050000000000001" customHeight="1">
      <c r="A676" s="45" t="s">
        <v>154</v>
      </c>
      <c r="B676" s="45" t="s">
        <v>82</v>
      </c>
      <c r="C676" s="46">
        <v>2009</v>
      </c>
      <c r="D676" s="45" t="s">
        <v>116</v>
      </c>
      <c r="E676" s="47">
        <v>7</v>
      </c>
      <c r="F676" s="48">
        <v>2539.3000000000002</v>
      </c>
      <c r="G676" s="48">
        <v>1920.1</v>
      </c>
    </row>
    <row r="677" spans="1:7" ht="10.050000000000001" customHeight="1">
      <c r="A677" s="45" t="s">
        <v>154</v>
      </c>
      <c r="B677" s="45" t="s">
        <v>82</v>
      </c>
      <c r="C677" s="46">
        <v>2009</v>
      </c>
      <c r="D677" s="45" t="s">
        <v>116</v>
      </c>
      <c r="E677" s="47">
        <v>8</v>
      </c>
      <c r="F677" s="48">
        <v>3326.2</v>
      </c>
      <c r="G677" s="48">
        <v>1717.4</v>
      </c>
    </row>
    <row r="678" spans="1:7" ht="10.050000000000001" customHeight="1">
      <c r="A678" s="45" t="s">
        <v>154</v>
      </c>
      <c r="B678" s="45" t="s">
        <v>82</v>
      </c>
      <c r="C678" s="46">
        <v>2009</v>
      </c>
      <c r="D678" s="45" t="s">
        <v>116</v>
      </c>
      <c r="E678" s="47">
        <v>9</v>
      </c>
      <c r="F678" s="48">
        <v>3451.4</v>
      </c>
      <c r="G678" s="48">
        <v>1423</v>
      </c>
    </row>
    <row r="679" spans="1:7" ht="10.050000000000001" customHeight="1">
      <c r="A679" s="45" t="s">
        <v>154</v>
      </c>
      <c r="B679" s="45" t="s">
        <v>82</v>
      </c>
      <c r="C679" s="46">
        <v>2009</v>
      </c>
      <c r="D679" s="45" t="s">
        <v>116</v>
      </c>
      <c r="E679" s="47">
        <v>10</v>
      </c>
      <c r="F679" s="48">
        <v>4722.3</v>
      </c>
      <c r="G679" s="48">
        <v>1946.7</v>
      </c>
    </row>
    <row r="680" spans="1:7" ht="10.050000000000001" customHeight="1">
      <c r="A680" s="45" t="s">
        <v>154</v>
      </c>
      <c r="B680" s="45" t="s">
        <v>82</v>
      </c>
      <c r="C680" s="46">
        <v>2009</v>
      </c>
      <c r="D680" s="45" t="s">
        <v>116</v>
      </c>
      <c r="E680" s="47">
        <v>11</v>
      </c>
      <c r="F680" s="48">
        <v>5558.3</v>
      </c>
      <c r="G680" s="48">
        <v>1271.2</v>
      </c>
    </row>
    <row r="681" spans="1:7" ht="10.050000000000001" customHeight="1">
      <c r="A681" s="45" t="s">
        <v>154</v>
      </c>
      <c r="B681" s="45" t="s">
        <v>82</v>
      </c>
      <c r="C681" s="46">
        <v>2009</v>
      </c>
      <c r="D681" s="45" t="s">
        <v>116</v>
      </c>
      <c r="E681" s="47">
        <v>12</v>
      </c>
      <c r="F681" s="48">
        <v>5706.5</v>
      </c>
      <c r="G681" s="48">
        <v>1557.1</v>
      </c>
    </row>
    <row r="682" spans="1:7" ht="10.050000000000001" customHeight="1">
      <c r="A682" s="45" t="s">
        <v>154</v>
      </c>
      <c r="B682" s="45" t="s">
        <v>82</v>
      </c>
      <c r="C682" s="46">
        <v>2010</v>
      </c>
      <c r="D682" s="45" t="s">
        <v>116</v>
      </c>
      <c r="E682" s="47">
        <v>1</v>
      </c>
      <c r="F682" s="48">
        <v>4567.8</v>
      </c>
      <c r="G682" s="48">
        <v>1620.4</v>
      </c>
    </row>
    <row r="683" spans="1:7" ht="10.050000000000001" customHeight="1">
      <c r="A683" s="45" t="s">
        <v>154</v>
      </c>
      <c r="B683" s="45" t="s">
        <v>82</v>
      </c>
      <c r="C683" s="46">
        <v>2010</v>
      </c>
      <c r="D683" s="45" t="s">
        <v>116</v>
      </c>
      <c r="E683" s="47">
        <v>2</v>
      </c>
      <c r="F683" s="48">
        <v>4469.8</v>
      </c>
      <c r="G683" s="48">
        <v>2016.3</v>
      </c>
    </row>
    <row r="684" spans="1:7" ht="10.050000000000001" customHeight="1">
      <c r="A684" s="45" t="s">
        <v>154</v>
      </c>
      <c r="B684" s="45" t="s">
        <v>82</v>
      </c>
      <c r="C684" s="46">
        <v>2010</v>
      </c>
      <c r="D684" s="45" t="s">
        <v>116</v>
      </c>
      <c r="E684" s="47">
        <v>3</v>
      </c>
      <c r="F684" s="48">
        <v>5285.3</v>
      </c>
      <c r="G684" s="48">
        <v>2188.1</v>
      </c>
    </row>
    <row r="685" spans="1:7" ht="10.050000000000001" customHeight="1">
      <c r="A685" s="45" t="s">
        <v>154</v>
      </c>
      <c r="B685" s="45" t="s">
        <v>82</v>
      </c>
      <c r="C685" s="46">
        <v>2010</v>
      </c>
      <c r="D685" s="45" t="s">
        <v>116</v>
      </c>
      <c r="E685" s="47">
        <v>4</v>
      </c>
      <c r="F685" s="48">
        <v>4909.3999999999996</v>
      </c>
      <c r="G685" s="48">
        <v>1879.9</v>
      </c>
    </row>
    <row r="686" spans="1:7" ht="10.050000000000001" customHeight="1">
      <c r="A686" s="45" t="s">
        <v>154</v>
      </c>
      <c r="B686" s="45" t="s">
        <v>82</v>
      </c>
      <c r="C686" s="46">
        <v>2010</v>
      </c>
      <c r="D686" s="45" t="s">
        <v>116</v>
      </c>
      <c r="E686" s="47">
        <v>5</v>
      </c>
      <c r="F686" s="48">
        <v>4176.8</v>
      </c>
      <c r="G686" s="48">
        <v>2070.8000000000002</v>
      </c>
    </row>
    <row r="687" spans="1:7" ht="10.050000000000001" customHeight="1">
      <c r="A687" s="45" t="s">
        <v>154</v>
      </c>
      <c r="B687" s="45" t="s">
        <v>82</v>
      </c>
      <c r="C687" s="46">
        <v>2010</v>
      </c>
      <c r="D687" s="45" t="s">
        <v>116</v>
      </c>
      <c r="E687" s="47">
        <v>6</v>
      </c>
      <c r="F687" s="48">
        <v>4423</v>
      </c>
      <c r="G687" s="48">
        <v>2697.3</v>
      </c>
    </row>
    <row r="688" spans="1:7" ht="10.050000000000001" customHeight="1">
      <c r="A688" s="45" t="s">
        <v>154</v>
      </c>
      <c r="B688" s="45" t="s">
        <v>82</v>
      </c>
      <c r="C688" s="46">
        <v>2010</v>
      </c>
      <c r="D688" s="45" t="s">
        <v>117</v>
      </c>
      <c r="E688" s="47">
        <v>7</v>
      </c>
      <c r="F688" s="48">
        <v>3945.0540000000001</v>
      </c>
      <c r="G688" s="48">
        <v>2148.0390000000002</v>
      </c>
    </row>
    <row r="689" spans="1:7" ht="10.050000000000001" customHeight="1">
      <c r="A689" s="45" t="s">
        <v>154</v>
      </c>
      <c r="B689" s="45" t="s">
        <v>82</v>
      </c>
      <c r="C689" s="46">
        <v>2010</v>
      </c>
      <c r="D689" s="45" t="s">
        <v>117</v>
      </c>
      <c r="E689" s="47">
        <v>8</v>
      </c>
      <c r="F689" s="48">
        <v>3518.7449999999999</v>
      </c>
      <c r="G689" s="48">
        <v>1704.0740000000001</v>
      </c>
    </row>
    <row r="690" spans="1:7" ht="10.050000000000001" customHeight="1">
      <c r="A690" s="45" t="s">
        <v>154</v>
      </c>
      <c r="B690" s="45" t="s">
        <v>82</v>
      </c>
      <c r="C690" s="46">
        <v>2010</v>
      </c>
      <c r="D690" s="45" t="s">
        <v>117</v>
      </c>
      <c r="E690" s="47">
        <v>9</v>
      </c>
      <c r="F690" s="48">
        <v>3728.7640000000001</v>
      </c>
      <c r="G690" s="48">
        <v>1341.51</v>
      </c>
    </row>
    <row r="691" spans="1:7" ht="10.050000000000001" customHeight="1">
      <c r="A691" s="45" t="s">
        <v>154</v>
      </c>
      <c r="B691" s="45" t="s">
        <v>82</v>
      </c>
      <c r="C691" s="46">
        <v>2010</v>
      </c>
      <c r="D691" s="45" t="s">
        <v>117</v>
      </c>
      <c r="E691" s="47">
        <v>10</v>
      </c>
      <c r="F691" s="48">
        <v>4355.5730000000003</v>
      </c>
      <c r="G691" s="48">
        <v>1104.7670000000001</v>
      </c>
    </row>
    <row r="692" spans="1:7" ht="10.050000000000001" customHeight="1">
      <c r="A692" s="45" t="s">
        <v>154</v>
      </c>
      <c r="B692" s="45" t="s">
        <v>82</v>
      </c>
      <c r="C692" s="46">
        <v>2010</v>
      </c>
      <c r="D692" s="45" t="s">
        <v>117</v>
      </c>
      <c r="E692" s="47">
        <v>11</v>
      </c>
      <c r="F692" s="48">
        <v>4363.8519999999999</v>
      </c>
      <c r="G692" s="48">
        <v>2539.4270000000001</v>
      </c>
    </row>
    <row r="693" spans="1:7" ht="10.050000000000001" customHeight="1">
      <c r="A693" s="45" t="s">
        <v>154</v>
      </c>
      <c r="B693" s="45" t="s">
        <v>82</v>
      </c>
      <c r="C693" s="46">
        <v>2010</v>
      </c>
      <c r="D693" s="45" t="s">
        <v>117</v>
      </c>
      <c r="E693" s="47">
        <v>12</v>
      </c>
      <c r="F693" s="48">
        <v>5155.6819999999998</v>
      </c>
      <c r="G693" s="48">
        <v>2564.29</v>
      </c>
    </row>
    <row r="694" spans="1:7" ht="10.050000000000001" customHeight="1">
      <c r="A694" s="45" t="s">
        <v>154</v>
      </c>
      <c r="B694" s="45" t="s">
        <v>82</v>
      </c>
      <c r="C694" s="46">
        <v>2011</v>
      </c>
      <c r="D694" s="45" t="s">
        <v>117</v>
      </c>
      <c r="E694" s="47">
        <v>1</v>
      </c>
      <c r="F694" s="48">
        <v>5258.6750000000002</v>
      </c>
      <c r="G694" s="48">
        <v>2976.51</v>
      </c>
    </row>
    <row r="695" spans="1:7" ht="10.050000000000001" customHeight="1">
      <c r="A695" s="45" t="s">
        <v>154</v>
      </c>
      <c r="B695" s="45" t="s">
        <v>82</v>
      </c>
      <c r="C695" s="46">
        <v>2011</v>
      </c>
      <c r="D695" s="45" t="s">
        <v>117</v>
      </c>
      <c r="E695" s="47">
        <v>2</v>
      </c>
      <c r="F695" s="48">
        <v>5912.5280000000002</v>
      </c>
      <c r="G695" s="48">
        <v>2825.0070000000001</v>
      </c>
    </row>
    <row r="696" spans="1:7" ht="10.050000000000001" customHeight="1">
      <c r="A696" s="45" t="s">
        <v>154</v>
      </c>
      <c r="B696" s="45" t="s">
        <v>82</v>
      </c>
      <c r="C696" s="46">
        <v>2011</v>
      </c>
      <c r="D696" s="45" t="s">
        <v>117</v>
      </c>
      <c r="E696" s="47">
        <v>3</v>
      </c>
      <c r="F696" s="48">
        <v>6350.9269999999997</v>
      </c>
      <c r="G696" s="48">
        <v>2606.0300000000002</v>
      </c>
    </row>
    <row r="697" spans="1:7" ht="10.050000000000001" customHeight="1">
      <c r="A697" s="45" t="s">
        <v>154</v>
      </c>
      <c r="B697" s="45" t="s">
        <v>82</v>
      </c>
      <c r="C697" s="46">
        <v>2011</v>
      </c>
      <c r="D697" s="45" t="s">
        <v>117</v>
      </c>
      <c r="E697" s="47">
        <v>4</v>
      </c>
      <c r="F697" s="48">
        <v>5564.3969999999999</v>
      </c>
      <c r="G697" s="48">
        <v>2843.7930000000001</v>
      </c>
    </row>
    <row r="698" spans="1:7" ht="10.050000000000001" customHeight="1">
      <c r="A698" s="45" t="s">
        <v>154</v>
      </c>
      <c r="B698" s="45" t="s">
        <v>82</v>
      </c>
      <c r="C698" s="46">
        <v>2011</v>
      </c>
      <c r="D698" s="45" t="s">
        <v>117</v>
      </c>
      <c r="E698" s="47">
        <v>5</v>
      </c>
      <c r="F698" s="48">
        <v>5934.94</v>
      </c>
      <c r="G698" s="48">
        <v>2935.0329999999999</v>
      </c>
    </row>
    <row r="699" spans="1:7" ht="10.050000000000001" customHeight="1">
      <c r="A699" s="45" t="s">
        <v>154</v>
      </c>
      <c r="B699" s="45" t="s">
        <v>82</v>
      </c>
      <c r="C699" s="46">
        <v>2011</v>
      </c>
      <c r="D699" s="45" t="s">
        <v>117</v>
      </c>
      <c r="E699" s="47">
        <v>6</v>
      </c>
      <c r="F699" s="48">
        <v>5629.4960000000001</v>
      </c>
      <c r="G699" s="48">
        <v>2353.2669999999998</v>
      </c>
    </row>
    <row r="700" spans="1:7" ht="10.050000000000001" customHeight="1">
      <c r="A700" s="45" t="s">
        <v>154</v>
      </c>
      <c r="B700" s="45" t="s">
        <v>82</v>
      </c>
      <c r="C700" s="46">
        <v>2011</v>
      </c>
      <c r="D700" s="45" t="s">
        <v>118</v>
      </c>
      <c r="E700" s="47">
        <v>7</v>
      </c>
      <c r="F700" s="48">
        <v>4481.0969999999998</v>
      </c>
      <c r="G700" s="48">
        <v>3213.1</v>
      </c>
    </row>
    <row r="701" spans="1:7" ht="10.050000000000001" customHeight="1">
      <c r="A701" s="45" t="s">
        <v>154</v>
      </c>
      <c r="B701" s="45" t="s">
        <v>82</v>
      </c>
      <c r="C701" s="46">
        <v>2011</v>
      </c>
      <c r="D701" s="45" t="s">
        <v>118</v>
      </c>
      <c r="E701" s="47">
        <v>8</v>
      </c>
      <c r="F701" s="48">
        <v>4847.7</v>
      </c>
      <c r="G701" s="48">
        <v>3091</v>
      </c>
    </row>
    <row r="702" spans="1:7" ht="10.050000000000001" customHeight="1">
      <c r="A702" s="45" t="s">
        <v>154</v>
      </c>
      <c r="B702" s="45" t="s">
        <v>82</v>
      </c>
      <c r="C702" s="46">
        <v>2011</v>
      </c>
      <c r="D702" s="45" t="s">
        <v>118</v>
      </c>
      <c r="E702" s="47">
        <v>9</v>
      </c>
      <c r="F702" s="48">
        <v>4160.143</v>
      </c>
      <c r="G702" s="48">
        <v>2437.6419999999998</v>
      </c>
    </row>
    <row r="703" spans="1:7" ht="10.050000000000001" customHeight="1">
      <c r="A703" s="45" t="s">
        <v>154</v>
      </c>
      <c r="B703" s="45" t="s">
        <v>82</v>
      </c>
      <c r="C703" s="46">
        <v>2011</v>
      </c>
      <c r="D703" s="45" t="s">
        <v>118</v>
      </c>
      <c r="E703" s="47">
        <v>10</v>
      </c>
      <c r="F703" s="48">
        <v>4996.3549999999996</v>
      </c>
      <c r="G703" s="48">
        <v>3086.8620000000001</v>
      </c>
    </row>
    <row r="704" spans="1:7" ht="10.050000000000001" customHeight="1">
      <c r="A704" s="45" t="s">
        <v>154</v>
      </c>
      <c r="B704" s="45" t="s">
        <v>82</v>
      </c>
      <c r="C704" s="46">
        <v>2011</v>
      </c>
      <c r="D704" s="45" t="s">
        <v>118</v>
      </c>
      <c r="E704" s="47">
        <v>11</v>
      </c>
      <c r="F704" s="48">
        <v>5000.1589999999997</v>
      </c>
      <c r="G704" s="48">
        <v>2890.393</v>
      </c>
    </row>
    <row r="705" spans="1:7" ht="10.050000000000001" customHeight="1">
      <c r="A705" s="45" t="s">
        <v>154</v>
      </c>
      <c r="B705" s="45" t="s">
        <v>82</v>
      </c>
      <c r="C705" s="46">
        <v>2011</v>
      </c>
      <c r="D705" s="45" t="s">
        <v>118</v>
      </c>
      <c r="E705" s="47">
        <v>12</v>
      </c>
      <c r="F705" s="48">
        <v>4458.4989999999998</v>
      </c>
      <c r="G705" s="48">
        <v>3038.4589999999998</v>
      </c>
    </row>
    <row r="706" spans="1:7" ht="10.050000000000001" customHeight="1">
      <c r="A706" s="45" t="s">
        <v>154</v>
      </c>
      <c r="B706" s="45" t="s">
        <v>82</v>
      </c>
      <c r="C706" s="46">
        <v>2012</v>
      </c>
      <c r="D706" s="45" t="s">
        <v>118</v>
      </c>
      <c r="E706" s="47">
        <v>1</v>
      </c>
      <c r="F706" s="48">
        <v>4829.0280000000002</v>
      </c>
      <c r="G706" s="48">
        <v>3365.8110000000001</v>
      </c>
    </row>
    <row r="707" spans="1:7" ht="10.050000000000001" customHeight="1">
      <c r="A707" s="45" t="s">
        <v>154</v>
      </c>
      <c r="B707" s="45" t="s">
        <v>82</v>
      </c>
      <c r="C707" s="46">
        <v>2012</v>
      </c>
      <c r="D707" s="45" t="s">
        <v>118</v>
      </c>
      <c r="E707" s="47">
        <v>2</v>
      </c>
      <c r="F707" s="48">
        <v>5237.7830000000004</v>
      </c>
      <c r="G707" s="48">
        <v>2882.4830000000002</v>
      </c>
    </row>
    <row r="708" spans="1:7" ht="10.050000000000001" customHeight="1">
      <c r="A708" s="45" t="s">
        <v>154</v>
      </c>
      <c r="B708" s="45" t="s">
        <v>82</v>
      </c>
      <c r="C708" s="46">
        <v>2012</v>
      </c>
      <c r="D708" s="45" t="s">
        <v>118</v>
      </c>
      <c r="E708" s="47">
        <v>3</v>
      </c>
      <c r="F708" s="48">
        <v>6154.6260000000002</v>
      </c>
      <c r="G708" s="48">
        <v>3454.5369999999998</v>
      </c>
    </row>
    <row r="709" spans="1:7" ht="10.050000000000001" customHeight="1">
      <c r="A709" s="45" t="s">
        <v>154</v>
      </c>
      <c r="B709" s="45" t="s">
        <v>82</v>
      </c>
      <c r="C709" s="46">
        <v>2012</v>
      </c>
      <c r="D709" s="45" t="s">
        <v>118</v>
      </c>
      <c r="E709" s="47">
        <v>4</v>
      </c>
      <c r="F709" s="48">
        <v>5967.7719999999999</v>
      </c>
      <c r="G709" s="48">
        <v>3164.0549999999998</v>
      </c>
    </row>
    <row r="710" spans="1:7" ht="10.050000000000001" customHeight="1">
      <c r="A710" s="45" t="s">
        <v>154</v>
      </c>
      <c r="B710" s="45" t="s">
        <v>82</v>
      </c>
      <c r="C710" s="46">
        <v>2012</v>
      </c>
      <c r="D710" s="45" t="s">
        <v>118</v>
      </c>
      <c r="E710" s="47">
        <v>5</v>
      </c>
      <c r="F710" s="48">
        <v>7208.9260000000004</v>
      </c>
      <c r="G710" s="48">
        <v>3069.114</v>
      </c>
    </row>
    <row r="711" spans="1:7" ht="10.050000000000001" customHeight="1">
      <c r="A711" s="45" t="s">
        <v>154</v>
      </c>
      <c r="B711" s="45" t="s">
        <v>82</v>
      </c>
      <c r="C711" s="46">
        <v>2012</v>
      </c>
      <c r="D711" s="45" t="s">
        <v>118</v>
      </c>
      <c r="E711" s="47">
        <v>6</v>
      </c>
      <c r="F711" s="48">
        <v>5629.665</v>
      </c>
      <c r="G711" s="48">
        <v>3220.7779999999998</v>
      </c>
    </row>
    <row r="712" spans="1:7" ht="10.050000000000001" customHeight="1">
      <c r="A712" s="45" t="s">
        <v>154</v>
      </c>
      <c r="B712" s="45" t="s">
        <v>82</v>
      </c>
      <c r="C712" s="46">
        <v>2012</v>
      </c>
      <c r="D712" s="45" t="s">
        <v>119</v>
      </c>
      <c r="E712" s="47">
        <v>7</v>
      </c>
      <c r="F712" s="48">
        <v>5790.8649999999998</v>
      </c>
      <c r="G712" s="48">
        <v>1652.0229999999999</v>
      </c>
    </row>
    <row r="713" spans="1:7" ht="10.050000000000001" customHeight="1">
      <c r="A713" s="45" t="s">
        <v>154</v>
      </c>
      <c r="B713" s="45" t="s">
        <v>82</v>
      </c>
      <c r="C713" s="46">
        <v>2012</v>
      </c>
      <c r="D713" s="45" t="s">
        <v>119</v>
      </c>
      <c r="E713" s="47">
        <v>8</v>
      </c>
      <c r="F713" s="48">
        <v>4319.4840000000004</v>
      </c>
      <c r="G713" s="48">
        <v>1802.259</v>
      </c>
    </row>
    <row r="714" spans="1:7" ht="10.050000000000001" customHeight="1">
      <c r="A714" s="45" t="s">
        <v>154</v>
      </c>
      <c r="B714" s="45" t="s">
        <v>82</v>
      </c>
      <c r="C714" s="46">
        <v>2012</v>
      </c>
      <c r="D714" s="45" t="s">
        <v>119</v>
      </c>
      <c r="E714" s="47">
        <v>9</v>
      </c>
      <c r="F714" s="48">
        <v>3831.6439999999998</v>
      </c>
      <c r="G714" s="48">
        <v>1759.7449999999999</v>
      </c>
    </row>
    <row r="715" spans="1:7" ht="10.050000000000001" customHeight="1">
      <c r="A715" s="45" t="s">
        <v>154</v>
      </c>
      <c r="B715" s="45" t="s">
        <v>82</v>
      </c>
      <c r="C715" s="46">
        <v>2012</v>
      </c>
      <c r="D715" s="45" t="s">
        <v>119</v>
      </c>
      <c r="E715" s="47">
        <v>10</v>
      </c>
      <c r="F715" s="48">
        <v>4722.7650000000003</v>
      </c>
      <c r="G715" s="48">
        <v>1542.875</v>
      </c>
    </row>
    <row r="716" spans="1:7" ht="10.050000000000001" customHeight="1">
      <c r="A716" s="45" t="s">
        <v>154</v>
      </c>
      <c r="B716" s="45" t="s">
        <v>82</v>
      </c>
      <c r="C716" s="46">
        <v>2012</v>
      </c>
      <c r="D716" s="45" t="s">
        <v>119</v>
      </c>
      <c r="E716" s="47">
        <v>11</v>
      </c>
      <c r="F716" s="48">
        <v>4408.7650000000003</v>
      </c>
      <c r="G716" s="48">
        <v>2540.9250000000002</v>
      </c>
    </row>
    <row r="717" spans="1:7" ht="10.050000000000001" customHeight="1">
      <c r="A717" s="45" t="s">
        <v>154</v>
      </c>
      <c r="B717" s="45" t="s">
        <v>82</v>
      </c>
      <c r="C717" s="46">
        <v>2012</v>
      </c>
      <c r="D717" s="45" t="s">
        <v>119</v>
      </c>
      <c r="E717" s="47">
        <v>12</v>
      </c>
      <c r="F717" s="48">
        <v>3964.1770000000001</v>
      </c>
      <c r="G717" s="48">
        <v>2490.348</v>
      </c>
    </row>
    <row r="718" spans="1:7" ht="10.050000000000001" customHeight="1">
      <c r="A718" s="45" t="s">
        <v>154</v>
      </c>
      <c r="B718" s="45" t="s">
        <v>82</v>
      </c>
      <c r="C718" s="46">
        <v>2013</v>
      </c>
      <c r="D718" s="45" t="s">
        <v>119</v>
      </c>
      <c r="E718" s="47">
        <v>1</v>
      </c>
      <c r="F718" s="48">
        <v>4453.9570000000003</v>
      </c>
      <c r="G718" s="48">
        <v>3514.3960000000002</v>
      </c>
    </row>
    <row r="719" spans="1:7" ht="10.050000000000001" customHeight="1">
      <c r="A719" s="45" t="s">
        <v>154</v>
      </c>
      <c r="B719" s="45" t="s">
        <v>82</v>
      </c>
      <c r="C719" s="46">
        <v>2013</v>
      </c>
      <c r="D719" s="45" t="s">
        <v>119</v>
      </c>
      <c r="E719" s="47">
        <v>2</v>
      </c>
      <c r="F719" s="48">
        <v>3714.3159999999998</v>
      </c>
      <c r="G719" s="48">
        <v>3084.0390000000002</v>
      </c>
    </row>
    <row r="720" spans="1:7" ht="10.050000000000001" customHeight="1">
      <c r="A720" s="45" t="s">
        <v>154</v>
      </c>
      <c r="B720" s="45" t="s">
        <v>82</v>
      </c>
      <c r="C720" s="46">
        <v>2013</v>
      </c>
      <c r="D720" s="45" t="s">
        <v>119</v>
      </c>
      <c r="E720" s="47">
        <v>3</v>
      </c>
      <c r="F720" s="48">
        <v>3370.384</v>
      </c>
      <c r="G720" s="48">
        <v>2620.89</v>
      </c>
    </row>
    <row r="721" spans="1:7" ht="10.050000000000001" customHeight="1">
      <c r="A721" s="45" t="s">
        <v>154</v>
      </c>
      <c r="B721" s="45" t="s">
        <v>82</v>
      </c>
      <c r="C721" s="46">
        <v>2013</v>
      </c>
      <c r="D721" s="45" t="s">
        <v>119</v>
      </c>
      <c r="E721" s="47">
        <v>4</v>
      </c>
      <c r="F721" s="48">
        <v>3080.9380000000001</v>
      </c>
      <c r="G721" s="48">
        <v>3159.817</v>
      </c>
    </row>
    <row r="722" spans="1:7" ht="10.050000000000001" customHeight="1">
      <c r="A722" s="45" t="s">
        <v>154</v>
      </c>
      <c r="B722" s="45" t="s">
        <v>82</v>
      </c>
      <c r="C722" s="46">
        <v>2013</v>
      </c>
      <c r="D722" s="45" t="s">
        <v>119</v>
      </c>
      <c r="E722" s="47">
        <v>5</v>
      </c>
      <c r="F722" s="48">
        <v>2641.4580000000001</v>
      </c>
      <c r="G722" s="48">
        <v>3061.7040000000002</v>
      </c>
    </row>
    <row r="723" spans="1:7" ht="10.050000000000001" customHeight="1">
      <c r="A723" s="45" t="s">
        <v>154</v>
      </c>
      <c r="B723" s="45" t="s">
        <v>82</v>
      </c>
      <c r="C723" s="46">
        <v>2013</v>
      </c>
      <c r="D723" s="45" t="s">
        <v>119</v>
      </c>
      <c r="E723" s="47">
        <v>6</v>
      </c>
      <c r="F723" s="48">
        <v>1834.1669999999999</v>
      </c>
      <c r="G723" s="48">
        <v>3560.3220000000001</v>
      </c>
    </row>
    <row r="724" spans="1:7" ht="10.050000000000001" customHeight="1">
      <c r="A724" s="45" t="s">
        <v>154</v>
      </c>
      <c r="B724" s="45" t="s">
        <v>82</v>
      </c>
      <c r="C724" s="46">
        <v>2013</v>
      </c>
      <c r="D724" s="45" t="s">
        <v>120</v>
      </c>
      <c r="E724" s="47">
        <v>7</v>
      </c>
      <c r="F724" s="48">
        <v>1944.682</v>
      </c>
      <c r="G724" s="48">
        <v>2903.67</v>
      </c>
    </row>
    <row r="725" spans="1:7" ht="10.050000000000001" customHeight="1">
      <c r="A725" s="45" t="s">
        <v>154</v>
      </c>
      <c r="B725" s="45" t="s">
        <v>82</v>
      </c>
      <c r="C725" s="46">
        <v>2013</v>
      </c>
      <c r="D725" s="45" t="s">
        <v>120</v>
      </c>
      <c r="E725" s="47">
        <v>8</v>
      </c>
      <c r="F725" s="48">
        <v>1903.798</v>
      </c>
      <c r="G725" s="48">
        <v>2621.6219999999998</v>
      </c>
    </row>
    <row r="726" spans="1:7" ht="10.050000000000001" customHeight="1">
      <c r="A726" s="45" t="s">
        <v>154</v>
      </c>
      <c r="B726" s="45" t="s">
        <v>82</v>
      </c>
      <c r="C726" s="46">
        <v>2013</v>
      </c>
      <c r="D726" s="45" t="s">
        <v>120</v>
      </c>
      <c r="E726" s="47">
        <v>9</v>
      </c>
      <c r="F726" s="48">
        <v>2062.5070000000001</v>
      </c>
      <c r="G726" s="48">
        <v>2305.0300000000002</v>
      </c>
    </row>
    <row r="727" spans="1:7" ht="10.050000000000001" customHeight="1">
      <c r="A727" s="45" t="s">
        <v>154</v>
      </c>
      <c r="B727" s="45" t="s">
        <v>82</v>
      </c>
      <c r="C727" s="46">
        <v>2013</v>
      </c>
      <c r="D727" s="45" t="s">
        <v>120</v>
      </c>
      <c r="E727" s="47">
        <v>10</v>
      </c>
      <c r="F727" s="48">
        <v>3016.607</v>
      </c>
      <c r="G727" s="48">
        <v>2838.8539999999998</v>
      </c>
    </row>
    <row r="728" spans="1:7" ht="10.050000000000001" customHeight="1">
      <c r="A728" s="45" t="s">
        <v>154</v>
      </c>
      <c r="B728" s="45" t="s">
        <v>82</v>
      </c>
      <c r="C728" s="46">
        <v>2013</v>
      </c>
      <c r="D728" s="45" t="s">
        <v>120</v>
      </c>
      <c r="E728" s="47">
        <v>11</v>
      </c>
      <c r="F728" s="48">
        <v>2916.2109999999998</v>
      </c>
      <c r="G728" s="48">
        <v>2821.3629999999998</v>
      </c>
    </row>
    <row r="729" spans="1:7" ht="10.050000000000001" customHeight="1">
      <c r="A729" s="45" t="s">
        <v>154</v>
      </c>
      <c r="B729" s="45" t="s">
        <v>82</v>
      </c>
      <c r="C729" s="46">
        <v>2013</v>
      </c>
      <c r="D729" s="45" t="s">
        <v>120</v>
      </c>
      <c r="E729" s="47">
        <v>12</v>
      </c>
      <c r="F729" s="48">
        <v>3438.701</v>
      </c>
      <c r="G729" s="48">
        <v>2192.4319999999998</v>
      </c>
    </row>
    <row r="730" spans="1:7" ht="10.050000000000001" customHeight="1">
      <c r="A730" s="45" t="s">
        <v>154</v>
      </c>
      <c r="B730" s="45" t="s">
        <v>82</v>
      </c>
      <c r="C730" s="46">
        <v>2014</v>
      </c>
      <c r="D730" s="45" t="s">
        <v>120</v>
      </c>
      <c r="E730" s="47">
        <v>1</v>
      </c>
      <c r="F730" s="48">
        <v>3141.8530000000001</v>
      </c>
      <c r="G730" s="48">
        <v>2146.4279999999999</v>
      </c>
    </row>
    <row r="731" spans="1:7" ht="10.050000000000001" customHeight="1">
      <c r="A731" s="45" t="s">
        <v>154</v>
      </c>
      <c r="B731" s="45" t="s">
        <v>82</v>
      </c>
      <c r="C731" s="46">
        <v>2014</v>
      </c>
      <c r="D731" s="45" t="s">
        <v>120</v>
      </c>
      <c r="E731" s="47">
        <v>2</v>
      </c>
      <c r="F731" s="48">
        <v>3399.134</v>
      </c>
      <c r="G731" s="48">
        <v>2176.2939999999999</v>
      </c>
    </row>
    <row r="732" spans="1:7" ht="10.050000000000001" customHeight="1">
      <c r="A732" s="45" t="s">
        <v>154</v>
      </c>
      <c r="B732" s="45" t="s">
        <v>82</v>
      </c>
      <c r="C732" s="46">
        <v>2014</v>
      </c>
      <c r="D732" s="45" t="s">
        <v>120</v>
      </c>
      <c r="E732" s="47">
        <v>3</v>
      </c>
      <c r="F732" s="48">
        <v>3853.636</v>
      </c>
      <c r="G732" s="48">
        <v>2228.0929999999998</v>
      </c>
    </row>
    <row r="733" spans="1:7" ht="10.050000000000001" customHeight="1">
      <c r="A733" s="45" t="s">
        <v>154</v>
      </c>
      <c r="B733" s="45" t="s">
        <v>82</v>
      </c>
      <c r="C733" s="46">
        <v>2014</v>
      </c>
      <c r="D733" s="45" t="s">
        <v>120</v>
      </c>
      <c r="E733" s="47">
        <v>4</v>
      </c>
      <c r="F733" s="48">
        <v>3563.6909999999998</v>
      </c>
      <c r="G733" s="48">
        <v>1621.432</v>
      </c>
    </row>
    <row r="734" spans="1:7" ht="10.050000000000001" customHeight="1">
      <c r="A734" s="45" t="s">
        <v>154</v>
      </c>
      <c r="B734" s="45" t="s">
        <v>82</v>
      </c>
      <c r="C734" s="46">
        <v>2014</v>
      </c>
      <c r="D734" s="45" t="s">
        <v>120</v>
      </c>
      <c r="E734" s="47">
        <v>5</v>
      </c>
      <c r="F734" s="48">
        <v>3153.6410000000001</v>
      </c>
      <c r="G734" s="48">
        <v>1271.9110000000001</v>
      </c>
    </row>
    <row r="735" spans="1:7" ht="10.050000000000001" customHeight="1">
      <c r="A735" s="45" t="s">
        <v>154</v>
      </c>
      <c r="B735" s="45" t="s">
        <v>82</v>
      </c>
      <c r="C735" s="46">
        <v>2014</v>
      </c>
      <c r="D735" s="45" t="s">
        <v>120</v>
      </c>
      <c r="E735" s="47">
        <v>6</v>
      </c>
      <c r="F735" s="48">
        <v>2902.6179999999999</v>
      </c>
      <c r="G735" s="48">
        <v>1792.818</v>
      </c>
    </row>
    <row r="736" spans="1:7" ht="10.050000000000001" customHeight="1">
      <c r="A736" s="45" t="s">
        <v>154</v>
      </c>
      <c r="B736" s="45" t="s">
        <v>82</v>
      </c>
      <c r="C736" s="46">
        <v>2014</v>
      </c>
      <c r="D736" s="45" t="s">
        <v>121</v>
      </c>
      <c r="E736" s="47">
        <v>7</v>
      </c>
      <c r="F736" s="48">
        <v>2561.4769999999999</v>
      </c>
      <c r="G736" s="48">
        <v>2299.1610000000001</v>
      </c>
    </row>
    <row r="737" spans="1:7" ht="10.050000000000001" customHeight="1">
      <c r="A737" s="45" t="s">
        <v>154</v>
      </c>
      <c r="B737" s="45" t="s">
        <v>82</v>
      </c>
      <c r="C737" s="46">
        <v>2014</v>
      </c>
      <c r="D737" s="45" t="s">
        <v>121</v>
      </c>
      <c r="E737" s="47">
        <v>8</v>
      </c>
      <c r="F737" s="48">
        <v>2294.7840000000001</v>
      </c>
      <c r="G737" s="48">
        <v>1890.337</v>
      </c>
    </row>
    <row r="738" spans="1:7" ht="10.050000000000001" customHeight="1">
      <c r="A738" s="45" t="s">
        <v>154</v>
      </c>
      <c r="B738" s="45" t="s">
        <v>82</v>
      </c>
      <c r="C738" s="46">
        <v>2014</v>
      </c>
      <c r="D738" s="45" t="s">
        <v>121</v>
      </c>
      <c r="E738" s="47">
        <v>9</v>
      </c>
      <c r="F738" s="48">
        <v>2512.8589999999999</v>
      </c>
      <c r="G738" s="48">
        <v>1525.624</v>
      </c>
    </row>
    <row r="739" spans="1:7" ht="10.050000000000001" customHeight="1">
      <c r="A739" s="45" t="s">
        <v>154</v>
      </c>
      <c r="B739" s="45" t="s">
        <v>82</v>
      </c>
      <c r="C739" s="46">
        <v>2014</v>
      </c>
      <c r="D739" s="45" t="s">
        <v>121</v>
      </c>
      <c r="E739" s="47">
        <v>10</v>
      </c>
      <c r="F739" s="48">
        <v>3691.4479999999999</v>
      </c>
      <c r="G739" s="48">
        <v>2305.0160000000001</v>
      </c>
    </row>
    <row r="740" spans="1:7" ht="10.050000000000001" customHeight="1">
      <c r="A740" s="45" t="s">
        <v>154</v>
      </c>
      <c r="B740" s="45" t="s">
        <v>82</v>
      </c>
      <c r="C740" s="46">
        <v>2014</v>
      </c>
      <c r="D740" s="45" t="s">
        <v>121</v>
      </c>
      <c r="E740" s="47">
        <v>11</v>
      </c>
      <c r="F740" s="48">
        <v>3521.5030000000002</v>
      </c>
      <c r="G740" s="48">
        <v>2254.953</v>
      </c>
    </row>
    <row r="741" spans="1:7" ht="10.050000000000001" customHeight="1">
      <c r="A741" s="45" t="s">
        <v>154</v>
      </c>
      <c r="B741" s="45" t="s">
        <v>82</v>
      </c>
      <c r="C741" s="46">
        <v>2014</v>
      </c>
      <c r="D741" s="45" t="s">
        <v>121</v>
      </c>
      <c r="E741" s="47">
        <v>12</v>
      </c>
      <c r="F741" s="48">
        <v>5203.7110000000002</v>
      </c>
      <c r="G741" s="48">
        <v>1899.4670000000001</v>
      </c>
    </row>
    <row r="742" spans="1:7" ht="10.050000000000001" customHeight="1">
      <c r="A742" s="45" t="s">
        <v>154</v>
      </c>
      <c r="B742" s="45" t="s">
        <v>82</v>
      </c>
      <c r="C742" s="46">
        <v>2015</v>
      </c>
      <c r="D742" s="45" t="s">
        <v>121</v>
      </c>
      <c r="E742" s="47">
        <v>1</v>
      </c>
      <c r="F742" s="48">
        <v>4680.857</v>
      </c>
      <c r="G742" s="48">
        <v>1962.7</v>
      </c>
    </row>
    <row r="743" spans="1:7" ht="10.050000000000001" customHeight="1">
      <c r="A743" s="45" t="s">
        <v>154</v>
      </c>
      <c r="B743" s="45" t="s">
        <v>82</v>
      </c>
      <c r="C743" s="46">
        <v>2015</v>
      </c>
      <c r="D743" s="45" t="s">
        <v>121</v>
      </c>
      <c r="E743" s="47">
        <v>2</v>
      </c>
      <c r="F743" s="48">
        <v>5428.9549999999999</v>
      </c>
      <c r="G743" s="48">
        <v>1639.2950000000001</v>
      </c>
    </row>
    <row r="744" spans="1:7" ht="10.050000000000001" customHeight="1">
      <c r="A744" s="45" t="s">
        <v>154</v>
      </c>
      <c r="B744" s="45" t="s">
        <v>82</v>
      </c>
      <c r="C744" s="46">
        <v>2015</v>
      </c>
      <c r="D744" s="45" t="s">
        <v>121</v>
      </c>
      <c r="E744" s="47">
        <v>3</v>
      </c>
      <c r="F744" s="48">
        <v>5418.4809999999998</v>
      </c>
      <c r="G744" s="48">
        <v>2313.279</v>
      </c>
    </row>
    <row r="745" spans="1:7" ht="10.050000000000001" customHeight="1">
      <c r="A745" s="45" t="s">
        <v>154</v>
      </c>
      <c r="B745" s="45" t="s">
        <v>82</v>
      </c>
      <c r="C745" s="46">
        <v>2015</v>
      </c>
      <c r="D745" s="45" t="s">
        <v>121</v>
      </c>
      <c r="E745" s="47">
        <v>4</v>
      </c>
      <c r="F745" s="48">
        <v>5977.5919999999996</v>
      </c>
      <c r="G745" s="48">
        <v>2058.627</v>
      </c>
    </row>
    <row r="746" spans="1:7" ht="10.050000000000001" customHeight="1">
      <c r="A746" s="45" t="s">
        <v>154</v>
      </c>
      <c r="B746" s="45" t="s">
        <v>82</v>
      </c>
      <c r="C746" s="46">
        <v>2015</v>
      </c>
      <c r="D746" s="45" t="s">
        <v>121</v>
      </c>
      <c r="E746" s="47">
        <v>5</v>
      </c>
      <c r="F746" s="48">
        <v>5000.6130000000003</v>
      </c>
      <c r="G746" s="48">
        <v>1734.3989999999999</v>
      </c>
    </row>
    <row r="747" spans="1:7" ht="10.050000000000001" customHeight="1">
      <c r="A747" s="45" t="s">
        <v>154</v>
      </c>
      <c r="B747" s="45" t="s">
        <v>82</v>
      </c>
      <c r="C747" s="46">
        <v>2015</v>
      </c>
      <c r="D747" s="45" t="s">
        <v>121</v>
      </c>
      <c r="E747" s="47">
        <v>6</v>
      </c>
      <c r="F747" s="48">
        <v>5531.4269999999997</v>
      </c>
      <c r="G747" s="48">
        <v>2630.5790000000002</v>
      </c>
    </row>
    <row r="748" spans="1:7" ht="10.050000000000001" customHeight="1">
      <c r="A748" s="45" t="s">
        <v>154</v>
      </c>
      <c r="B748" s="45" t="s">
        <v>82</v>
      </c>
      <c r="C748" s="46">
        <v>2015</v>
      </c>
      <c r="D748" s="45" t="s">
        <v>122</v>
      </c>
      <c r="E748" s="47">
        <v>7</v>
      </c>
      <c r="F748" s="48">
        <v>5292.8270000000002</v>
      </c>
      <c r="G748" s="48">
        <v>2808.393</v>
      </c>
    </row>
    <row r="749" spans="1:7" ht="10.050000000000001" customHeight="1">
      <c r="A749" s="45" t="s">
        <v>154</v>
      </c>
      <c r="B749" s="45" t="s">
        <v>82</v>
      </c>
      <c r="C749" s="46">
        <v>2015</v>
      </c>
      <c r="D749" s="45" t="s">
        <v>122</v>
      </c>
      <c r="E749" s="47">
        <v>8</v>
      </c>
      <c r="F749" s="48">
        <v>5185.6059999999998</v>
      </c>
      <c r="G749" s="48">
        <v>2935.1170000000002</v>
      </c>
    </row>
    <row r="750" spans="1:7" ht="10.050000000000001" customHeight="1">
      <c r="A750" s="45" t="s">
        <v>154</v>
      </c>
      <c r="B750" s="45" t="s">
        <v>82</v>
      </c>
      <c r="C750" s="46">
        <v>2015</v>
      </c>
      <c r="D750" s="45" t="s">
        <v>122</v>
      </c>
      <c r="E750" s="47">
        <v>9</v>
      </c>
      <c r="F750" s="48">
        <v>4857.8959999999997</v>
      </c>
      <c r="G750" s="48">
        <v>2696.8020000000001</v>
      </c>
    </row>
    <row r="751" spans="1:7" ht="10.050000000000001" customHeight="1">
      <c r="A751" s="45" t="s">
        <v>154</v>
      </c>
      <c r="B751" s="45" t="s">
        <v>82</v>
      </c>
      <c r="C751" s="46">
        <v>2015</v>
      </c>
      <c r="D751" s="45" t="s">
        <v>122</v>
      </c>
      <c r="E751" s="47">
        <v>10</v>
      </c>
      <c r="F751" s="48">
        <v>5645.4579999999996</v>
      </c>
      <c r="G751" s="48">
        <v>3272.41</v>
      </c>
    </row>
    <row r="752" spans="1:7" ht="10.050000000000001" customHeight="1">
      <c r="A752" s="45" t="s">
        <v>154</v>
      </c>
      <c r="B752" s="45" t="s">
        <v>82</v>
      </c>
      <c r="C752" s="46">
        <v>2015</v>
      </c>
      <c r="D752" s="45" t="s">
        <v>122</v>
      </c>
      <c r="E752" s="47">
        <v>11</v>
      </c>
      <c r="F752" s="48">
        <v>5932.0349999999999</v>
      </c>
      <c r="G752" s="48">
        <v>3479.06</v>
      </c>
    </row>
    <row r="753" spans="1:7" ht="10.050000000000001" customHeight="1">
      <c r="A753" s="45" t="s">
        <v>154</v>
      </c>
      <c r="B753" s="45" t="s">
        <v>82</v>
      </c>
      <c r="C753" s="46">
        <v>2015</v>
      </c>
      <c r="D753" s="45" t="s">
        <v>122</v>
      </c>
      <c r="E753" s="47">
        <v>12</v>
      </c>
      <c r="F753" s="48">
        <v>6242.8140000000003</v>
      </c>
      <c r="G753" s="48">
        <v>2675.9409999999998</v>
      </c>
    </row>
    <row r="754" spans="1:7" ht="10.050000000000001" customHeight="1">
      <c r="A754" s="45" t="s">
        <v>154</v>
      </c>
      <c r="B754" s="45" t="s">
        <v>82</v>
      </c>
      <c r="C754" s="46">
        <v>2016</v>
      </c>
      <c r="D754" s="45" t="s">
        <v>122</v>
      </c>
      <c r="E754" s="47">
        <v>1</v>
      </c>
      <c r="F754" s="48">
        <v>5029.8810000000003</v>
      </c>
      <c r="G754" s="48">
        <v>2877.7049999999999</v>
      </c>
    </row>
    <row r="755" spans="1:7" ht="10.050000000000001" customHeight="1">
      <c r="A755" s="45" t="s">
        <v>154</v>
      </c>
      <c r="B755" s="45" t="s">
        <v>82</v>
      </c>
      <c r="C755" s="46">
        <v>2016</v>
      </c>
      <c r="D755" s="45" t="s">
        <v>122</v>
      </c>
      <c r="E755" s="47">
        <v>2</v>
      </c>
      <c r="F755" s="48">
        <v>5203.63</v>
      </c>
      <c r="G755" s="48">
        <v>2168.1</v>
      </c>
    </row>
    <row r="756" spans="1:7" ht="10.050000000000001" customHeight="1">
      <c r="A756" s="45" t="s">
        <v>154</v>
      </c>
      <c r="B756" s="45" t="s">
        <v>82</v>
      </c>
      <c r="C756" s="46">
        <v>2016</v>
      </c>
      <c r="D756" s="45" t="s">
        <v>122</v>
      </c>
      <c r="E756" s="47">
        <v>3</v>
      </c>
      <c r="F756" s="48">
        <v>5462.48</v>
      </c>
      <c r="G756" s="48">
        <v>2065.2750000000001</v>
      </c>
    </row>
    <row r="757" spans="1:7" ht="10.050000000000001" customHeight="1">
      <c r="A757" s="45" t="s">
        <v>154</v>
      </c>
      <c r="B757" s="45" t="s">
        <v>82</v>
      </c>
      <c r="C757" s="46">
        <v>2016</v>
      </c>
      <c r="D757" s="45" t="s">
        <v>122</v>
      </c>
      <c r="E757" s="47">
        <v>4</v>
      </c>
      <c r="F757" s="48">
        <v>5209.0739999999996</v>
      </c>
      <c r="G757" s="48">
        <v>2031.0820000000001</v>
      </c>
    </row>
    <row r="758" spans="1:7" ht="10.050000000000001" customHeight="1">
      <c r="A758" s="45" t="s">
        <v>154</v>
      </c>
      <c r="B758" s="45" t="s">
        <v>82</v>
      </c>
      <c r="C758" s="46">
        <v>2016</v>
      </c>
      <c r="D758" s="45" t="s">
        <v>122</v>
      </c>
      <c r="E758" s="47">
        <v>5</v>
      </c>
      <c r="F758" s="48">
        <v>5027.5959999999995</v>
      </c>
      <c r="G758" s="48">
        <v>2601.3519999999999</v>
      </c>
    </row>
    <row r="759" spans="1:7" ht="10.050000000000001" customHeight="1">
      <c r="A759" s="45" t="s">
        <v>154</v>
      </c>
      <c r="B759" s="45" t="s">
        <v>82</v>
      </c>
      <c r="C759" s="46">
        <v>2016</v>
      </c>
      <c r="D759" s="45" t="s">
        <v>122</v>
      </c>
      <c r="E759" s="47">
        <v>6</v>
      </c>
      <c r="F759" s="48">
        <v>5611.4449999999997</v>
      </c>
      <c r="G759" s="48">
        <v>3849.4479999999999</v>
      </c>
    </row>
    <row r="760" spans="1:7" ht="10.050000000000001" customHeight="1">
      <c r="A760" s="45" t="s">
        <v>154</v>
      </c>
      <c r="B760" s="45" t="s">
        <v>82</v>
      </c>
      <c r="C760" s="46">
        <v>2016</v>
      </c>
      <c r="D760" s="45" t="s">
        <v>123</v>
      </c>
      <c r="E760" s="47">
        <v>7</v>
      </c>
      <c r="F760" s="48">
        <v>4325.2460000000001</v>
      </c>
      <c r="G760" s="48">
        <v>3131.55</v>
      </c>
    </row>
    <row r="761" spans="1:7" ht="10.050000000000001" customHeight="1">
      <c r="A761" s="45" t="s">
        <v>154</v>
      </c>
      <c r="B761" s="45" t="s">
        <v>82</v>
      </c>
      <c r="C761" s="46">
        <v>2016</v>
      </c>
      <c r="D761" s="45" t="s">
        <v>123</v>
      </c>
      <c r="E761" s="47">
        <v>8</v>
      </c>
      <c r="F761" s="48">
        <v>4807.2129999999997</v>
      </c>
      <c r="G761" s="48">
        <v>3215.0329999999999</v>
      </c>
    </row>
    <row r="762" spans="1:7" ht="10.050000000000001" customHeight="1">
      <c r="A762" s="45" t="s">
        <v>154</v>
      </c>
      <c r="B762" s="45" t="s">
        <v>82</v>
      </c>
      <c r="C762" s="46">
        <v>2016</v>
      </c>
      <c r="D762" s="45" t="s">
        <v>123</v>
      </c>
      <c r="E762" s="47">
        <v>9</v>
      </c>
      <c r="F762" s="48">
        <v>5118.9040000000005</v>
      </c>
      <c r="G762" s="48">
        <v>2654.0340000000001</v>
      </c>
    </row>
    <row r="763" spans="1:7" ht="10.050000000000001" customHeight="1">
      <c r="A763" s="45" t="s">
        <v>154</v>
      </c>
      <c r="B763" s="45" t="s">
        <v>82</v>
      </c>
      <c r="C763" s="46">
        <v>2016</v>
      </c>
      <c r="D763" s="45" t="s">
        <v>123</v>
      </c>
      <c r="E763" s="47">
        <v>10</v>
      </c>
      <c r="F763" s="48">
        <v>5294.0169999999998</v>
      </c>
      <c r="G763" s="48">
        <v>2802.1109999999999</v>
      </c>
    </row>
    <row r="764" spans="1:7" ht="10.050000000000001" customHeight="1">
      <c r="A764" s="45" t="s">
        <v>154</v>
      </c>
      <c r="B764" s="45" t="s">
        <v>82</v>
      </c>
      <c r="C764" s="46">
        <v>2016</v>
      </c>
      <c r="D764" s="45" t="s">
        <v>123</v>
      </c>
      <c r="E764" s="47">
        <v>11</v>
      </c>
      <c r="F764" s="48">
        <v>5850.0529999999999</v>
      </c>
      <c r="G764" s="48">
        <v>2899.3890000000001</v>
      </c>
    </row>
    <row r="765" spans="1:7" ht="10.050000000000001" customHeight="1">
      <c r="A765" s="45" t="s">
        <v>154</v>
      </c>
      <c r="B765" s="45" t="s">
        <v>82</v>
      </c>
      <c r="C765" s="46">
        <v>2016</v>
      </c>
      <c r="D765" s="45" t="s">
        <v>123</v>
      </c>
      <c r="E765" s="47">
        <v>12</v>
      </c>
      <c r="F765" s="48">
        <v>5834.97</v>
      </c>
      <c r="G765" s="48">
        <v>2477.8910000000001</v>
      </c>
    </row>
    <row r="766" spans="1:7" ht="10.050000000000001" customHeight="1">
      <c r="A766" s="45" t="s">
        <v>154</v>
      </c>
      <c r="B766" s="45" t="s">
        <v>82</v>
      </c>
      <c r="C766" s="46">
        <v>2017</v>
      </c>
      <c r="D766" s="45" t="s">
        <v>123</v>
      </c>
      <c r="E766" s="47">
        <v>1</v>
      </c>
      <c r="F766" s="48">
        <v>5052.6679999999997</v>
      </c>
      <c r="G766" s="48">
        <v>3229.67</v>
      </c>
    </row>
    <row r="767" spans="1:7" ht="10.050000000000001" customHeight="1">
      <c r="A767" s="45" t="s">
        <v>154</v>
      </c>
      <c r="B767" s="45" t="s">
        <v>82</v>
      </c>
      <c r="C767" s="46">
        <v>2017</v>
      </c>
      <c r="D767" s="45" t="s">
        <v>123</v>
      </c>
      <c r="E767" s="47">
        <v>2</v>
      </c>
      <c r="F767" s="48">
        <v>5292.8919999999998</v>
      </c>
      <c r="G767" s="48">
        <v>2536.096</v>
      </c>
    </row>
    <row r="768" spans="1:7" ht="10.050000000000001" customHeight="1">
      <c r="A768" s="45" t="s">
        <v>154</v>
      </c>
      <c r="B768" s="45" t="s">
        <v>82</v>
      </c>
      <c r="C768" s="46">
        <v>2017</v>
      </c>
      <c r="D768" s="45" t="s">
        <v>123</v>
      </c>
      <c r="E768" s="47">
        <v>3</v>
      </c>
      <c r="F768" s="48">
        <v>5722.2939999999999</v>
      </c>
      <c r="G768" s="48">
        <v>3008.0419999999999</v>
      </c>
    </row>
    <row r="769" spans="1:7" ht="10.050000000000001" customHeight="1">
      <c r="A769" s="45" t="s">
        <v>154</v>
      </c>
      <c r="B769" s="45" t="s">
        <v>82</v>
      </c>
      <c r="C769" s="46">
        <v>2017</v>
      </c>
      <c r="D769" s="45" t="s">
        <v>123</v>
      </c>
      <c r="E769" s="47">
        <v>4</v>
      </c>
      <c r="F769" s="48">
        <v>4586.4279999999999</v>
      </c>
      <c r="G769" s="48">
        <v>2813.4659999999999</v>
      </c>
    </row>
    <row r="770" spans="1:7" ht="10.050000000000001" customHeight="1">
      <c r="A770" s="45" t="s">
        <v>154</v>
      </c>
      <c r="B770" s="45" t="s">
        <v>82</v>
      </c>
      <c r="C770" s="46">
        <v>2017</v>
      </c>
      <c r="D770" s="45" t="s">
        <v>123</v>
      </c>
      <c r="E770" s="47">
        <v>5</v>
      </c>
      <c r="F770" s="48">
        <v>4741.33</v>
      </c>
      <c r="G770" s="48">
        <v>4009.8679999999999</v>
      </c>
    </row>
    <row r="771" spans="1:7" ht="10.050000000000001" customHeight="1">
      <c r="A771" s="45" t="s">
        <v>154</v>
      </c>
      <c r="B771" s="45" t="s">
        <v>82</v>
      </c>
      <c r="C771" s="46">
        <v>2017</v>
      </c>
      <c r="D771" s="45" t="s">
        <v>123</v>
      </c>
      <c r="E771" s="47">
        <v>6</v>
      </c>
      <c r="F771" s="48">
        <v>4934.6559999999999</v>
      </c>
      <c r="G771" s="48">
        <v>4830.9549999999999</v>
      </c>
    </row>
    <row r="772" spans="1:7" ht="10.050000000000001" customHeight="1">
      <c r="A772" s="45" t="s">
        <v>154</v>
      </c>
      <c r="B772" s="45" t="s">
        <v>82</v>
      </c>
      <c r="C772" s="46">
        <v>2017</v>
      </c>
      <c r="D772" s="45" t="s">
        <v>124</v>
      </c>
      <c r="E772" s="47">
        <v>7</v>
      </c>
      <c r="F772" s="48">
        <v>3963.0140000000001</v>
      </c>
      <c r="G772" s="48">
        <v>4152.607</v>
      </c>
    </row>
    <row r="773" spans="1:7" ht="10.050000000000001" customHeight="1">
      <c r="A773" s="45" t="s">
        <v>154</v>
      </c>
      <c r="B773" s="45" t="s">
        <v>82</v>
      </c>
      <c r="C773" s="46">
        <v>2017</v>
      </c>
      <c r="D773" s="45" t="s">
        <v>124</v>
      </c>
      <c r="E773" s="47">
        <v>8</v>
      </c>
      <c r="F773" s="48">
        <v>4910.9219999999996</v>
      </c>
      <c r="G773" s="48">
        <v>3474.703</v>
      </c>
    </row>
    <row r="774" spans="1:7" ht="10.050000000000001" customHeight="1">
      <c r="A774" s="45" t="s">
        <v>154</v>
      </c>
      <c r="B774" s="45" t="s">
        <v>82</v>
      </c>
      <c r="C774" s="46">
        <v>2017</v>
      </c>
      <c r="D774" s="45" t="s">
        <v>124</v>
      </c>
      <c r="E774" s="47">
        <v>9</v>
      </c>
      <c r="F774" s="48">
        <v>5048.54</v>
      </c>
      <c r="G774" s="48">
        <v>2778.52</v>
      </c>
    </row>
    <row r="775" spans="1:7" ht="10.050000000000001" customHeight="1">
      <c r="A775" s="45" t="s">
        <v>154</v>
      </c>
      <c r="B775" s="45" t="s">
        <v>82</v>
      </c>
      <c r="C775" s="46">
        <v>2017</v>
      </c>
      <c r="D775" s="45" t="s">
        <v>124</v>
      </c>
      <c r="E775" s="47">
        <v>10</v>
      </c>
      <c r="F775" s="48">
        <v>4788.6930000000002</v>
      </c>
      <c r="G775" s="48">
        <v>3335.154</v>
      </c>
    </row>
    <row r="776" spans="1:7" ht="10.050000000000001" customHeight="1">
      <c r="A776" s="45" t="s">
        <v>154</v>
      </c>
      <c r="B776" s="45" t="s">
        <v>82</v>
      </c>
      <c r="C776" s="46">
        <v>2017</v>
      </c>
      <c r="D776" s="45" t="s">
        <v>124</v>
      </c>
      <c r="E776" s="47">
        <v>11</v>
      </c>
      <c r="F776" s="48">
        <v>5727.5060000000003</v>
      </c>
      <c r="G776" s="48">
        <v>3832.4169999999999</v>
      </c>
    </row>
    <row r="777" spans="1:7" ht="10.050000000000001" customHeight="1">
      <c r="A777" s="45" t="s">
        <v>154</v>
      </c>
      <c r="B777" s="45" t="s">
        <v>82</v>
      </c>
      <c r="C777" s="46">
        <v>2017</v>
      </c>
      <c r="D777" s="45" t="s">
        <v>124</v>
      </c>
      <c r="E777" s="47">
        <v>12</v>
      </c>
      <c r="F777" s="48">
        <v>5721.7939999999999</v>
      </c>
      <c r="G777" s="48">
        <v>2939.7669999999998</v>
      </c>
    </row>
    <row r="778" spans="1:7" ht="10.050000000000001" customHeight="1">
      <c r="A778" s="45" t="s">
        <v>154</v>
      </c>
      <c r="B778" s="45" t="s">
        <v>82</v>
      </c>
      <c r="C778" s="46">
        <v>2018</v>
      </c>
      <c r="D778" s="45" t="s">
        <v>124</v>
      </c>
      <c r="E778" s="47">
        <v>1</v>
      </c>
      <c r="F778" s="48">
        <v>7231.9859999999999</v>
      </c>
      <c r="G778" s="48">
        <v>3235.3449999999998</v>
      </c>
    </row>
    <row r="779" spans="1:7" ht="10.050000000000001" customHeight="1">
      <c r="A779" s="45" t="s">
        <v>154</v>
      </c>
      <c r="B779" s="45" t="s">
        <v>82</v>
      </c>
      <c r="C779" s="46">
        <v>2018</v>
      </c>
      <c r="D779" s="45" t="s">
        <v>124</v>
      </c>
      <c r="E779" s="47">
        <v>2</v>
      </c>
      <c r="F779" s="48">
        <v>4927.0690000000004</v>
      </c>
      <c r="G779" s="48">
        <v>5025.9769999999999</v>
      </c>
    </row>
    <row r="780" spans="1:7" ht="10.050000000000001" customHeight="1">
      <c r="A780" s="45" t="s">
        <v>154</v>
      </c>
      <c r="B780" s="45" t="s">
        <v>82</v>
      </c>
      <c r="C780" s="46">
        <v>2018</v>
      </c>
      <c r="D780" s="45" t="s">
        <v>124</v>
      </c>
      <c r="E780" s="47">
        <v>3</v>
      </c>
      <c r="F780" s="48">
        <v>5733.4920000000002</v>
      </c>
      <c r="G780" s="48">
        <v>5158.3549999999996</v>
      </c>
    </row>
    <row r="781" spans="1:7" ht="10.050000000000001" customHeight="1">
      <c r="A781" s="45" t="s">
        <v>154</v>
      </c>
      <c r="B781" s="45" t="s">
        <v>82</v>
      </c>
      <c r="C781" s="46">
        <v>2018</v>
      </c>
      <c r="D781" s="45" t="s">
        <v>124</v>
      </c>
      <c r="E781" s="47">
        <v>4</v>
      </c>
      <c r="F781" s="48">
        <v>5882.6620000000003</v>
      </c>
      <c r="G781" s="48">
        <v>4829.7749999999996</v>
      </c>
    </row>
    <row r="782" spans="1:7" ht="10.050000000000001" customHeight="1">
      <c r="A782" s="45" t="s">
        <v>154</v>
      </c>
      <c r="B782" s="45" t="s">
        <v>82</v>
      </c>
      <c r="C782" s="46">
        <v>2018</v>
      </c>
      <c r="D782" s="45" t="s">
        <v>124</v>
      </c>
      <c r="E782" s="47">
        <v>5</v>
      </c>
      <c r="F782" s="48">
        <v>6387.1189999999997</v>
      </c>
      <c r="G782" s="48">
        <v>4366.1360000000004</v>
      </c>
    </row>
    <row r="783" spans="1:7" ht="10.050000000000001" customHeight="1">
      <c r="A783" s="45" t="s">
        <v>154</v>
      </c>
      <c r="B783" s="45" t="s">
        <v>82</v>
      </c>
      <c r="C783" s="46">
        <v>2018</v>
      </c>
      <c r="D783" s="45" t="s">
        <v>124</v>
      </c>
      <c r="E783" s="47">
        <v>6</v>
      </c>
      <c r="F783" s="48">
        <v>5750.9189999999999</v>
      </c>
      <c r="G783" s="48">
        <v>5421.3040000000001</v>
      </c>
    </row>
    <row r="784" spans="1:7" ht="10.050000000000001" customHeight="1">
      <c r="A784" s="45" t="s">
        <v>154</v>
      </c>
      <c r="B784" s="45" t="s">
        <v>82</v>
      </c>
      <c r="C784" s="46">
        <v>2018</v>
      </c>
      <c r="D784" s="45" t="s">
        <v>125</v>
      </c>
      <c r="E784" s="47">
        <v>7</v>
      </c>
      <c r="F784" s="48">
        <v>4882.973</v>
      </c>
      <c r="G784" s="48">
        <v>4468.415</v>
      </c>
    </row>
    <row r="785" spans="1:7" ht="10.050000000000001" customHeight="1">
      <c r="A785" s="45" t="s">
        <v>154</v>
      </c>
      <c r="B785" s="45" t="s">
        <v>82</v>
      </c>
      <c r="C785" s="46">
        <v>2018</v>
      </c>
      <c r="D785" s="45" t="s">
        <v>125</v>
      </c>
      <c r="E785" s="47">
        <v>8</v>
      </c>
      <c r="F785" s="48">
        <v>5259.3969999999999</v>
      </c>
      <c r="G785" s="48">
        <v>4241.4080000000004</v>
      </c>
    </row>
    <row r="786" spans="1:7" ht="10.050000000000001" customHeight="1">
      <c r="A786" s="45" t="s">
        <v>154</v>
      </c>
      <c r="B786" s="45" t="s">
        <v>82</v>
      </c>
      <c r="C786" s="46">
        <v>2018</v>
      </c>
      <c r="D786" s="45" t="s">
        <v>125</v>
      </c>
      <c r="E786" s="47">
        <v>9</v>
      </c>
      <c r="F786" s="48">
        <v>4757.893</v>
      </c>
      <c r="G786" s="48">
        <v>4271.3590000000004</v>
      </c>
    </row>
    <row r="787" spans="1:7" ht="10.050000000000001" customHeight="1">
      <c r="A787" s="45" t="s">
        <v>154</v>
      </c>
      <c r="B787" s="45" t="s">
        <v>82</v>
      </c>
      <c r="C787" s="46">
        <v>2018</v>
      </c>
      <c r="D787" s="45" t="s">
        <v>125</v>
      </c>
      <c r="E787" s="47">
        <v>10</v>
      </c>
      <c r="F787" s="48">
        <v>5460.8530000000001</v>
      </c>
      <c r="G787" s="48">
        <v>4240.33</v>
      </c>
    </row>
    <row r="788" spans="1:7" ht="10.050000000000001" customHeight="1">
      <c r="A788" s="45" t="s">
        <v>154</v>
      </c>
      <c r="B788" s="45" t="s">
        <v>82</v>
      </c>
      <c r="C788" s="46">
        <v>2018</v>
      </c>
      <c r="D788" s="45" t="s">
        <v>125</v>
      </c>
      <c r="E788" s="47">
        <v>11</v>
      </c>
      <c r="F788" s="48">
        <v>5753.5950000000003</v>
      </c>
      <c r="G788" s="48">
        <v>3558.0920000000001</v>
      </c>
    </row>
    <row r="789" spans="1:7" ht="10.050000000000001" customHeight="1">
      <c r="A789" s="45" t="s">
        <v>154</v>
      </c>
      <c r="B789" s="45" t="s">
        <v>82</v>
      </c>
      <c r="C789" s="46">
        <v>2018</v>
      </c>
      <c r="D789" s="45" t="s">
        <v>125</v>
      </c>
      <c r="E789" s="47">
        <v>12</v>
      </c>
      <c r="F789" s="48">
        <v>5744.8649999999998</v>
      </c>
      <c r="G789" s="48">
        <v>3380.0230000000001</v>
      </c>
    </row>
    <row r="790" spans="1:7" ht="10.050000000000001" customHeight="1">
      <c r="A790" s="45" t="s">
        <v>154</v>
      </c>
      <c r="B790" s="45" t="s">
        <v>82</v>
      </c>
      <c r="C790" s="46">
        <v>2019</v>
      </c>
      <c r="D790" s="45" t="s">
        <v>125</v>
      </c>
      <c r="E790" s="47">
        <v>1</v>
      </c>
      <c r="F790" s="48">
        <v>5874.7359999999999</v>
      </c>
      <c r="G790" s="48">
        <v>3539.384</v>
      </c>
    </row>
    <row r="791" spans="1:7" ht="10.050000000000001" customHeight="1">
      <c r="A791" s="45" t="s">
        <v>154</v>
      </c>
      <c r="B791" s="45" t="s">
        <v>82</v>
      </c>
      <c r="C791" s="46">
        <v>2019</v>
      </c>
      <c r="D791" s="45" t="s">
        <v>125</v>
      </c>
      <c r="E791" s="47">
        <v>2</v>
      </c>
      <c r="F791" s="48">
        <v>5429.1390000000001</v>
      </c>
      <c r="G791" s="48">
        <v>2712.6640000000002</v>
      </c>
    </row>
    <row r="792" spans="1:7" ht="10.050000000000001" customHeight="1">
      <c r="A792" s="45" t="s">
        <v>154</v>
      </c>
      <c r="B792" s="45" t="s">
        <v>82</v>
      </c>
      <c r="C792" s="46">
        <v>2019</v>
      </c>
      <c r="D792" s="45" t="s">
        <v>125</v>
      </c>
      <c r="E792" s="47">
        <v>3</v>
      </c>
      <c r="F792" s="48">
        <v>5204.759</v>
      </c>
      <c r="G792" s="48">
        <v>2803.7069999999999</v>
      </c>
    </row>
    <row r="793" spans="1:7" ht="10.050000000000001" customHeight="1">
      <c r="A793" s="45" t="s">
        <v>154</v>
      </c>
      <c r="B793" s="45" t="s">
        <v>82</v>
      </c>
      <c r="C793" s="46">
        <v>2019</v>
      </c>
      <c r="D793" s="45" t="s">
        <v>125</v>
      </c>
      <c r="E793" s="47">
        <v>4</v>
      </c>
      <c r="F793" s="48">
        <v>5711.1480000000001</v>
      </c>
      <c r="G793" s="48">
        <v>3287.3090000000002</v>
      </c>
    </row>
    <row r="794" spans="1:7" ht="10.050000000000001" customHeight="1">
      <c r="A794" s="45" t="s">
        <v>154</v>
      </c>
      <c r="B794" s="45" t="s">
        <v>82</v>
      </c>
      <c r="C794" s="46">
        <v>2019</v>
      </c>
      <c r="D794" s="45" t="s">
        <v>125</v>
      </c>
      <c r="E794" s="47">
        <v>5</v>
      </c>
      <c r="F794" s="48">
        <v>6354.3990000000003</v>
      </c>
      <c r="G794" s="48">
        <v>3425.239</v>
      </c>
    </row>
    <row r="795" spans="1:7" ht="10.050000000000001" customHeight="1">
      <c r="A795" s="45" t="s">
        <v>154</v>
      </c>
      <c r="B795" s="45" t="s">
        <v>82</v>
      </c>
      <c r="C795" s="46">
        <v>2019</v>
      </c>
      <c r="D795" s="45" t="s">
        <v>125</v>
      </c>
      <c r="E795" s="47">
        <v>6</v>
      </c>
      <c r="F795" s="48">
        <v>5620.384</v>
      </c>
      <c r="G795" s="48">
        <v>4400.8159999999998</v>
      </c>
    </row>
    <row r="796" spans="1:7" ht="10.050000000000001" customHeight="1">
      <c r="A796" s="45" t="s">
        <v>154</v>
      </c>
      <c r="B796" s="45" t="s">
        <v>82</v>
      </c>
      <c r="C796" s="46">
        <v>2019</v>
      </c>
      <c r="D796" s="45" t="s">
        <v>126</v>
      </c>
      <c r="E796" s="47">
        <v>7</v>
      </c>
      <c r="F796" s="48">
        <v>5327.69</v>
      </c>
      <c r="G796" s="48">
        <v>4938.3729999999996</v>
      </c>
    </row>
    <row r="797" spans="1:7" ht="10.050000000000001" customHeight="1">
      <c r="A797" s="45" t="s">
        <v>154</v>
      </c>
      <c r="B797" s="45" t="s">
        <v>82</v>
      </c>
      <c r="C797" s="46">
        <v>2019</v>
      </c>
      <c r="D797" s="45" t="s">
        <v>126</v>
      </c>
      <c r="E797" s="47">
        <v>8</v>
      </c>
      <c r="F797" s="48">
        <v>5280.8710000000001</v>
      </c>
      <c r="G797" s="48">
        <v>3780.598</v>
      </c>
    </row>
    <row r="798" spans="1:7" ht="10.050000000000001" customHeight="1">
      <c r="A798" s="45" t="s">
        <v>154</v>
      </c>
      <c r="B798" s="45" t="s">
        <v>82</v>
      </c>
      <c r="C798" s="46">
        <v>2019</v>
      </c>
      <c r="D798" s="45" t="s">
        <v>126</v>
      </c>
      <c r="E798" s="47">
        <v>9</v>
      </c>
      <c r="F798" s="48">
        <v>5617.78</v>
      </c>
      <c r="G798" s="48">
        <v>2945.8649999999998</v>
      </c>
    </row>
    <row r="799" spans="1:7" ht="10.050000000000001" customHeight="1">
      <c r="A799" s="45" t="s">
        <v>154</v>
      </c>
      <c r="B799" s="45" t="s">
        <v>82</v>
      </c>
      <c r="C799" s="46">
        <v>2019</v>
      </c>
      <c r="D799" s="45" t="s">
        <v>126</v>
      </c>
      <c r="E799" s="47">
        <v>10</v>
      </c>
      <c r="F799" s="48">
        <v>5875.31</v>
      </c>
      <c r="G799" s="48">
        <v>3598.2269999999999</v>
      </c>
    </row>
    <row r="800" spans="1:7" ht="10.050000000000001" customHeight="1">
      <c r="A800" s="45" t="s">
        <v>154</v>
      </c>
      <c r="B800" s="45" t="s">
        <v>82</v>
      </c>
      <c r="C800" s="46">
        <v>2019</v>
      </c>
      <c r="D800" s="45" t="s">
        <v>126</v>
      </c>
      <c r="E800" s="47">
        <v>11</v>
      </c>
      <c r="F800" s="48">
        <v>5645.4709999999995</v>
      </c>
      <c r="G800" s="48">
        <v>3605.136</v>
      </c>
    </row>
    <row r="801" spans="1:7" ht="10.050000000000001" customHeight="1">
      <c r="A801" s="45" t="s">
        <v>154</v>
      </c>
      <c r="B801" s="45" t="s">
        <v>82</v>
      </c>
      <c r="C801" s="46">
        <v>2019</v>
      </c>
      <c r="D801" s="45" t="s">
        <v>126</v>
      </c>
      <c r="E801" s="47">
        <v>12</v>
      </c>
      <c r="F801" s="48">
        <v>6618.7169999999996</v>
      </c>
      <c r="G801" s="48">
        <v>2109.299</v>
      </c>
    </row>
    <row r="802" spans="1:7" ht="10.050000000000001" customHeight="1">
      <c r="A802" s="45" t="s">
        <v>154</v>
      </c>
      <c r="B802" s="45" t="s">
        <v>82</v>
      </c>
      <c r="C802" s="46">
        <v>2020</v>
      </c>
      <c r="D802" s="45" t="s">
        <v>126</v>
      </c>
      <c r="E802" s="47">
        <v>1</v>
      </c>
      <c r="F802" s="48">
        <v>6081.8050000000003</v>
      </c>
      <c r="G802" s="48">
        <v>2288.1019999999999</v>
      </c>
    </row>
    <row r="803" spans="1:7" ht="10.050000000000001" customHeight="1">
      <c r="A803" s="45" t="s">
        <v>154</v>
      </c>
      <c r="B803" s="45" t="s">
        <v>82</v>
      </c>
      <c r="C803" s="46">
        <v>2020</v>
      </c>
      <c r="D803" s="45" t="s">
        <v>126</v>
      </c>
      <c r="E803" s="47">
        <v>2</v>
      </c>
      <c r="F803" s="48">
        <v>5985.2219999999998</v>
      </c>
      <c r="G803" s="48">
        <v>3370.904</v>
      </c>
    </row>
    <row r="804" spans="1:7" ht="10.050000000000001" customHeight="1">
      <c r="A804" s="45" t="s">
        <v>154</v>
      </c>
      <c r="B804" s="45" t="s">
        <v>82</v>
      </c>
      <c r="C804" s="46">
        <v>2020</v>
      </c>
      <c r="D804" s="45" t="s">
        <v>126</v>
      </c>
      <c r="E804" s="47">
        <v>3</v>
      </c>
      <c r="F804" s="48">
        <v>6662.2950000000001</v>
      </c>
      <c r="G804" s="48">
        <v>3996.1060000000002</v>
      </c>
    </row>
    <row r="805" spans="1:7" ht="10.050000000000001" customHeight="1">
      <c r="A805" s="45" t="s">
        <v>154</v>
      </c>
      <c r="B805" s="45" t="s">
        <v>82</v>
      </c>
      <c r="C805" s="46">
        <v>2020</v>
      </c>
      <c r="D805" s="45" t="s">
        <v>126</v>
      </c>
      <c r="E805" s="47">
        <v>4</v>
      </c>
      <c r="F805" s="48">
        <v>6587.2349999999997</v>
      </c>
      <c r="G805" s="48">
        <v>4010.3180000000002</v>
      </c>
    </row>
    <row r="806" spans="1:7" ht="10.050000000000001" customHeight="1">
      <c r="A806" s="45" t="s">
        <v>154</v>
      </c>
      <c r="B806" s="45" t="s">
        <v>82</v>
      </c>
      <c r="C806" s="46">
        <v>2020</v>
      </c>
      <c r="D806" s="45" t="s">
        <v>126</v>
      </c>
      <c r="E806" s="47">
        <v>5</v>
      </c>
      <c r="F806" s="48">
        <v>4769.884</v>
      </c>
      <c r="G806" s="48">
        <v>4007.6529999999998</v>
      </c>
    </row>
    <row r="807" spans="1:7" ht="10.050000000000001" customHeight="1">
      <c r="A807" s="45" t="s">
        <v>154</v>
      </c>
      <c r="B807" s="45" t="s">
        <v>82</v>
      </c>
      <c r="C807" s="46">
        <v>2020</v>
      </c>
      <c r="D807" s="45" t="s">
        <v>126</v>
      </c>
      <c r="E807" s="47">
        <v>6</v>
      </c>
      <c r="F807" s="48">
        <v>5874.0479999999998</v>
      </c>
      <c r="G807" s="48">
        <v>4232.8119999999999</v>
      </c>
    </row>
    <row r="808" spans="1:7" ht="10.050000000000001" customHeight="1">
      <c r="A808" s="45" t="s">
        <v>154</v>
      </c>
      <c r="B808" s="45" t="s">
        <v>82</v>
      </c>
      <c r="C808" s="46">
        <v>2020</v>
      </c>
      <c r="D808" s="45" t="s">
        <v>128</v>
      </c>
      <c r="E808" s="47">
        <v>7</v>
      </c>
      <c r="F808" s="48">
        <v>4912.8360000000002</v>
      </c>
      <c r="G808" s="48">
        <v>3924.4960000000001</v>
      </c>
    </row>
    <row r="809" spans="1:7" ht="10.050000000000001" customHeight="1">
      <c r="A809" s="45" t="s">
        <v>154</v>
      </c>
      <c r="B809" s="45" t="s">
        <v>82</v>
      </c>
      <c r="C809" s="46">
        <v>2020</v>
      </c>
      <c r="D809" s="45" t="s">
        <v>128</v>
      </c>
      <c r="E809" s="47">
        <v>8</v>
      </c>
      <c r="F809" s="48">
        <v>4434.7110000000002</v>
      </c>
      <c r="G809" s="48">
        <v>3763.1660000000002</v>
      </c>
    </row>
    <row r="810" spans="1:7" ht="10.050000000000001" customHeight="1">
      <c r="A810" s="45" t="s">
        <v>154</v>
      </c>
      <c r="B810" s="45" t="s">
        <v>82</v>
      </c>
      <c r="C810" s="46">
        <v>2020</v>
      </c>
      <c r="D810" s="45" t="s">
        <v>128</v>
      </c>
      <c r="E810" s="47">
        <v>9</v>
      </c>
      <c r="F810" s="48">
        <v>4970.6719999999996</v>
      </c>
      <c r="G810" s="48">
        <v>2989.76</v>
      </c>
    </row>
    <row r="811" spans="1:7" ht="10.050000000000001" customHeight="1">
      <c r="A811" s="45" t="s">
        <v>154</v>
      </c>
      <c r="B811" s="45" t="s">
        <v>82</v>
      </c>
      <c r="C811" s="46">
        <v>2020</v>
      </c>
      <c r="D811" s="45" t="s">
        <v>128</v>
      </c>
      <c r="E811" s="47">
        <v>10</v>
      </c>
      <c r="F811" s="48">
        <v>4642.0839999999998</v>
      </c>
      <c r="G811" s="48">
        <v>2959.4569999999999</v>
      </c>
    </row>
    <row r="812" spans="1:7" ht="10.050000000000001" customHeight="1">
      <c r="A812" s="45" t="s">
        <v>154</v>
      </c>
      <c r="B812" s="45" t="s">
        <v>82</v>
      </c>
      <c r="C812" s="46">
        <v>2020</v>
      </c>
      <c r="D812" s="45" t="s">
        <v>128</v>
      </c>
      <c r="E812" s="47">
        <v>11</v>
      </c>
      <c r="F812" s="48">
        <v>5202.2839999999997</v>
      </c>
      <c r="G812" s="48">
        <v>2805.8780000000002</v>
      </c>
    </row>
    <row r="813" spans="1:7" ht="10.050000000000001" customHeight="1">
      <c r="A813" s="45" t="s">
        <v>154</v>
      </c>
      <c r="B813" s="45" t="s">
        <v>82</v>
      </c>
      <c r="C813" s="46">
        <v>2020</v>
      </c>
      <c r="D813" s="45" t="s">
        <v>128</v>
      </c>
      <c r="E813" s="47">
        <v>12</v>
      </c>
      <c r="F813" s="48">
        <v>5322.326</v>
      </c>
      <c r="G813" s="48">
        <v>2804.9879999999998</v>
      </c>
    </row>
    <row r="814" spans="1:7" ht="10.050000000000001" customHeight="1">
      <c r="A814" s="45" t="s">
        <v>154</v>
      </c>
      <c r="B814" s="45" t="s">
        <v>82</v>
      </c>
      <c r="C814" s="46">
        <v>2021</v>
      </c>
      <c r="D814" s="45" t="s">
        <v>128</v>
      </c>
      <c r="E814" s="47">
        <v>1</v>
      </c>
      <c r="F814" s="48">
        <v>6420.2920000000004</v>
      </c>
      <c r="G814" s="48">
        <v>3427.6689999999999</v>
      </c>
    </row>
    <row r="815" spans="1:7" ht="10.050000000000001" customHeight="1">
      <c r="A815" s="45" t="s">
        <v>154</v>
      </c>
      <c r="B815" s="45" t="s">
        <v>82</v>
      </c>
      <c r="C815" s="46">
        <v>2021</v>
      </c>
      <c r="D815" s="45" t="s">
        <v>128</v>
      </c>
      <c r="E815" s="47">
        <v>2</v>
      </c>
      <c r="F815" s="48">
        <v>5679.5870000000004</v>
      </c>
      <c r="G815" s="48">
        <v>4467.6779999999999</v>
      </c>
    </row>
    <row r="816" spans="1:7" ht="10.050000000000001" customHeight="1">
      <c r="A816" s="45" t="s">
        <v>154</v>
      </c>
      <c r="B816" s="45" t="s">
        <v>82</v>
      </c>
      <c r="C816" s="46">
        <v>2021</v>
      </c>
      <c r="D816" s="45" t="s">
        <v>128</v>
      </c>
      <c r="E816" s="47">
        <v>3</v>
      </c>
      <c r="F816" s="48">
        <v>5967.9589999999998</v>
      </c>
      <c r="G816" s="48">
        <v>4336.192</v>
      </c>
    </row>
    <row r="817" spans="1:7" ht="10.050000000000001" customHeight="1">
      <c r="A817" s="45" t="s">
        <v>154</v>
      </c>
      <c r="B817" s="45" t="s">
        <v>82</v>
      </c>
      <c r="C817" s="46">
        <v>2021</v>
      </c>
      <c r="D817" s="45" t="s">
        <v>128</v>
      </c>
      <c r="E817" s="47">
        <v>4</v>
      </c>
      <c r="F817" s="48">
        <v>6553.9830000000002</v>
      </c>
      <c r="G817" s="48">
        <v>5034.7619999999997</v>
      </c>
    </row>
    <row r="818" spans="1:7" ht="10.050000000000001" customHeight="1">
      <c r="A818" s="45" t="s">
        <v>154</v>
      </c>
      <c r="B818" s="45" t="s">
        <v>82</v>
      </c>
      <c r="C818" s="46">
        <v>2021</v>
      </c>
      <c r="D818" s="45" t="s">
        <v>128</v>
      </c>
      <c r="E818" s="47">
        <v>5</v>
      </c>
      <c r="F818" s="48">
        <v>5783.8969999999999</v>
      </c>
      <c r="G818" s="48">
        <v>4433.8360000000002</v>
      </c>
    </row>
    <row r="819" spans="1:7" ht="10.050000000000001" customHeight="1">
      <c r="A819" s="45" t="s">
        <v>154</v>
      </c>
      <c r="B819" s="45" t="s">
        <v>82</v>
      </c>
      <c r="C819" s="46">
        <v>2021</v>
      </c>
      <c r="D819" s="45" t="s">
        <v>128</v>
      </c>
      <c r="E819" s="47">
        <v>6</v>
      </c>
      <c r="F819" s="48">
        <v>4625.3249999999998</v>
      </c>
      <c r="G819" s="48">
        <v>5005.7690000000002</v>
      </c>
    </row>
    <row r="820" spans="1:7" ht="10.050000000000001" customHeight="1">
      <c r="A820" s="45" t="s">
        <v>154</v>
      </c>
      <c r="B820" s="45" t="s">
        <v>82</v>
      </c>
      <c r="C820" s="46">
        <v>2021</v>
      </c>
      <c r="D820" s="45" t="s">
        <v>129</v>
      </c>
      <c r="E820" s="47">
        <v>7</v>
      </c>
      <c r="F820" s="48">
        <v>5641.4009999999998</v>
      </c>
      <c r="G820" s="48">
        <v>3830.933</v>
      </c>
    </row>
    <row r="821" spans="1:7" ht="10.050000000000001" customHeight="1">
      <c r="A821" s="45" t="s">
        <v>154</v>
      </c>
      <c r="B821" s="45" t="s">
        <v>82</v>
      </c>
      <c r="C821" s="46">
        <v>2021</v>
      </c>
      <c r="D821" s="45" t="s">
        <v>129</v>
      </c>
      <c r="E821" s="47">
        <v>8</v>
      </c>
      <c r="F821" s="48">
        <v>5271.6180000000004</v>
      </c>
      <c r="G821" s="48">
        <v>3163.4169999999999</v>
      </c>
    </row>
    <row r="822" spans="1:7" ht="10.050000000000001" customHeight="1">
      <c r="A822" s="45" t="s">
        <v>154</v>
      </c>
      <c r="B822" s="45" t="s">
        <v>82</v>
      </c>
      <c r="C822" s="46">
        <v>2021</v>
      </c>
      <c r="D822" s="45" t="s">
        <v>129</v>
      </c>
      <c r="E822" s="47">
        <v>9</v>
      </c>
      <c r="F822" s="48">
        <v>3701.817</v>
      </c>
      <c r="G822" s="48">
        <v>2926.6529999999998</v>
      </c>
    </row>
    <row r="823" spans="1:7" ht="10.050000000000001" customHeight="1">
      <c r="A823" s="45" t="s">
        <v>154</v>
      </c>
      <c r="B823" s="45" t="s">
        <v>82</v>
      </c>
      <c r="C823" s="46">
        <v>2021</v>
      </c>
      <c r="D823" s="45" t="s">
        <v>129</v>
      </c>
      <c r="E823" s="47">
        <v>10</v>
      </c>
      <c r="F823" s="48">
        <v>5538.643</v>
      </c>
      <c r="G823" s="48">
        <v>3290.5889999999999</v>
      </c>
    </row>
    <row r="824" spans="1:7" ht="10.050000000000001" customHeight="1">
      <c r="A824" s="45" t="s">
        <v>154</v>
      </c>
      <c r="B824" s="45" t="s">
        <v>82</v>
      </c>
      <c r="C824" s="46">
        <v>2021</v>
      </c>
      <c r="D824" s="45" t="s">
        <v>129</v>
      </c>
      <c r="E824" s="47">
        <v>11</v>
      </c>
      <c r="F824" s="48">
        <v>5520.5140000000001</v>
      </c>
      <c r="G824" s="48">
        <v>4146.6750000000002</v>
      </c>
    </row>
    <row r="825" spans="1:7" ht="10.050000000000001" customHeight="1">
      <c r="A825" s="45" t="s">
        <v>154</v>
      </c>
      <c r="B825" s="45" t="s">
        <v>82</v>
      </c>
      <c r="C825" s="46">
        <v>2021</v>
      </c>
      <c r="D825" s="45" t="s">
        <v>129</v>
      </c>
      <c r="E825" s="47">
        <v>12</v>
      </c>
      <c r="F825" s="48">
        <v>6432.268</v>
      </c>
      <c r="G825" s="48">
        <v>5015.9709999999995</v>
      </c>
    </row>
    <row r="826" spans="1:7" ht="10.050000000000001" customHeight="1">
      <c r="A826" s="45" t="s">
        <v>154</v>
      </c>
      <c r="B826" s="45" t="s">
        <v>82</v>
      </c>
      <c r="C826" s="46">
        <v>2022</v>
      </c>
      <c r="D826" s="45" t="s">
        <v>129</v>
      </c>
      <c r="E826" s="47">
        <v>1</v>
      </c>
      <c r="F826" s="48">
        <v>6365.5209999999997</v>
      </c>
      <c r="G826" s="48">
        <v>4970.6639999999998</v>
      </c>
    </row>
    <row r="827" spans="1:7" ht="10.050000000000001" customHeight="1">
      <c r="A827" s="45" t="s">
        <v>154</v>
      </c>
      <c r="B827" s="45" t="s">
        <v>82</v>
      </c>
      <c r="C827" s="46">
        <v>2022</v>
      </c>
      <c r="D827" s="45" t="s">
        <v>129</v>
      </c>
      <c r="E827" s="47">
        <v>2</v>
      </c>
      <c r="F827" s="48">
        <v>6738.8130000000001</v>
      </c>
      <c r="G827" s="48">
        <v>5544.39</v>
      </c>
    </row>
    <row r="828" spans="1:7" ht="10.050000000000001" customHeight="1">
      <c r="A828" s="45" t="s">
        <v>154</v>
      </c>
      <c r="B828" s="45" t="s">
        <v>82</v>
      </c>
      <c r="C828" s="46">
        <v>2022</v>
      </c>
      <c r="D828" s="45" t="s">
        <v>129</v>
      </c>
      <c r="E828" s="47">
        <v>3</v>
      </c>
      <c r="F828" s="48">
        <v>6874.5550000000003</v>
      </c>
      <c r="G828" s="48">
        <v>5200.7860000000001</v>
      </c>
    </row>
    <row r="829" spans="1:7" ht="10.050000000000001" customHeight="1">
      <c r="A829" s="45" t="s">
        <v>154</v>
      </c>
      <c r="B829" s="45" t="s">
        <v>82</v>
      </c>
      <c r="C829" s="46">
        <v>2022</v>
      </c>
      <c r="D829" s="45" t="s">
        <v>129</v>
      </c>
      <c r="E829" s="47">
        <v>4</v>
      </c>
      <c r="F829" s="48">
        <v>6490.7659999999996</v>
      </c>
      <c r="G829" s="48">
        <v>5615.25</v>
      </c>
    </row>
    <row r="830" spans="1:7" ht="10.050000000000001" customHeight="1">
      <c r="A830" s="45" t="s">
        <v>154</v>
      </c>
      <c r="B830" s="45" t="s">
        <v>82</v>
      </c>
      <c r="C830" s="46">
        <v>2022</v>
      </c>
      <c r="D830" s="45" t="s">
        <v>129</v>
      </c>
      <c r="E830" s="47">
        <v>5</v>
      </c>
      <c r="F830" s="48">
        <v>5432.893</v>
      </c>
      <c r="G830" s="48">
        <v>5237.4250000000002</v>
      </c>
    </row>
    <row r="831" spans="1:7" ht="10.050000000000001" customHeight="1">
      <c r="A831" s="45" t="s">
        <v>154</v>
      </c>
      <c r="B831" s="45" t="s">
        <v>82</v>
      </c>
      <c r="C831" s="46">
        <v>2022</v>
      </c>
      <c r="D831" s="45" t="s">
        <v>129</v>
      </c>
      <c r="E831" s="47">
        <v>6</v>
      </c>
      <c r="F831" s="48">
        <v>5891.8440000000001</v>
      </c>
      <c r="G831" s="48">
        <v>4952.8249999999998</v>
      </c>
    </row>
    <row r="832" spans="1:7" ht="10.050000000000001" customHeight="1">
      <c r="A832" s="45" t="s">
        <v>154</v>
      </c>
      <c r="B832" s="45" t="s">
        <v>82</v>
      </c>
      <c r="C832" s="46">
        <v>2022</v>
      </c>
      <c r="D832" s="45" t="s">
        <v>130</v>
      </c>
      <c r="E832" s="47">
        <v>7</v>
      </c>
      <c r="F832" s="48">
        <v>5634.5079999999998</v>
      </c>
      <c r="G832" s="48">
        <v>5094.817</v>
      </c>
    </row>
    <row r="833" spans="1:7" ht="10.050000000000001" customHeight="1">
      <c r="A833" s="45" t="s">
        <v>154</v>
      </c>
      <c r="B833" s="45" t="s">
        <v>82</v>
      </c>
      <c r="C833" s="46">
        <v>2022</v>
      </c>
      <c r="D833" s="45" t="s">
        <v>130</v>
      </c>
      <c r="E833" s="47">
        <v>8</v>
      </c>
      <c r="F833" s="48">
        <v>6670.4459999999999</v>
      </c>
      <c r="G833" s="48">
        <v>3295.308</v>
      </c>
    </row>
    <row r="834" spans="1:7" ht="10.050000000000001" customHeight="1">
      <c r="A834" s="45" t="s">
        <v>154</v>
      </c>
      <c r="B834" s="45" t="s">
        <v>82</v>
      </c>
      <c r="C834" s="46">
        <v>2022</v>
      </c>
      <c r="D834" s="45" t="s">
        <v>130</v>
      </c>
      <c r="E834" s="47">
        <v>9</v>
      </c>
      <c r="F834" s="48">
        <v>6030.4579999999996</v>
      </c>
      <c r="G834" s="48">
        <v>4110.5940000000001</v>
      </c>
    </row>
    <row r="835" spans="1:7" ht="10.050000000000001" customHeight="1">
      <c r="A835" s="45" t="s">
        <v>154</v>
      </c>
      <c r="B835" s="45" t="s">
        <v>82</v>
      </c>
      <c r="C835" s="46">
        <v>2022</v>
      </c>
      <c r="D835" s="45" t="s">
        <v>130</v>
      </c>
      <c r="E835" s="47">
        <v>10</v>
      </c>
      <c r="F835" s="48">
        <v>7699.1840000000002</v>
      </c>
      <c r="G835" s="48">
        <v>3505.4380000000001</v>
      </c>
    </row>
    <row r="836" spans="1:7" ht="10.050000000000001" customHeight="1">
      <c r="A836" s="45" t="s">
        <v>154</v>
      </c>
      <c r="B836" s="45" t="s">
        <v>82</v>
      </c>
      <c r="C836" s="46">
        <v>2022</v>
      </c>
      <c r="D836" s="45" t="s">
        <v>130</v>
      </c>
      <c r="E836" s="47">
        <v>11</v>
      </c>
      <c r="F836" s="48">
        <v>5052.6260000000002</v>
      </c>
      <c r="G836" s="48">
        <v>4875.3500000000004</v>
      </c>
    </row>
    <row r="837" spans="1:7" ht="10.050000000000001" customHeight="1">
      <c r="A837" s="45" t="s">
        <v>154</v>
      </c>
      <c r="B837" s="45" t="s">
        <v>82</v>
      </c>
      <c r="C837" s="46">
        <v>2022</v>
      </c>
      <c r="D837" s="45" t="s">
        <v>130</v>
      </c>
      <c r="E837" s="47">
        <v>12</v>
      </c>
      <c r="F837" s="48">
        <v>6705.9560000000001</v>
      </c>
      <c r="G837" s="48">
        <v>4784.4120000000003</v>
      </c>
    </row>
    <row r="838" spans="1:7" ht="10.050000000000001" customHeight="1">
      <c r="A838" s="45" t="s">
        <v>154</v>
      </c>
      <c r="B838" s="45" t="s">
        <v>82</v>
      </c>
      <c r="C838" s="46">
        <v>2023</v>
      </c>
      <c r="D838" s="45" t="s">
        <v>130</v>
      </c>
      <c r="E838" s="47">
        <v>1</v>
      </c>
      <c r="F838" s="48">
        <v>5826.143</v>
      </c>
      <c r="G838" s="48">
        <v>4022.152</v>
      </c>
    </row>
    <row r="839" spans="1:7" ht="10.050000000000001" customHeight="1">
      <c r="A839" s="45" t="s">
        <v>154</v>
      </c>
      <c r="B839" s="45" t="s">
        <v>82</v>
      </c>
      <c r="C839" s="46">
        <v>2023</v>
      </c>
      <c r="D839" s="45" t="s">
        <v>130</v>
      </c>
      <c r="E839" s="47">
        <v>2</v>
      </c>
      <c r="F839" s="48">
        <v>4816.1980000000003</v>
      </c>
      <c r="G839" s="48">
        <v>4016.2429999999999</v>
      </c>
    </row>
    <row r="840" spans="1:7" ht="10.050000000000001" customHeight="1">
      <c r="A840" s="45" t="s">
        <v>154</v>
      </c>
      <c r="B840" s="45" t="s">
        <v>82</v>
      </c>
      <c r="C840" s="46">
        <v>2023</v>
      </c>
      <c r="D840" s="45" t="s">
        <v>130</v>
      </c>
      <c r="E840" s="47">
        <v>3</v>
      </c>
      <c r="F840" s="48">
        <v>6551.2030000000004</v>
      </c>
      <c r="G840" s="48">
        <v>6373.4</v>
      </c>
    </row>
    <row r="841" spans="1:7" ht="10.050000000000001" customHeight="1">
      <c r="A841" s="45" t="s">
        <v>154</v>
      </c>
      <c r="B841" s="45" t="s">
        <v>82</v>
      </c>
      <c r="C841" s="46">
        <v>2023</v>
      </c>
      <c r="D841" s="45" t="s">
        <v>130</v>
      </c>
      <c r="E841" s="47">
        <v>4</v>
      </c>
      <c r="F841" s="48">
        <v>6678.8689999999997</v>
      </c>
      <c r="G841" s="48">
        <v>6203.2470000000003</v>
      </c>
    </row>
    <row r="842" spans="1:7" ht="10.050000000000001" customHeight="1">
      <c r="A842" s="45" t="s">
        <v>154</v>
      </c>
      <c r="B842" s="45" t="s">
        <v>82</v>
      </c>
      <c r="C842" s="46">
        <v>2023</v>
      </c>
      <c r="D842" s="45" t="s">
        <v>130</v>
      </c>
      <c r="E842" s="47">
        <v>5</v>
      </c>
      <c r="F842" s="48">
        <v>6641.58</v>
      </c>
      <c r="G842" s="48">
        <v>5006.7979999999998</v>
      </c>
    </row>
    <row r="843" spans="1:7" ht="10.050000000000001" customHeight="1">
      <c r="A843" s="45" t="s">
        <v>154</v>
      </c>
      <c r="B843" s="45" t="s">
        <v>82</v>
      </c>
      <c r="C843" s="46">
        <v>2023</v>
      </c>
      <c r="D843" s="45" t="s">
        <v>130</v>
      </c>
      <c r="E843" s="47">
        <v>6</v>
      </c>
      <c r="F843" s="48">
        <v>6941.3789999999999</v>
      </c>
      <c r="G843" s="48">
        <v>5986.4669999999996</v>
      </c>
    </row>
    <row r="844" spans="1:7" ht="10.050000000000001" customHeight="1">
      <c r="A844" s="45" t="s">
        <v>154</v>
      </c>
      <c r="B844" s="45" t="s">
        <v>82</v>
      </c>
      <c r="C844" s="46">
        <v>2023</v>
      </c>
      <c r="D844" s="45" t="s">
        <v>131</v>
      </c>
      <c r="E844" s="47">
        <v>7</v>
      </c>
      <c r="F844" s="48">
        <v>6784.7960000000003</v>
      </c>
      <c r="G844" s="48">
        <v>5625.4430000000002</v>
      </c>
    </row>
    <row r="845" spans="1:7" ht="10.050000000000001" customHeight="1">
      <c r="A845" s="45" t="s">
        <v>154</v>
      </c>
      <c r="B845" s="45" t="s">
        <v>82</v>
      </c>
      <c r="C845" s="46">
        <v>2023</v>
      </c>
      <c r="D845" s="45" t="s">
        <v>131</v>
      </c>
      <c r="E845" s="47">
        <v>8</v>
      </c>
      <c r="F845" s="48">
        <v>7404.049</v>
      </c>
      <c r="G845" s="48">
        <v>5434.8829999999998</v>
      </c>
    </row>
    <row r="846" spans="1:7" ht="10.050000000000001" customHeight="1">
      <c r="A846" s="45" t="s">
        <v>154</v>
      </c>
      <c r="B846" s="45" t="s">
        <v>82</v>
      </c>
      <c r="C846" s="46">
        <v>2023</v>
      </c>
      <c r="D846" s="45" t="s">
        <v>131</v>
      </c>
      <c r="E846" s="47">
        <v>9</v>
      </c>
      <c r="F846" s="48">
        <v>6430.0919999999996</v>
      </c>
      <c r="G846" s="48">
        <v>6420.5309999999999</v>
      </c>
    </row>
    <row r="847" spans="1:7" ht="10.050000000000001" customHeight="1">
      <c r="A847" s="45" t="s">
        <v>154</v>
      </c>
      <c r="B847" s="45" t="s">
        <v>82</v>
      </c>
      <c r="C847" s="46">
        <v>2023</v>
      </c>
      <c r="D847" s="45" t="s">
        <v>131</v>
      </c>
      <c r="E847" s="47">
        <v>10</v>
      </c>
      <c r="F847" s="48">
        <v>7613.4380000000001</v>
      </c>
      <c r="G847" s="48">
        <v>5529.5370000000003</v>
      </c>
    </row>
    <row r="848" spans="1:7" ht="10.050000000000001" customHeight="1">
      <c r="A848" s="45" t="s">
        <v>154</v>
      </c>
      <c r="B848" s="45" t="s">
        <v>82</v>
      </c>
      <c r="C848" s="46">
        <v>2023</v>
      </c>
      <c r="D848" s="45" t="s">
        <v>131</v>
      </c>
      <c r="E848" s="47">
        <v>11</v>
      </c>
      <c r="F848" s="48">
        <v>7677.3180000000002</v>
      </c>
      <c r="G848" s="48">
        <v>4871.0649999999996</v>
      </c>
    </row>
    <row r="849" spans="1:7" ht="10.050000000000001" customHeight="1">
      <c r="A849" s="45" t="s">
        <v>154</v>
      </c>
      <c r="B849" s="45" t="s">
        <v>82</v>
      </c>
      <c r="C849" s="46">
        <v>2023</v>
      </c>
      <c r="D849" s="45" t="s">
        <v>131</v>
      </c>
      <c r="E849" s="47">
        <v>12</v>
      </c>
      <c r="F849" s="48">
        <v>8197.5370000000003</v>
      </c>
      <c r="G849" s="48">
        <v>4496.4520000000002</v>
      </c>
    </row>
    <row r="850" spans="1:7" ht="10.050000000000001" customHeight="1">
      <c r="A850" s="45" t="s">
        <v>154</v>
      </c>
      <c r="B850" s="45" t="s">
        <v>82</v>
      </c>
      <c r="C850" s="46">
        <v>2024</v>
      </c>
      <c r="D850" s="45" t="s">
        <v>131</v>
      </c>
      <c r="E850" s="47">
        <v>1</v>
      </c>
      <c r="F850" s="48">
        <v>7273.201</v>
      </c>
      <c r="G850" s="48">
        <v>2496.5650000000001</v>
      </c>
    </row>
    <row r="851" spans="1:7" ht="10.050000000000001" customHeight="1">
      <c r="A851" s="45" t="s">
        <v>154</v>
      </c>
      <c r="B851" s="45" t="s">
        <v>82</v>
      </c>
      <c r="C851" s="46">
        <v>2024</v>
      </c>
      <c r="D851" s="45" t="s">
        <v>131</v>
      </c>
      <c r="E851" s="47">
        <v>2</v>
      </c>
      <c r="F851" s="48">
        <v>5229.9769999999999</v>
      </c>
      <c r="G851" s="48">
        <v>3033.8159999999998</v>
      </c>
    </row>
    <row r="852" spans="1:7" ht="10.050000000000001" customHeight="1">
      <c r="A852" s="45" t="s">
        <v>154</v>
      </c>
      <c r="B852" s="45" t="s">
        <v>82</v>
      </c>
      <c r="C852" s="46">
        <v>2024</v>
      </c>
      <c r="D852" s="45" t="s">
        <v>131</v>
      </c>
      <c r="E852" s="47">
        <v>3</v>
      </c>
      <c r="F852" s="48">
        <v>5661.6019999999999</v>
      </c>
      <c r="G852" s="48">
        <v>2618.0419999999999</v>
      </c>
    </row>
    <row r="853" spans="1:7" ht="10.050000000000001" customHeight="1">
      <c r="A853" s="45" t="s">
        <v>154</v>
      </c>
      <c r="B853" s="45" t="s">
        <v>82</v>
      </c>
      <c r="C853" s="46">
        <v>2024</v>
      </c>
      <c r="D853" s="45" t="s">
        <v>131</v>
      </c>
      <c r="E853" s="47">
        <v>4</v>
      </c>
      <c r="F853" s="48">
        <v>5529.4380000000001</v>
      </c>
      <c r="G853" s="48">
        <v>2597.5949999999998</v>
      </c>
    </row>
    <row r="854" spans="1:7" ht="10.050000000000001" customHeight="1">
      <c r="A854" s="45" t="s">
        <v>154</v>
      </c>
      <c r="B854" s="45" t="s">
        <v>82</v>
      </c>
      <c r="C854" s="46">
        <v>2024</v>
      </c>
      <c r="D854" s="45" t="s">
        <v>131</v>
      </c>
      <c r="E854" s="47">
        <v>5</v>
      </c>
      <c r="F854" s="48">
        <v>5087.9870000000001</v>
      </c>
      <c r="G854" s="48">
        <v>2105.424</v>
      </c>
    </row>
    <row r="855" spans="1:7" ht="10.050000000000001" customHeight="1">
      <c r="A855" s="45" t="s">
        <v>154</v>
      </c>
      <c r="B855" s="45" t="s">
        <v>82</v>
      </c>
      <c r="C855" s="46">
        <v>2024</v>
      </c>
      <c r="D855" s="45" t="s">
        <v>131</v>
      </c>
      <c r="E855" s="47">
        <v>6</v>
      </c>
      <c r="F855" s="48">
        <v>4789.8440000000001</v>
      </c>
      <c r="G855" s="48">
        <v>2466.8719999999998</v>
      </c>
    </row>
    <row r="856" spans="1:7" ht="10.050000000000001" customHeight="1">
      <c r="A856" s="45" t="s">
        <v>154</v>
      </c>
      <c r="B856" s="45" t="s">
        <v>82</v>
      </c>
      <c r="C856" s="46">
        <v>2024</v>
      </c>
      <c r="D856" s="45" t="s">
        <v>132</v>
      </c>
      <c r="E856" s="47">
        <v>7</v>
      </c>
      <c r="F856" s="48">
        <v>5148.799</v>
      </c>
      <c r="G856" s="48">
        <v>2660.1289999999999</v>
      </c>
    </row>
    <row r="857" spans="1:7" ht="10.050000000000001" customHeight="1">
      <c r="A857" s="45" t="s">
        <v>154</v>
      </c>
      <c r="B857" s="45" t="s">
        <v>82</v>
      </c>
      <c r="C857" s="46">
        <v>2024</v>
      </c>
      <c r="D857" s="45" t="s">
        <v>132</v>
      </c>
      <c r="E857" s="47">
        <v>8</v>
      </c>
      <c r="F857" s="48">
        <v>4658.375</v>
      </c>
      <c r="G857" s="48">
        <v>2631.0210000000002</v>
      </c>
    </row>
    <row r="858" spans="1:7" ht="10.050000000000001" customHeight="1">
      <c r="A858" s="45" t="s">
        <v>154</v>
      </c>
      <c r="B858" s="45" t="s">
        <v>82</v>
      </c>
      <c r="C858" s="46">
        <v>2024</v>
      </c>
      <c r="D858" s="45" t="s">
        <v>132</v>
      </c>
      <c r="E858" s="47">
        <v>9</v>
      </c>
      <c r="F858" s="48">
        <v>4618.1679999999997</v>
      </c>
      <c r="G858" s="48">
        <v>2545.241</v>
      </c>
    </row>
    <row r="859" spans="1:7" ht="10.050000000000001" customHeight="1">
      <c r="A859" s="45" t="s">
        <v>154</v>
      </c>
      <c r="B859" s="45" t="s">
        <v>82</v>
      </c>
      <c r="C859" s="46">
        <v>2024</v>
      </c>
      <c r="D859" s="45" t="s">
        <v>132</v>
      </c>
      <c r="E859" s="47">
        <v>10</v>
      </c>
      <c r="F859" s="48">
        <v>5735.424</v>
      </c>
      <c r="G859" s="48">
        <v>2775.9189999999999</v>
      </c>
    </row>
    <row r="860" spans="1:7" ht="10.050000000000001" customHeight="1">
      <c r="A860" s="45" t="s">
        <v>154</v>
      </c>
      <c r="B860" s="45" t="s">
        <v>82</v>
      </c>
      <c r="C860" s="46">
        <v>2024</v>
      </c>
      <c r="D860" s="45" t="s">
        <v>132</v>
      </c>
      <c r="E860" s="47">
        <v>11</v>
      </c>
      <c r="F860" s="48">
        <v>4744.9669999999996</v>
      </c>
      <c r="G860" s="48">
        <v>2423.4259999999999</v>
      </c>
    </row>
    <row r="861" spans="1:7" ht="10.050000000000001" customHeight="1">
      <c r="A861" s="45" t="s">
        <v>154</v>
      </c>
      <c r="B861" s="45" t="s">
        <v>82</v>
      </c>
      <c r="C861" s="46">
        <v>2024</v>
      </c>
      <c r="D861" s="45" t="s">
        <v>132</v>
      </c>
      <c r="E861" s="47">
        <v>12</v>
      </c>
      <c r="F861" s="48">
        <v>5005.741</v>
      </c>
      <c r="G861" s="48">
        <v>1987.538</v>
      </c>
    </row>
    <row r="862" spans="1:7" ht="10.050000000000001" customHeight="1">
      <c r="A862" s="45" t="s">
        <v>154</v>
      </c>
      <c r="B862" s="45" t="s">
        <v>81</v>
      </c>
      <c r="C862" s="46">
        <v>2000</v>
      </c>
      <c r="D862" s="45" t="s">
        <v>107</v>
      </c>
      <c r="E862" s="47">
        <v>7</v>
      </c>
      <c r="F862" s="48">
        <v>1329.6</v>
      </c>
      <c r="G862" s="48">
        <v>606.29999999999995</v>
      </c>
    </row>
    <row r="863" spans="1:7" ht="10.050000000000001" customHeight="1">
      <c r="A863" s="45" t="s">
        <v>154</v>
      </c>
      <c r="B863" s="45" t="s">
        <v>81</v>
      </c>
      <c r="C863" s="46">
        <v>2000</v>
      </c>
      <c r="D863" s="45" t="s">
        <v>107</v>
      </c>
      <c r="E863" s="47">
        <v>8</v>
      </c>
      <c r="F863" s="48">
        <v>1853.2</v>
      </c>
      <c r="G863" s="48">
        <v>502.5</v>
      </c>
    </row>
    <row r="864" spans="1:7" ht="10.050000000000001" customHeight="1">
      <c r="A864" s="45" t="s">
        <v>154</v>
      </c>
      <c r="B864" s="45" t="s">
        <v>81</v>
      </c>
      <c r="C864" s="46">
        <v>2000</v>
      </c>
      <c r="D864" s="45" t="s">
        <v>107</v>
      </c>
      <c r="E864" s="47">
        <v>9</v>
      </c>
      <c r="F864" s="48">
        <v>1498.7</v>
      </c>
      <c r="G864" s="48">
        <v>760.6</v>
      </c>
    </row>
    <row r="865" spans="1:7" ht="10.050000000000001" customHeight="1">
      <c r="A865" s="45" t="s">
        <v>154</v>
      </c>
      <c r="B865" s="45" t="s">
        <v>81</v>
      </c>
      <c r="C865" s="46">
        <v>2000</v>
      </c>
      <c r="D865" s="45" t="s">
        <v>107</v>
      </c>
      <c r="E865" s="47">
        <v>10</v>
      </c>
      <c r="F865" s="48">
        <v>1780.7</v>
      </c>
      <c r="G865" s="48">
        <v>1007</v>
      </c>
    </row>
    <row r="866" spans="1:7" ht="10.050000000000001" customHeight="1">
      <c r="A866" s="45" t="s">
        <v>154</v>
      </c>
      <c r="B866" s="45" t="s">
        <v>81</v>
      </c>
      <c r="C866" s="46">
        <v>2000</v>
      </c>
      <c r="D866" s="45" t="s">
        <v>107</v>
      </c>
      <c r="E866" s="47">
        <v>11</v>
      </c>
      <c r="F866" s="48">
        <v>1952.4</v>
      </c>
      <c r="G866" s="48">
        <v>1133.0999999999999</v>
      </c>
    </row>
    <row r="867" spans="1:7" ht="10.050000000000001" customHeight="1">
      <c r="A867" s="45" t="s">
        <v>154</v>
      </c>
      <c r="B867" s="45" t="s">
        <v>81</v>
      </c>
      <c r="C867" s="46">
        <v>2000</v>
      </c>
      <c r="D867" s="45" t="s">
        <v>107</v>
      </c>
      <c r="E867" s="47">
        <v>12</v>
      </c>
      <c r="F867" s="48">
        <v>2419.1</v>
      </c>
      <c r="G867" s="48">
        <v>1373.5</v>
      </c>
    </row>
    <row r="868" spans="1:7" ht="10.050000000000001" customHeight="1">
      <c r="A868" s="45" t="s">
        <v>154</v>
      </c>
      <c r="B868" s="45" t="s">
        <v>81</v>
      </c>
      <c r="C868" s="46">
        <v>2001</v>
      </c>
      <c r="D868" s="45" t="s">
        <v>107</v>
      </c>
      <c r="E868" s="47">
        <v>1</v>
      </c>
      <c r="F868" s="48">
        <v>2285.8000000000002</v>
      </c>
      <c r="G868" s="48">
        <v>1424.4</v>
      </c>
    </row>
    <row r="869" spans="1:7" ht="10.050000000000001" customHeight="1">
      <c r="A869" s="45" t="s">
        <v>154</v>
      </c>
      <c r="B869" s="45" t="s">
        <v>81</v>
      </c>
      <c r="C869" s="46">
        <v>2001</v>
      </c>
      <c r="D869" s="45" t="s">
        <v>107</v>
      </c>
      <c r="E869" s="47">
        <v>2</v>
      </c>
      <c r="F869" s="48">
        <v>1673.5</v>
      </c>
      <c r="G869" s="48">
        <v>1147.8</v>
      </c>
    </row>
    <row r="870" spans="1:7" ht="10.050000000000001" customHeight="1">
      <c r="A870" s="45" t="s">
        <v>154</v>
      </c>
      <c r="B870" s="45" t="s">
        <v>81</v>
      </c>
      <c r="C870" s="46">
        <v>2001</v>
      </c>
      <c r="D870" s="45" t="s">
        <v>107</v>
      </c>
      <c r="E870" s="47">
        <v>3</v>
      </c>
      <c r="F870" s="48">
        <v>1629.8</v>
      </c>
      <c r="G870" s="48">
        <v>937.4</v>
      </c>
    </row>
    <row r="871" spans="1:7" ht="10.050000000000001" customHeight="1">
      <c r="A871" s="45" t="s">
        <v>154</v>
      </c>
      <c r="B871" s="45" t="s">
        <v>81</v>
      </c>
      <c r="C871" s="46">
        <v>2001</v>
      </c>
      <c r="D871" s="45" t="s">
        <v>107</v>
      </c>
      <c r="E871" s="47">
        <v>4</v>
      </c>
      <c r="F871" s="48">
        <v>1281.5</v>
      </c>
      <c r="G871" s="48">
        <v>874.7</v>
      </c>
    </row>
    <row r="872" spans="1:7" ht="10.050000000000001" customHeight="1">
      <c r="A872" s="45" t="s">
        <v>154</v>
      </c>
      <c r="B872" s="45" t="s">
        <v>81</v>
      </c>
      <c r="C872" s="46">
        <v>2001</v>
      </c>
      <c r="D872" s="45" t="s">
        <v>107</v>
      </c>
      <c r="E872" s="47">
        <v>5</v>
      </c>
      <c r="F872" s="48">
        <v>1621.6</v>
      </c>
      <c r="G872" s="48">
        <v>1061.0999999999999</v>
      </c>
    </row>
    <row r="873" spans="1:7" ht="10.050000000000001" customHeight="1">
      <c r="A873" s="45" t="s">
        <v>154</v>
      </c>
      <c r="B873" s="45" t="s">
        <v>81</v>
      </c>
      <c r="C873" s="46">
        <v>2001</v>
      </c>
      <c r="D873" s="45" t="s">
        <v>107</v>
      </c>
      <c r="E873" s="47">
        <v>6</v>
      </c>
      <c r="F873" s="48">
        <v>1093.5</v>
      </c>
      <c r="G873" s="48">
        <v>1046</v>
      </c>
    </row>
    <row r="874" spans="1:7" ht="10.050000000000001" customHeight="1">
      <c r="A874" s="45" t="s">
        <v>154</v>
      </c>
      <c r="B874" s="45" t="s">
        <v>81</v>
      </c>
      <c r="C874" s="46">
        <v>2001</v>
      </c>
      <c r="D874" s="45" t="s">
        <v>110</v>
      </c>
      <c r="E874" s="47">
        <v>7</v>
      </c>
      <c r="F874" s="48">
        <v>1035</v>
      </c>
      <c r="G874" s="48">
        <v>823.5</v>
      </c>
    </row>
    <row r="875" spans="1:7" ht="10.050000000000001" customHeight="1">
      <c r="A875" s="45" t="s">
        <v>154</v>
      </c>
      <c r="B875" s="45" t="s">
        <v>81</v>
      </c>
      <c r="C875" s="46">
        <v>2001</v>
      </c>
      <c r="D875" s="45" t="s">
        <v>110</v>
      </c>
      <c r="E875" s="47">
        <v>8</v>
      </c>
      <c r="F875" s="48">
        <v>1022.2</v>
      </c>
      <c r="G875" s="48">
        <v>651.20000000000005</v>
      </c>
    </row>
    <row r="876" spans="1:7" ht="10.050000000000001" customHeight="1">
      <c r="A876" s="45" t="s">
        <v>154</v>
      </c>
      <c r="B876" s="45" t="s">
        <v>81</v>
      </c>
      <c r="C876" s="46">
        <v>2001</v>
      </c>
      <c r="D876" s="45" t="s">
        <v>110</v>
      </c>
      <c r="E876" s="47">
        <v>9</v>
      </c>
      <c r="F876" s="48">
        <v>906.9</v>
      </c>
      <c r="G876" s="48">
        <v>686.7</v>
      </c>
    </row>
    <row r="877" spans="1:7" ht="10.050000000000001" customHeight="1">
      <c r="A877" s="45" t="s">
        <v>154</v>
      </c>
      <c r="B877" s="45" t="s">
        <v>81</v>
      </c>
      <c r="C877" s="46">
        <v>2001</v>
      </c>
      <c r="D877" s="45" t="s">
        <v>110</v>
      </c>
      <c r="E877" s="47">
        <v>10</v>
      </c>
      <c r="F877" s="48">
        <v>778.3</v>
      </c>
      <c r="G877" s="48">
        <v>1077.8</v>
      </c>
    </row>
    <row r="878" spans="1:7" ht="10.050000000000001" customHeight="1">
      <c r="A878" s="45" t="s">
        <v>154</v>
      </c>
      <c r="B878" s="45" t="s">
        <v>81</v>
      </c>
      <c r="C878" s="46">
        <v>2001</v>
      </c>
      <c r="D878" s="45" t="s">
        <v>110</v>
      </c>
      <c r="E878" s="47">
        <v>11</v>
      </c>
      <c r="F878" s="48">
        <v>669.6</v>
      </c>
      <c r="G878" s="48">
        <v>695.3</v>
      </c>
    </row>
    <row r="879" spans="1:7" ht="10.050000000000001" customHeight="1">
      <c r="A879" s="45" t="s">
        <v>154</v>
      </c>
      <c r="B879" s="45" t="s">
        <v>81</v>
      </c>
      <c r="C879" s="46">
        <v>2001</v>
      </c>
      <c r="D879" s="45" t="s">
        <v>110</v>
      </c>
      <c r="E879" s="47">
        <v>12</v>
      </c>
      <c r="F879" s="48">
        <v>420.1</v>
      </c>
      <c r="G879" s="48">
        <v>483.8</v>
      </c>
    </row>
    <row r="880" spans="1:7" ht="10.050000000000001" customHeight="1">
      <c r="A880" s="45" t="s">
        <v>154</v>
      </c>
      <c r="B880" s="45" t="s">
        <v>81</v>
      </c>
      <c r="C880" s="46">
        <v>2002</v>
      </c>
      <c r="D880" s="45" t="s">
        <v>110</v>
      </c>
      <c r="E880" s="47">
        <v>1</v>
      </c>
      <c r="F880" s="48">
        <v>456.2</v>
      </c>
      <c r="G880" s="48">
        <v>335.9</v>
      </c>
    </row>
    <row r="881" spans="1:7" ht="10.050000000000001" customHeight="1">
      <c r="A881" s="45" t="s">
        <v>154</v>
      </c>
      <c r="B881" s="45" t="s">
        <v>81</v>
      </c>
      <c r="C881" s="46">
        <v>2002</v>
      </c>
      <c r="D881" s="45" t="s">
        <v>110</v>
      </c>
      <c r="E881" s="47">
        <v>2</v>
      </c>
      <c r="F881" s="48">
        <v>241.9</v>
      </c>
      <c r="G881" s="48">
        <v>256.89999999999998</v>
      </c>
    </row>
    <row r="882" spans="1:7" ht="10.050000000000001" customHeight="1">
      <c r="A882" s="45" t="s">
        <v>154</v>
      </c>
      <c r="B882" s="45" t="s">
        <v>81</v>
      </c>
      <c r="C882" s="46">
        <v>2002</v>
      </c>
      <c r="D882" s="45" t="s">
        <v>110</v>
      </c>
      <c r="E882" s="47">
        <v>3</v>
      </c>
      <c r="F882" s="48">
        <v>271.3</v>
      </c>
      <c r="G882" s="48">
        <v>207.4</v>
      </c>
    </row>
    <row r="883" spans="1:7" ht="10.050000000000001" customHeight="1">
      <c r="A883" s="45" t="s">
        <v>154</v>
      </c>
      <c r="B883" s="45" t="s">
        <v>81</v>
      </c>
      <c r="C883" s="46">
        <v>2002</v>
      </c>
      <c r="D883" s="45" t="s">
        <v>110</v>
      </c>
      <c r="E883" s="47">
        <v>4</v>
      </c>
      <c r="F883" s="48">
        <v>189.8</v>
      </c>
      <c r="G883" s="48">
        <v>191.1</v>
      </c>
    </row>
    <row r="884" spans="1:7" ht="10.050000000000001" customHeight="1">
      <c r="A884" s="45" t="s">
        <v>154</v>
      </c>
      <c r="B884" s="45" t="s">
        <v>81</v>
      </c>
      <c r="C884" s="46">
        <v>2002</v>
      </c>
      <c r="D884" s="45" t="s">
        <v>110</v>
      </c>
      <c r="E884" s="47">
        <v>5</v>
      </c>
      <c r="F884" s="48">
        <v>213</v>
      </c>
      <c r="G884" s="48">
        <v>209.1</v>
      </c>
    </row>
    <row r="885" spans="1:7" ht="10.050000000000001" customHeight="1">
      <c r="A885" s="45" t="s">
        <v>154</v>
      </c>
      <c r="B885" s="45" t="s">
        <v>81</v>
      </c>
      <c r="C885" s="46">
        <v>2002</v>
      </c>
      <c r="D885" s="45" t="s">
        <v>110</v>
      </c>
      <c r="E885" s="47">
        <v>6</v>
      </c>
      <c r="F885" s="48">
        <v>342</v>
      </c>
      <c r="G885" s="48">
        <v>353.2</v>
      </c>
    </row>
    <row r="886" spans="1:7" ht="10.050000000000001" customHeight="1">
      <c r="A886" s="45" t="s">
        <v>154</v>
      </c>
      <c r="B886" s="45" t="s">
        <v>81</v>
      </c>
      <c r="C886" s="46">
        <v>2002</v>
      </c>
      <c r="D886" s="45" t="s">
        <v>111</v>
      </c>
      <c r="E886" s="47">
        <v>7</v>
      </c>
      <c r="F886" s="48">
        <v>203.8</v>
      </c>
      <c r="G886" s="48">
        <v>254.2</v>
      </c>
    </row>
    <row r="887" spans="1:7" ht="10.050000000000001" customHeight="1">
      <c r="A887" s="45" t="s">
        <v>154</v>
      </c>
      <c r="B887" s="45" t="s">
        <v>81</v>
      </c>
      <c r="C887" s="46">
        <v>2002</v>
      </c>
      <c r="D887" s="45" t="s">
        <v>111</v>
      </c>
      <c r="E887" s="47">
        <v>8</v>
      </c>
      <c r="F887" s="48">
        <v>180.7</v>
      </c>
      <c r="G887" s="48">
        <v>209</v>
      </c>
    </row>
    <row r="888" spans="1:7" ht="10.050000000000001" customHeight="1">
      <c r="A888" s="45" t="s">
        <v>154</v>
      </c>
      <c r="B888" s="45" t="s">
        <v>81</v>
      </c>
      <c r="C888" s="46">
        <v>2002</v>
      </c>
      <c r="D888" s="45" t="s">
        <v>111</v>
      </c>
      <c r="E888" s="47">
        <v>9</v>
      </c>
      <c r="F888" s="48">
        <v>209.2</v>
      </c>
      <c r="G888" s="48">
        <v>309.8</v>
      </c>
    </row>
    <row r="889" spans="1:7" ht="10.050000000000001" customHeight="1">
      <c r="A889" s="45" t="s">
        <v>154</v>
      </c>
      <c r="B889" s="45" t="s">
        <v>81</v>
      </c>
      <c r="C889" s="46">
        <v>2002</v>
      </c>
      <c r="D889" s="45" t="s">
        <v>111</v>
      </c>
      <c r="E889" s="47">
        <v>10</v>
      </c>
      <c r="F889" s="48">
        <v>254.3</v>
      </c>
      <c r="G889" s="48">
        <v>541.29999999999995</v>
      </c>
    </row>
    <row r="890" spans="1:7" ht="10.050000000000001" customHeight="1">
      <c r="A890" s="45" t="s">
        <v>154</v>
      </c>
      <c r="B890" s="45" t="s">
        <v>81</v>
      </c>
      <c r="C890" s="46">
        <v>2002</v>
      </c>
      <c r="D890" s="45" t="s">
        <v>111</v>
      </c>
      <c r="E890" s="47">
        <v>11</v>
      </c>
      <c r="F890" s="48">
        <v>213.1</v>
      </c>
      <c r="G890" s="48">
        <v>524.79999999999995</v>
      </c>
    </row>
    <row r="891" spans="1:7" ht="10.050000000000001" customHeight="1">
      <c r="A891" s="45" t="s">
        <v>154</v>
      </c>
      <c r="B891" s="45" t="s">
        <v>81</v>
      </c>
      <c r="C891" s="46">
        <v>2002</v>
      </c>
      <c r="D891" s="45" t="s">
        <v>111</v>
      </c>
      <c r="E891" s="47">
        <v>12</v>
      </c>
      <c r="F891" s="48">
        <v>197.3</v>
      </c>
      <c r="G891" s="48">
        <v>480.4</v>
      </c>
    </row>
    <row r="892" spans="1:7" ht="10.050000000000001" customHeight="1">
      <c r="A892" s="45" t="s">
        <v>154</v>
      </c>
      <c r="B892" s="45" t="s">
        <v>81</v>
      </c>
      <c r="C892" s="46">
        <v>2003</v>
      </c>
      <c r="D892" s="45" t="s">
        <v>111</v>
      </c>
      <c r="E892" s="47">
        <v>1</v>
      </c>
      <c r="F892" s="48">
        <v>230.4</v>
      </c>
      <c r="G892" s="48">
        <v>161.5</v>
      </c>
    </row>
    <row r="893" spans="1:7" ht="10.050000000000001" customHeight="1">
      <c r="A893" s="45" t="s">
        <v>154</v>
      </c>
      <c r="B893" s="45" t="s">
        <v>81</v>
      </c>
      <c r="C893" s="46">
        <v>2003</v>
      </c>
      <c r="D893" s="45" t="s">
        <v>111</v>
      </c>
      <c r="E893" s="47">
        <v>2</v>
      </c>
      <c r="F893" s="48">
        <v>129.19999999999999</v>
      </c>
      <c r="G893" s="48">
        <v>116.1</v>
      </c>
    </row>
    <row r="894" spans="1:7" ht="10.050000000000001" customHeight="1">
      <c r="A894" s="45" t="s">
        <v>154</v>
      </c>
      <c r="B894" s="45" t="s">
        <v>81</v>
      </c>
      <c r="C894" s="46">
        <v>2003</v>
      </c>
      <c r="D894" s="45" t="s">
        <v>111</v>
      </c>
      <c r="E894" s="47">
        <v>3</v>
      </c>
      <c r="F894" s="48">
        <v>129.19999999999999</v>
      </c>
      <c r="G894" s="48">
        <v>155.1</v>
      </c>
    </row>
    <row r="895" spans="1:7" ht="10.050000000000001" customHeight="1">
      <c r="A895" s="45" t="s">
        <v>154</v>
      </c>
      <c r="B895" s="45" t="s">
        <v>81</v>
      </c>
      <c r="C895" s="46">
        <v>2003</v>
      </c>
      <c r="D895" s="45" t="s">
        <v>111</v>
      </c>
      <c r="E895" s="47">
        <v>4</v>
      </c>
      <c r="F895" s="48">
        <v>114.4</v>
      </c>
      <c r="G895" s="48">
        <v>173.3</v>
      </c>
    </row>
    <row r="896" spans="1:7" ht="10.050000000000001" customHeight="1">
      <c r="A896" s="45" t="s">
        <v>154</v>
      </c>
      <c r="B896" s="45" t="s">
        <v>81</v>
      </c>
      <c r="C896" s="46">
        <v>2003</v>
      </c>
      <c r="D896" s="45" t="s">
        <v>111</v>
      </c>
      <c r="E896" s="47">
        <v>5</v>
      </c>
      <c r="F896" s="48">
        <v>98.700000000000102</v>
      </c>
      <c r="G896" s="48">
        <v>163.5</v>
      </c>
    </row>
    <row r="897" spans="1:7" ht="10.050000000000001" customHeight="1">
      <c r="A897" s="45" t="s">
        <v>154</v>
      </c>
      <c r="B897" s="45" t="s">
        <v>81</v>
      </c>
      <c r="C897" s="46">
        <v>2003</v>
      </c>
      <c r="D897" s="45" t="s">
        <v>111</v>
      </c>
      <c r="E897" s="47">
        <v>6</v>
      </c>
      <c r="F897" s="48">
        <v>127.3</v>
      </c>
      <c r="G897" s="48">
        <v>197.5</v>
      </c>
    </row>
    <row r="898" spans="1:7" ht="10.050000000000001" customHeight="1">
      <c r="A898" s="45" t="s">
        <v>154</v>
      </c>
      <c r="B898" s="45" t="s">
        <v>81</v>
      </c>
      <c r="C898" s="46">
        <v>2003</v>
      </c>
      <c r="D898" s="45" t="s">
        <v>108</v>
      </c>
      <c r="E898" s="47">
        <v>7</v>
      </c>
      <c r="F898" s="48">
        <v>190.2</v>
      </c>
      <c r="G898" s="48">
        <v>164.2</v>
      </c>
    </row>
    <row r="899" spans="1:7" ht="10.050000000000001" customHeight="1">
      <c r="A899" s="45" t="s">
        <v>154</v>
      </c>
      <c r="B899" s="45" t="s">
        <v>81</v>
      </c>
      <c r="C899" s="46">
        <v>2003</v>
      </c>
      <c r="D899" s="45" t="s">
        <v>108</v>
      </c>
      <c r="E899" s="47">
        <v>8</v>
      </c>
      <c r="F899" s="48">
        <v>211.1</v>
      </c>
      <c r="G899" s="48">
        <v>195.3</v>
      </c>
    </row>
    <row r="900" spans="1:7" ht="10.050000000000001" customHeight="1">
      <c r="A900" s="45" t="s">
        <v>154</v>
      </c>
      <c r="B900" s="45" t="s">
        <v>81</v>
      </c>
      <c r="C900" s="46">
        <v>2003</v>
      </c>
      <c r="D900" s="45" t="s">
        <v>108</v>
      </c>
      <c r="E900" s="47">
        <v>9</v>
      </c>
      <c r="F900" s="48">
        <v>346.2</v>
      </c>
      <c r="G900" s="48">
        <v>320.8</v>
      </c>
    </row>
    <row r="901" spans="1:7" ht="10.050000000000001" customHeight="1">
      <c r="A901" s="45" t="s">
        <v>154</v>
      </c>
      <c r="B901" s="45" t="s">
        <v>81</v>
      </c>
      <c r="C901" s="46">
        <v>2003</v>
      </c>
      <c r="D901" s="45" t="s">
        <v>108</v>
      </c>
      <c r="E901" s="47">
        <v>10</v>
      </c>
      <c r="F901" s="48">
        <v>1705.3</v>
      </c>
      <c r="G901" s="48">
        <v>1049.5999999999999</v>
      </c>
    </row>
    <row r="902" spans="1:7" ht="10.050000000000001" customHeight="1">
      <c r="A902" s="45" t="s">
        <v>154</v>
      </c>
      <c r="B902" s="45" t="s">
        <v>81</v>
      </c>
      <c r="C902" s="46">
        <v>2003</v>
      </c>
      <c r="D902" s="45" t="s">
        <v>108</v>
      </c>
      <c r="E902" s="47">
        <v>11</v>
      </c>
      <c r="F902" s="48">
        <v>1844.1</v>
      </c>
      <c r="G902" s="48">
        <v>1149.0999999999999</v>
      </c>
    </row>
    <row r="903" spans="1:7" ht="10.050000000000001" customHeight="1">
      <c r="A903" s="45" t="s">
        <v>154</v>
      </c>
      <c r="B903" s="45" t="s">
        <v>81</v>
      </c>
      <c r="C903" s="46">
        <v>2003</v>
      </c>
      <c r="D903" s="45" t="s">
        <v>108</v>
      </c>
      <c r="E903" s="47">
        <v>12</v>
      </c>
      <c r="F903" s="48">
        <v>2131</v>
      </c>
      <c r="G903" s="48">
        <v>1573</v>
      </c>
    </row>
    <row r="904" spans="1:7" ht="10.050000000000001" customHeight="1">
      <c r="A904" s="45" t="s">
        <v>154</v>
      </c>
      <c r="B904" s="45" t="s">
        <v>81</v>
      </c>
      <c r="C904" s="46">
        <v>2004</v>
      </c>
      <c r="D904" s="45" t="s">
        <v>108</v>
      </c>
      <c r="E904" s="47">
        <v>1</v>
      </c>
      <c r="F904" s="48">
        <v>1510.6</v>
      </c>
      <c r="G904" s="48">
        <v>2269</v>
      </c>
    </row>
    <row r="905" spans="1:7" ht="10.050000000000001" customHeight="1">
      <c r="A905" s="45" t="s">
        <v>154</v>
      </c>
      <c r="B905" s="45" t="s">
        <v>81</v>
      </c>
      <c r="C905" s="46">
        <v>2004</v>
      </c>
      <c r="D905" s="45" t="s">
        <v>108</v>
      </c>
      <c r="E905" s="47">
        <v>2</v>
      </c>
      <c r="F905" s="48">
        <v>1141</v>
      </c>
      <c r="G905" s="48">
        <v>2020.7</v>
      </c>
    </row>
    <row r="906" spans="1:7" ht="10.050000000000001" customHeight="1">
      <c r="A906" s="45" t="s">
        <v>154</v>
      </c>
      <c r="B906" s="45" t="s">
        <v>81</v>
      </c>
      <c r="C906" s="46">
        <v>2004</v>
      </c>
      <c r="D906" s="45" t="s">
        <v>108</v>
      </c>
      <c r="E906" s="47">
        <v>3</v>
      </c>
      <c r="F906" s="48">
        <v>1573</v>
      </c>
      <c r="G906" s="48">
        <v>860</v>
      </c>
    </row>
    <row r="907" spans="1:7" ht="10.050000000000001" customHeight="1">
      <c r="A907" s="45" t="s">
        <v>154</v>
      </c>
      <c r="B907" s="45" t="s">
        <v>81</v>
      </c>
      <c r="C907" s="46">
        <v>2004</v>
      </c>
      <c r="D907" s="45" t="s">
        <v>108</v>
      </c>
      <c r="E907" s="47">
        <v>4</v>
      </c>
      <c r="F907" s="48">
        <v>866.3</v>
      </c>
      <c r="G907" s="48">
        <v>395.7</v>
      </c>
    </row>
    <row r="908" spans="1:7" ht="10.050000000000001" customHeight="1">
      <c r="A908" s="45" t="s">
        <v>154</v>
      </c>
      <c r="B908" s="45" t="s">
        <v>81</v>
      </c>
      <c r="C908" s="46">
        <v>2004</v>
      </c>
      <c r="D908" s="45" t="s">
        <v>108</v>
      </c>
      <c r="E908" s="47">
        <v>5</v>
      </c>
      <c r="F908" s="48">
        <v>496.1</v>
      </c>
      <c r="G908" s="48">
        <v>262</v>
      </c>
    </row>
    <row r="909" spans="1:7" ht="10.050000000000001" customHeight="1">
      <c r="A909" s="45" t="s">
        <v>154</v>
      </c>
      <c r="B909" s="45" t="s">
        <v>81</v>
      </c>
      <c r="C909" s="46">
        <v>2004</v>
      </c>
      <c r="D909" s="45" t="s">
        <v>108</v>
      </c>
      <c r="E909" s="47">
        <v>6</v>
      </c>
      <c r="F909" s="48">
        <v>447.7</v>
      </c>
      <c r="G909" s="48">
        <v>235.4</v>
      </c>
    </row>
    <row r="910" spans="1:7" ht="10.050000000000001" customHeight="1">
      <c r="A910" s="45" t="s">
        <v>154</v>
      </c>
      <c r="B910" s="45" t="s">
        <v>81</v>
      </c>
      <c r="C910" s="46">
        <v>2004</v>
      </c>
      <c r="D910" s="45" t="s">
        <v>112</v>
      </c>
      <c r="E910" s="47">
        <v>7</v>
      </c>
      <c r="F910" s="48">
        <v>1407.5</v>
      </c>
      <c r="G910" s="48">
        <v>2531</v>
      </c>
    </row>
    <row r="911" spans="1:7" ht="10.050000000000001" customHeight="1">
      <c r="A911" s="45" t="s">
        <v>154</v>
      </c>
      <c r="B911" s="45" t="s">
        <v>81</v>
      </c>
      <c r="C911" s="46">
        <v>2004</v>
      </c>
      <c r="D911" s="45" t="s">
        <v>112</v>
      </c>
      <c r="E911" s="47">
        <v>8</v>
      </c>
      <c r="F911" s="48">
        <v>3740.5</v>
      </c>
      <c r="G911" s="48">
        <v>2151.6999999999998</v>
      </c>
    </row>
    <row r="912" spans="1:7" ht="10.050000000000001" customHeight="1">
      <c r="A912" s="45" t="s">
        <v>154</v>
      </c>
      <c r="B912" s="45" t="s">
        <v>81</v>
      </c>
      <c r="C912" s="46">
        <v>2004</v>
      </c>
      <c r="D912" s="45" t="s">
        <v>112</v>
      </c>
      <c r="E912" s="47">
        <v>9</v>
      </c>
      <c r="F912" s="48">
        <v>4490.1000000000004</v>
      </c>
      <c r="G912" s="48">
        <v>2161.1</v>
      </c>
    </row>
    <row r="913" spans="1:7" ht="10.050000000000001" customHeight="1">
      <c r="A913" s="45" t="s">
        <v>154</v>
      </c>
      <c r="B913" s="45" t="s">
        <v>81</v>
      </c>
      <c r="C913" s="46">
        <v>2004</v>
      </c>
      <c r="D913" s="45" t="s">
        <v>112</v>
      </c>
      <c r="E913" s="47">
        <v>10</v>
      </c>
      <c r="F913" s="48">
        <v>3956.4</v>
      </c>
      <c r="G913" s="48">
        <v>1914.5</v>
      </c>
    </row>
    <row r="914" spans="1:7" ht="10.050000000000001" customHeight="1">
      <c r="A914" s="45" t="s">
        <v>154</v>
      </c>
      <c r="B914" s="45" t="s">
        <v>81</v>
      </c>
      <c r="C914" s="46">
        <v>2004</v>
      </c>
      <c r="D914" s="45" t="s">
        <v>112</v>
      </c>
      <c r="E914" s="47">
        <v>11</v>
      </c>
      <c r="F914" s="48">
        <v>4031.1</v>
      </c>
      <c r="G914" s="48">
        <v>615.29999999999995</v>
      </c>
    </row>
    <row r="915" spans="1:7" ht="10.050000000000001" customHeight="1">
      <c r="A915" s="45" t="s">
        <v>154</v>
      </c>
      <c r="B915" s="45" t="s">
        <v>81</v>
      </c>
      <c r="C915" s="46">
        <v>2004</v>
      </c>
      <c r="D915" s="45" t="s">
        <v>112</v>
      </c>
      <c r="E915" s="47">
        <v>12</v>
      </c>
      <c r="F915" s="48">
        <v>689.4</v>
      </c>
      <c r="G915" s="48">
        <v>513.79999999999995</v>
      </c>
    </row>
    <row r="916" spans="1:7" ht="10.050000000000001" customHeight="1">
      <c r="A916" s="45" t="s">
        <v>154</v>
      </c>
      <c r="B916" s="45" t="s">
        <v>81</v>
      </c>
      <c r="C916" s="46">
        <v>2005</v>
      </c>
      <c r="D916" s="45" t="s">
        <v>112</v>
      </c>
      <c r="E916" s="47">
        <v>1</v>
      </c>
      <c r="F916" s="48">
        <v>545.79999999999995</v>
      </c>
      <c r="G916" s="48">
        <v>400.7</v>
      </c>
    </row>
    <row r="917" spans="1:7" ht="10.050000000000001" customHeight="1">
      <c r="A917" s="45" t="s">
        <v>154</v>
      </c>
      <c r="B917" s="45" t="s">
        <v>81</v>
      </c>
      <c r="C917" s="46">
        <v>2005</v>
      </c>
      <c r="D917" s="45" t="s">
        <v>112</v>
      </c>
      <c r="E917" s="47">
        <v>2</v>
      </c>
      <c r="F917" s="48">
        <v>552.79999999999995</v>
      </c>
      <c r="G917" s="48">
        <v>342.5</v>
      </c>
    </row>
    <row r="918" spans="1:7" ht="10.050000000000001" customHeight="1">
      <c r="A918" s="45" t="s">
        <v>154</v>
      </c>
      <c r="B918" s="45" t="s">
        <v>81</v>
      </c>
      <c r="C918" s="46">
        <v>2005</v>
      </c>
      <c r="D918" s="45" t="s">
        <v>112</v>
      </c>
      <c r="E918" s="47">
        <v>3</v>
      </c>
      <c r="F918" s="48">
        <v>391.2</v>
      </c>
      <c r="G918" s="48">
        <v>303.8</v>
      </c>
    </row>
    <row r="919" spans="1:7" ht="10.050000000000001" customHeight="1">
      <c r="A919" s="45" t="s">
        <v>154</v>
      </c>
      <c r="B919" s="45" t="s">
        <v>81</v>
      </c>
      <c r="C919" s="46">
        <v>2005</v>
      </c>
      <c r="D919" s="45" t="s">
        <v>112</v>
      </c>
      <c r="E919" s="47">
        <v>4</v>
      </c>
      <c r="F919" s="48">
        <v>330.3</v>
      </c>
      <c r="G919" s="48">
        <v>299.2</v>
      </c>
    </row>
    <row r="920" spans="1:7" ht="10.050000000000001" customHeight="1">
      <c r="A920" s="45" t="s">
        <v>154</v>
      </c>
      <c r="B920" s="45" t="s">
        <v>81</v>
      </c>
      <c r="C920" s="46">
        <v>2005</v>
      </c>
      <c r="D920" s="45" t="s">
        <v>112</v>
      </c>
      <c r="E920" s="47">
        <v>5</v>
      </c>
      <c r="F920" s="48">
        <v>310.39999999999998</v>
      </c>
      <c r="G920" s="48">
        <v>303.10000000000002</v>
      </c>
    </row>
    <row r="921" spans="1:7" ht="10.050000000000001" customHeight="1">
      <c r="A921" s="45" t="s">
        <v>154</v>
      </c>
      <c r="B921" s="45" t="s">
        <v>81</v>
      </c>
      <c r="C921" s="46">
        <v>2005</v>
      </c>
      <c r="D921" s="45" t="s">
        <v>112</v>
      </c>
      <c r="E921" s="47">
        <v>6</v>
      </c>
      <c r="F921" s="48">
        <v>459.9</v>
      </c>
      <c r="G921" s="48">
        <v>194.7</v>
      </c>
    </row>
    <row r="922" spans="1:7" ht="10.050000000000001" customHeight="1">
      <c r="A922" s="45" t="s">
        <v>154</v>
      </c>
      <c r="B922" s="45" t="s">
        <v>81</v>
      </c>
      <c r="C922" s="46">
        <v>2005</v>
      </c>
      <c r="D922" s="45" t="s">
        <v>113</v>
      </c>
      <c r="E922" s="47">
        <v>7</v>
      </c>
      <c r="F922" s="48">
        <v>199.6</v>
      </c>
      <c r="G922" s="48">
        <v>270.8</v>
      </c>
    </row>
    <row r="923" spans="1:7" ht="10.050000000000001" customHeight="1">
      <c r="A923" s="45" t="s">
        <v>154</v>
      </c>
      <c r="B923" s="45" t="s">
        <v>81</v>
      </c>
      <c r="C923" s="46">
        <v>2005</v>
      </c>
      <c r="D923" s="45" t="s">
        <v>113</v>
      </c>
      <c r="E923" s="47">
        <v>8</v>
      </c>
      <c r="F923" s="48">
        <v>255.8</v>
      </c>
      <c r="G923" s="48">
        <v>244.9</v>
      </c>
    </row>
    <row r="924" spans="1:7" ht="10.050000000000001" customHeight="1">
      <c r="A924" s="45" t="s">
        <v>154</v>
      </c>
      <c r="B924" s="45" t="s">
        <v>81</v>
      </c>
      <c r="C924" s="46">
        <v>2005</v>
      </c>
      <c r="D924" s="45" t="s">
        <v>113</v>
      </c>
      <c r="E924" s="47">
        <v>9</v>
      </c>
      <c r="F924" s="48">
        <v>540.70000000000005</v>
      </c>
      <c r="G924" s="48">
        <v>1368.4</v>
      </c>
    </row>
    <row r="925" spans="1:7" ht="10.050000000000001" customHeight="1">
      <c r="A925" s="45" t="s">
        <v>154</v>
      </c>
      <c r="B925" s="45" t="s">
        <v>81</v>
      </c>
      <c r="C925" s="46">
        <v>2005</v>
      </c>
      <c r="D925" s="45" t="s">
        <v>113</v>
      </c>
      <c r="E925" s="47">
        <v>10</v>
      </c>
      <c r="F925" s="48">
        <v>458.1</v>
      </c>
      <c r="G925" s="48">
        <v>1529.5</v>
      </c>
    </row>
    <row r="926" spans="1:7" ht="10.050000000000001" customHeight="1">
      <c r="A926" s="45" t="s">
        <v>154</v>
      </c>
      <c r="B926" s="45" t="s">
        <v>81</v>
      </c>
      <c r="C926" s="46">
        <v>2005</v>
      </c>
      <c r="D926" s="45" t="s">
        <v>113</v>
      </c>
      <c r="E926" s="47">
        <v>11</v>
      </c>
      <c r="F926" s="48">
        <v>811.1</v>
      </c>
      <c r="G926" s="48">
        <v>1171.0999999999999</v>
      </c>
    </row>
    <row r="927" spans="1:7" ht="10.050000000000001" customHeight="1">
      <c r="A927" s="45" t="s">
        <v>154</v>
      </c>
      <c r="B927" s="45" t="s">
        <v>81</v>
      </c>
      <c r="C927" s="46">
        <v>2005</v>
      </c>
      <c r="D927" s="45" t="s">
        <v>113</v>
      </c>
      <c r="E927" s="47">
        <v>12</v>
      </c>
      <c r="F927" s="48">
        <v>421.9</v>
      </c>
      <c r="G927" s="48">
        <v>1192.3</v>
      </c>
    </row>
    <row r="928" spans="1:7" ht="10.050000000000001" customHeight="1">
      <c r="A928" s="45" t="s">
        <v>154</v>
      </c>
      <c r="B928" s="45" t="s">
        <v>81</v>
      </c>
      <c r="C928" s="46">
        <v>2006</v>
      </c>
      <c r="D928" s="45" t="s">
        <v>113</v>
      </c>
      <c r="E928" s="47">
        <v>1</v>
      </c>
      <c r="F928" s="48">
        <v>1129.4000000000001</v>
      </c>
      <c r="G928" s="48">
        <v>1216.9000000000001</v>
      </c>
    </row>
    <row r="929" spans="1:7" ht="10.050000000000001" customHeight="1">
      <c r="A929" s="45" t="s">
        <v>154</v>
      </c>
      <c r="B929" s="45" t="s">
        <v>81</v>
      </c>
      <c r="C929" s="46">
        <v>2006</v>
      </c>
      <c r="D929" s="45" t="s">
        <v>113</v>
      </c>
      <c r="E929" s="47">
        <v>2</v>
      </c>
      <c r="F929" s="48">
        <v>300.8</v>
      </c>
      <c r="G929" s="48">
        <v>1248.0999999999999</v>
      </c>
    </row>
    <row r="930" spans="1:7" ht="10.050000000000001" customHeight="1">
      <c r="A930" s="45" t="s">
        <v>154</v>
      </c>
      <c r="B930" s="45" t="s">
        <v>81</v>
      </c>
      <c r="C930" s="46">
        <v>2006</v>
      </c>
      <c r="D930" s="45" t="s">
        <v>113</v>
      </c>
      <c r="E930" s="47">
        <v>3</v>
      </c>
      <c r="F930" s="48">
        <v>871.7</v>
      </c>
      <c r="G930" s="48">
        <v>1286.5999999999999</v>
      </c>
    </row>
    <row r="931" spans="1:7" ht="10.050000000000001" customHeight="1">
      <c r="A931" s="45" t="s">
        <v>154</v>
      </c>
      <c r="B931" s="45" t="s">
        <v>81</v>
      </c>
      <c r="C931" s="46">
        <v>2006</v>
      </c>
      <c r="D931" s="45" t="s">
        <v>113</v>
      </c>
      <c r="E931" s="47">
        <v>4</v>
      </c>
      <c r="F931" s="48">
        <v>1274.9000000000001</v>
      </c>
      <c r="G931" s="48">
        <v>1475.6</v>
      </c>
    </row>
    <row r="932" spans="1:7" ht="10.050000000000001" customHeight="1">
      <c r="A932" s="45" t="s">
        <v>154</v>
      </c>
      <c r="B932" s="45" t="s">
        <v>81</v>
      </c>
      <c r="C932" s="46">
        <v>2006</v>
      </c>
      <c r="D932" s="45" t="s">
        <v>113</v>
      </c>
      <c r="E932" s="47">
        <v>5</v>
      </c>
      <c r="F932" s="48">
        <v>1260.8</v>
      </c>
      <c r="G932" s="48">
        <v>937</v>
      </c>
    </row>
    <row r="933" spans="1:7" ht="10.050000000000001" customHeight="1">
      <c r="A933" s="45" t="s">
        <v>154</v>
      </c>
      <c r="B933" s="45" t="s">
        <v>81</v>
      </c>
      <c r="C933" s="46">
        <v>2006</v>
      </c>
      <c r="D933" s="45" t="s">
        <v>113</v>
      </c>
      <c r="E933" s="47">
        <v>6</v>
      </c>
      <c r="F933" s="48">
        <v>897.7</v>
      </c>
      <c r="G933" s="48">
        <v>640.5</v>
      </c>
    </row>
    <row r="934" spans="1:7" ht="10.050000000000001" customHeight="1">
      <c r="A934" s="45" t="s">
        <v>154</v>
      </c>
      <c r="B934" s="45" t="s">
        <v>81</v>
      </c>
      <c r="C934" s="46">
        <v>2006</v>
      </c>
      <c r="D934" s="45" t="s">
        <v>114</v>
      </c>
      <c r="E934" s="47">
        <v>7</v>
      </c>
      <c r="F934" s="48">
        <v>449.8</v>
      </c>
      <c r="G934" s="48">
        <v>485.8</v>
      </c>
    </row>
    <row r="935" spans="1:7" ht="10.050000000000001" customHeight="1">
      <c r="A935" s="45" t="s">
        <v>154</v>
      </c>
      <c r="B935" s="45" t="s">
        <v>81</v>
      </c>
      <c r="C935" s="46">
        <v>2006</v>
      </c>
      <c r="D935" s="45" t="s">
        <v>114</v>
      </c>
      <c r="E935" s="47">
        <v>8</v>
      </c>
      <c r="F935" s="48">
        <v>628.9</v>
      </c>
      <c r="G935" s="48">
        <v>366.6</v>
      </c>
    </row>
    <row r="936" spans="1:7" ht="10.050000000000001" customHeight="1">
      <c r="A936" s="45" t="s">
        <v>154</v>
      </c>
      <c r="B936" s="45" t="s">
        <v>81</v>
      </c>
      <c r="C936" s="46">
        <v>2006</v>
      </c>
      <c r="D936" s="45" t="s">
        <v>114</v>
      </c>
      <c r="E936" s="47">
        <v>9</v>
      </c>
      <c r="F936" s="48">
        <v>751.4</v>
      </c>
      <c r="G936" s="48">
        <v>1662.9</v>
      </c>
    </row>
    <row r="937" spans="1:7" ht="10.050000000000001" customHeight="1">
      <c r="A937" s="45" t="s">
        <v>154</v>
      </c>
      <c r="B937" s="45" t="s">
        <v>81</v>
      </c>
      <c r="C937" s="46">
        <v>2006</v>
      </c>
      <c r="D937" s="45" t="s">
        <v>114</v>
      </c>
      <c r="E937" s="47">
        <v>10</v>
      </c>
      <c r="F937" s="48">
        <v>1137.5999999999999</v>
      </c>
      <c r="G937" s="48">
        <v>1604.5</v>
      </c>
    </row>
    <row r="938" spans="1:7" ht="10.050000000000001" customHeight="1">
      <c r="A938" s="45" t="s">
        <v>154</v>
      </c>
      <c r="B938" s="45" t="s">
        <v>81</v>
      </c>
      <c r="C938" s="46">
        <v>2006</v>
      </c>
      <c r="D938" s="45" t="s">
        <v>114</v>
      </c>
      <c r="E938" s="47">
        <v>11</v>
      </c>
      <c r="F938" s="48">
        <v>1977.5</v>
      </c>
      <c r="G938" s="48">
        <v>1494.1</v>
      </c>
    </row>
    <row r="939" spans="1:7" ht="10.050000000000001" customHeight="1">
      <c r="A939" s="45" t="s">
        <v>154</v>
      </c>
      <c r="B939" s="45" t="s">
        <v>81</v>
      </c>
      <c r="C939" s="46">
        <v>2006</v>
      </c>
      <c r="D939" s="45" t="s">
        <v>114</v>
      </c>
      <c r="E939" s="47">
        <v>12</v>
      </c>
      <c r="F939" s="48">
        <v>1785.1</v>
      </c>
      <c r="G939" s="48">
        <v>1582</v>
      </c>
    </row>
    <row r="940" spans="1:7" ht="10.050000000000001" customHeight="1">
      <c r="A940" s="45" t="s">
        <v>154</v>
      </c>
      <c r="B940" s="45" t="s">
        <v>81</v>
      </c>
      <c r="C940" s="46">
        <v>2007</v>
      </c>
      <c r="D940" s="45" t="s">
        <v>114</v>
      </c>
      <c r="E940" s="47">
        <v>1</v>
      </c>
      <c r="F940" s="48">
        <v>2011.9</v>
      </c>
      <c r="G940" s="48">
        <v>1855.3</v>
      </c>
    </row>
    <row r="941" spans="1:7" ht="10.050000000000001" customHeight="1">
      <c r="A941" s="45" t="s">
        <v>154</v>
      </c>
      <c r="B941" s="45" t="s">
        <v>81</v>
      </c>
      <c r="C941" s="46">
        <v>2007</v>
      </c>
      <c r="D941" s="45" t="s">
        <v>114</v>
      </c>
      <c r="E941" s="47">
        <v>2</v>
      </c>
      <c r="F941" s="48">
        <v>2285.9</v>
      </c>
      <c r="G941" s="48">
        <v>2031.2</v>
      </c>
    </row>
    <row r="942" spans="1:7" ht="10.050000000000001" customHeight="1">
      <c r="A942" s="45" t="s">
        <v>154</v>
      </c>
      <c r="B942" s="45" t="s">
        <v>81</v>
      </c>
      <c r="C942" s="46">
        <v>2007</v>
      </c>
      <c r="D942" s="45" t="s">
        <v>114</v>
      </c>
      <c r="E942" s="47">
        <v>3</v>
      </c>
      <c r="F942" s="48">
        <v>2689.8</v>
      </c>
      <c r="G942" s="48">
        <v>1237.5999999999999</v>
      </c>
    </row>
    <row r="943" spans="1:7" ht="10.050000000000001" customHeight="1">
      <c r="A943" s="45" t="s">
        <v>154</v>
      </c>
      <c r="B943" s="45" t="s">
        <v>81</v>
      </c>
      <c r="C943" s="46">
        <v>2007</v>
      </c>
      <c r="D943" s="45" t="s">
        <v>114</v>
      </c>
      <c r="E943" s="47">
        <v>4</v>
      </c>
      <c r="F943" s="48">
        <v>2530.1999999999998</v>
      </c>
      <c r="G943" s="48">
        <v>932.9</v>
      </c>
    </row>
    <row r="944" spans="1:7" ht="10.050000000000001" customHeight="1">
      <c r="A944" s="45" t="s">
        <v>154</v>
      </c>
      <c r="B944" s="45" t="s">
        <v>81</v>
      </c>
      <c r="C944" s="46">
        <v>2007</v>
      </c>
      <c r="D944" s="45" t="s">
        <v>114</v>
      </c>
      <c r="E944" s="47">
        <v>5</v>
      </c>
      <c r="F944" s="48">
        <v>2715.4</v>
      </c>
      <c r="G944" s="48">
        <v>856.1</v>
      </c>
    </row>
    <row r="945" spans="1:7" ht="10.050000000000001" customHeight="1">
      <c r="A945" s="45" t="s">
        <v>154</v>
      </c>
      <c r="B945" s="45" t="s">
        <v>81</v>
      </c>
      <c r="C945" s="46">
        <v>2007</v>
      </c>
      <c r="D945" s="45" t="s">
        <v>114</v>
      </c>
      <c r="E945" s="47">
        <v>6</v>
      </c>
      <c r="F945" s="48">
        <v>2277.4</v>
      </c>
      <c r="G945" s="48">
        <v>661.5</v>
      </c>
    </row>
    <row r="946" spans="1:7" ht="10.050000000000001" customHeight="1">
      <c r="A946" s="45" t="s">
        <v>154</v>
      </c>
      <c r="B946" s="45" t="s">
        <v>81</v>
      </c>
      <c r="C946" s="46">
        <v>2007</v>
      </c>
      <c r="D946" s="45" t="s">
        <v>115</v>
      </c>
      <c r="E946" s="47">
        <v>7</v>
      </c>
      <c r="F946" s="48">
        <v>1134.7</v>
      </c>
      <c r="G946" s="48">
        <v>238.8</v>
      </c>
    </row>
    <row r="947" spans="1:7" ht="10.050000000000001" customHeight="1">
      <c r="A947" s="45" t="s">
        <v>154</v>
      </c>
      <c r="B947" s="45" t="s">
        <v>81</v>
      </c>
      <c r="C947" s="46">
        <v>2007</v>
      </c>
      <c r="D947" s="45" t="s">
        <v>115</v>
      </c>
      <c r="E947" s="47">
        <v>8</v>
      </c>
      <c r="F947" s="48">
        <v>348.2</v>
      </c>
      <c r="G947" s="48">
        <v>178.6</v>
      </c>
    </row>
    <row r="948" spans="1:7" ht="10.050000000000001" customHeight="1">
      <c r="A948" s="45" t="s">
        <v>154</v>
      </c>
      <c r="B948" s="45" t="s">
        <v>81</v>
      </c>
      <c r="C948" s="46">
        <v>2007</v>
      </c>
      <c r="D948" s="45" t="s">
        <v>115</v>
      </c>
      <c r="E948" s="47">
        <v>9</v>
      </c>
      <c r="F948" s="48">
        <v>174.9</v>
      </c>
      <c r="G948" s="48">
        <v>171.8</v>
      </c>
    </row>
    <row r="949" spans="1:7" ht="10.050000000000001" customHeight="1">
      <c r="A949" s="45" t="s">
        <v>154</v>
      </c>
      <c r="B949" s="45" t="s">
        <v>81</v>
      </c>
      <c r="C949" s="46">
        <v>2007</v>
      </c>
      <c r="D949" s="45" t="s">
        <v>115</v>
      </c>
      <c r="E949" s="47">
        <v>10</v>
      </c>
      <c r="F949" s="48">
        <v>696.7</v>
      </c>
      <c r="G949" s="48">
        <v>1038.0999999999999</v>
      </c>
    </row>
    <row r="950" spans="1:7" ht="10.050000000000001" customHeight="1">
      <c r="A950" s="45" t="s">
        <v>154</v>
      </c>
      <c r="B950" s="45" t="s">
        <v>81</v>
      </c>
      <c r="C950" s="46">
        <v>2007</v>
      </c>
      <c r="D950" s="45" t="s">
        <v>115</v>
      </c>
      <c r="E950" s="47">
        <v>11</v>
      </c>
      <c r="F950" s="48">
        <v>142.4</v>
      </c>
      <c r="G950" s="48">
        <v>1042.5999999999999</v>
      </c>
    </row>
    <row r="951" spans="1:7" ht="10.050000000000001" customHeight="1">
      <c r="A951" s="45" t="s">
        <v>154</v>
      </c>
      <c r="B951" s="45" t="s">
        <v>81</v>
      </c>
      <c r="C951" s="46">
        <v>2007</v>
      </c>
      <c r="D951" s="45" t="s">
        <v>115</v>
      </c>
      <c r="E951" s="47">
        <v>12</v>
      </c>
      <c r="F951" s="48">
        <v>236.3</v>
      </c>
      <c r="G951" s="48">
        <v>1048.4000000000001</v>
      </c>
    </row>
    <row r="952" spans="1:7" ht="10.050000000000001" customHeight="1">
      <c r="A952" s="45" t="s">
        <v>154</v>
      </c>
      <c r="B952" s="45" t="s">
        <v>81</v>
      </c>
      <c r="C952" s="46">
        <v>2008</v>
      </c>
      <c r="D952" s="45" t="s">
        <v>115</v>
      </c>
      <c r="E952" s="47">
        <v>1</v>
      </c>
      <c r="F952" s="48">
        <v>116.2</v>
      </c>
      <c r="G952" s="48">
        <v>1006.4</v>
      </c>
    </row>
    <row r="953" spans="1:7" ht="10.050000000000001" customHeight="1">
      <c r="A953" s="45" t="s">
        <v>154</v>
      </c>
      <c r="B953" s="45" t="s">
        <v>81</v>
      </c>
      <c r="C953" s="46">
        <v>2008</v>
      </c>
      <c r="D953" s="45" t="s">
        <v>115</v>
      </c>
      <c r="E953" s="47">
        <v>2</v>
      </c>
      <c r="F953" s="48">
        <v>129.19999999999999</v>
      </c>
      <c r="G953" s="48">
        <v>619.29999999999995</v>
      </c>
    </row>
    <row r="954" spans="1:7" ht="10.050000000000001" customHeight="1">
      <c r="A954" s="45" t="s">
        <v>154</v>
      </c>
      <c r="B954" s="45" t="s">
        <v>81</v>
      </c>
      <c r="C954" s="46">
        <v>2008</v>
      </c>
      <c r="D954" s="45" t="s">
        <v>115</v>
      </c>
      <c r="E954" s="47">
        <v>3</v>
      </c>
      <c r="F954" s="48">
        <v>141.19999999999999</v>
      </c>
      <c r="G954" s="48">
        <v>613.70000000000005</v>
      </c>
    </row>
    <row r="955" spans="1:7" ht="10.050000000000001" customHeight="1">
      <c r="A955" s="45" t="s">
        <v>154</v>
      </c>
      <c r="B955" s="45" t="s">
        <v>81</v>
      </c>
      <c r="C955" s="46">
        <v>2008</v>
      </c>
      <c r="D955" s="45" t="s">
        <v>115</v>
      </c>
      <c r="E955" s="47">
        <v>4</v>
      </c>
      <c r="F955" s="48">
        <v>137.19999999999999</v>
      </c>
      <c r="G955" s="48">
        <v>608.79999999999995</v>
      </c>
    </row>
    <row r="956" spans="1:7" ht="10.050000000000001" customHeight="1">
      <c r="A956" s="45" t="s">
        <v>154</v>
      </c>
      <c r="B956" s="45" t="s">
        <v>81</v>
      </c>
      <c r="C956" s="46">
        <v>2008</v>
      </c>
      <c r="D956" s="45" t="s">
        <v>115</v>
      </c>
      <c r="E956" s="47">
        <v>5</v>
      </c>
      <c r="F956" s="48">
        <v>213.7</v>
      </c>
      <c r="G956" s="48">
        <v>572.79999999999995</v>
      </c>
    </row>
    <row r="957" spans="1:7" ht="10.050000000000001" customHeight="1">
      <c r="A957" s="45" t="s">
        <v>154</v>
      </c>
      <c r="B957" s="45" t="s">
        <v>81</v>
      </c>
      <c r="C957" s="46">
        <v>2008</v>
      </c>
      <c r="D957" s="45" t="s">
        <v>115</v>
      </c>
      <c r="E957" s="47">
        <v>6</v>
      </c>
      <c r="F957" s="48">
        <v>134.80000000000001</v>
      </c>
      <c r="G957" s="48">
        <v>194.9</v>
      </c>
    </row>
    <row r="958" spans="1:7" ht="10.050000000000001" customHeight="1">
      <c r="A958" s="45" t="s">
        <v>154</v>
      </c>
      <c r="B958" s="45" t="s">
        <v>81</v>
      </c>
      <c r="C958" s="46">
        <v>2008</v>
      </c>
      <c r="D958" s="45" t="s">
        <v>109</v>
      </c>
      <c r="E958" s="47">
        <v>7</v>
      </c>
      <c r="F958" s="48">
        <v>149.4</v>
      </c>
      <c r="G958" s="48">
        <v>94.8</v>
      </c>
    </row>
    <row r="959" spans="1:7" ht="10.050000000000001" customHeight="1">
      <c r="A959" s="45" t="s">
        <v>154</v>
      </c>
      <c r="B959" s="45" t="s">
        <v>81</v>
      </c>
      <c r="C959" s="46">
        <v>2008</v>
      </c>
      <c r="D959" s="45" t="s">
        <v>109</v>
      </c>
      <c r="E959" s="47">
        <v>8</v>
      </c>
      <c r="F959" s="48">
        <v>51.2</v>
      </c>
      <c r="G959" s="48">
        <v>88</v>
      </c>
    </row>
    <row r="960" spans="1:7" ht="10.050000000000001" customHeight="1">
      <c r="A960" s="45" t="s">
        <v>154</v>
      </c>
      <c r="B960" s="45" t="s">
        <v>81</v>
      </c>
      <c r="C960" s="46">
        <v>2008</v>
      </c>
      <c r="D960" s="45" t="s">
        <v>109</v>
      </c>
      <c r="E960" s="47">
        <v>9</v>
      </c>
      <c r="F960" s="48">
        <v>48.8</v>
      </c>
      <c r="G960" s="48">
        <v>275.39999999999998</v>
      </c>
    </row>
    <row r="961" spans="1:7" ht="10.050000000000001" customHeight="1">
      <c r="A961" s="45" t="s">
        <v>154</v>
      </c>
      <c r="B961" s="45" t="s">
        <v>81</v>
      </c>
      <c r="C961" s="46">
        <v>2008</v>
      </c>
      <c r="D961" s="45" t="s">
        <v>109</v>
      </c>
      <c r="E961" s="47">
        <v>10</v>
      </c>
      <c r="F961" s="48">
        <v>265.7</v>
      </c>
      <c r="G961" s="48">
        <v>2468.1</v>
      </c>
    </row>
    <row r="962" spans="1:7" ht="10.050000000000001" customHeight="1">
      <c r="A962" s="45" t="s">
        <v>154</v>
      </c>
      <c r="B962" s="45" t="s">
        <v>81</v>
      </c>
      <c r="C962" s="46">
        <v>2008</v>
      </c>
      <c r="D962" s="45" t="s">
        <v>109</v>
      </c>
      <c r="E962" s="47">
        <v>11</v>
      </c>
      <c r="F962" s="48">
        <v>236.6</v>
      </c>
      <c r="G962" s="48">
        <v>2200.4</v>
      </c>
    </row>
    <row r="963" spans="1:7" ht="10.050000000000001" customHeight="1">
      <c r="A963" s="45" t="s">
        <v>154</v>
      </c>
      <c r="B963" s="45" t="s">
        <v>81</v>
      </c>
      <c r="C963" s="46">
        <v>2008</v>
      </c>
      <c r="D963" s="45" t="s">
        <v>109</v>
      </c>
      <c r="E963" s="47">
        <v>12</v>
      </c>
      <c r="F963" s="48">
        <v>1603.1</v>
      </c>
      <c r="G963" s="48">
        <v>2147.8000000000002</v>
      </c>
    </row>
    <row r="964" spans="1:7" ht="10.050000000000001" customHeight="1">
      <c r="A964" s="45" t="s">
        <v>154</v>
      </c>
      <c r="B964" s="45" t="s">
        <v>81</v>
      </c>
      <c r="C964" s="46">
        <v>2009</v>
      </c>
      <c r="D964" s="45" t="s">
        <v>109</v>
      </c>
      <c r="E964" s="47">
        <v>1</v>
      </c>
      <c r="F964" s="48">
        <v>958.3</v>
      </c>
      <c r="G964" s="48">
        <v>1632.4</v>
      </c>
    </row>
    <row r="965" spans="1:7" ht="10.050000000000001" customHeight="1">
      <c r="A965" s="45" t="s">
        <v>154</v>
      </c>
      <c r="B965" s="45" t="s">
        <v>81</v>
      </c>
      <c r="C965" s="46">
        <v>2009</v>
      </c>
      <c r="D965" s="45" t="s">
        <v>109</v>
      </c>
      <c r="E965" s="47">
        <v>2</v>
      </c>
      <c r="F965" s="48">
        <v>887.1</v>
      </c>
      <c r="G965" s="48">
        <v>1447.4</v>
      </c>
    </row>
    <row r="966" spans="1:7" ht="10.050000000000001" customHeight="1">
      <c r="A966" s="45" t="s">
        <v>154</v>
      </c>
      <c r="B966" s="45" t="s">
        <v>81</v>
      </c>
      <c r="C966" s="46">
        <v>2009</v>
      </c>
      <c r="D966" s="45" t="s">
        <v>109</v>
      </c>
      <c r="E966" s="47">
        <v>3</v>
      </c>
      <c r="F966" s="48">
        <v>1109.3</v>
      </c>
      <c r="G966" s="48">
        <v>1009.9</v>
      </c>
    </row>
    <row r="967" spans="1:7" ht="10.050000000000001" customHeight="1">
      <c r="A967" s="45" t="s">
        <v>154</v>
      </c>
      <c r="B967" s="45" t="s">
        <v>81</v>
      </c>
      <c r="C967" s="46">
        <v>2009</v>
      </c>
      <c r="D967" s="45" t="s">
        <v>109</v>
      </c>
      <c r="E967" s="47">
        <v>4</v>
      </c>
      <c r="F967" s="48">
        <v>1274</v>
      </c>
      <c r="G967" s="48">
        <v>769.6</v>
      </c>
    </row>
    <row r="968" spans="1:7" ht="10.050000000000001" customHeight="1">
      <c r="A968" s="45" t="s">
        <v>154</v>
      </c>
      <c r="B968" s="45" t="s">
        <v>81</v>
      </c>
      <c r="C968" s="46">
        <v>2009</v>
      </c>
      <c r="D968" s="45" t="s">
        <v>109</v>
      </c>
      <c r="E968" s="47">
        <v>5</v>
      </c>
      <c r="F968" s="48">
        <v>1351.6</v>
      </c>
      <c r="G968" s="48">
        <v>662</v>
      </c>
    </row>
    <row r="969" spans="1:7" ht="10.050000000000001" customHeight="1">
      <c r="A969" s="45" t="s">
        <v>154</v>
      </c>
      <c r="B969" s="45" t="s">
        <v>81</v>
      </c>
      <c r="C969" s="46">
        <v>2009</v>
      </c>
      <c r="D969" s="45" t="s">
        <v>109</v>
      </c>
      <c r="E969" s="47">
        <v>6</v>
      </c>
      <c r="F969" s="48">
        <v>1053.5999999999999</v>
      </c>
      <c r="G969" s="48">
        <v>287.60000000000002</v>
      </c>
    </row>
    <row r="970" spans="1:7" ht="10.050000000000001" customHeight="1">
      <c r="A970" s="45" t="s">
        <v>154</v>
      </c>
      <c r="B970" s="45" t="s">
        <v>81</v>
      </c>
      <c r="C970" s="46">
        <v>2009</v>
      </c>
      <c r="D970" s="45" t="s">
        <v>116</v>
      </c>
      <c r="E970" s="47">
        <v>7</v>
      </c>
      <c r="F970" s="48">
        <v>321.8</v>
      </c>
      <c r="G970" s="48">
        <v>174.9</v>
      </c>
    </row>
    <row r="971" spans="1:7" ht="10.050000000000001" customHeight="1">
      <c r="A971" s="45" t="s">
        <v>154</v>
      </c>
      <c r="B971" s="45" t="s">
        <v>81</v>
      </c>
      <c r="C971" s="46">
        <v>2009</v>
      </c>
      <c r="D971" s="45" t="s">
        <v>116</v>
      </c>
      <c r="E971" s="47">
        <v>8</v>
      </c>
      <c r="F971" s="48">
        <v>240</v>
      </c>
      <c r="G971" s="48">
        <v>158.1</v>
      </c>
    </row>
    <row r="972" spans="1:7" ht="10.050000000000001" customHeight="1">
      <c r="A972" s="45" t="s">
        <v>154</v>
      </c>
      <c r="B972" s="45" t="s">
        <v>81</v>
      </c>
      <c r="C972" s="46">
        <v>2009</v>
      </c>
      <c r="D972" s="45" t="s">
        <v>116</v>
      </c>
      <c r="E972" s="47">
        <v>9</v>
      </c>
      <c r="F972" s="48">
        <v>940.4</v>
      </c>
      <c r="G972" s="48">
        <v>1733</v>
      </c>
    </row>
    <row r="973" spans="1:7" ht="10.050000000000001" customHeight="1">
      <c r="A973" s="45" t="s">
        <v>154</v>
      </c>
      <c r="B973" s="45" t="s">
        <v>81</v>
      </c>
      <c r="C973" s="46">
        <v>2009</v>
      </c>
      <c r="D973" s="45" t="s">
        <v>116</v>
      </c>
      <c r="E973" s="47">
        <v>10</v>
      </c>
      <c r="F973" s="48">
        <v>1352.4</v>
      </c>
      <c r="G973" s="48">
        <v>1529.5</v>
      </c>
    </row>
    <row r="974" spans="1:7" ht="10.050000000000001" customHeight="1">
      <c r="A974" s="45" t="s">
        <v>154</v>
      </c>
      <c r="B974" s="45" t="s">
        <v>81</v>
      </c>
      <c r="C974" s="46">
        <v>2009</v>
      </c>
      <c r="D974" s="45" t="s">
        <v>116</v>
      </c>
      <c r="E974" s="47">
        <v>11</v>
      </c>
      <c r="F974" s="48">
        <v>949.5</v>
      </c>
      <c r="G974" s="48">
        <v>1003.4</v>
      </c>
    </row>
    <row r="975" spans="1:7" ht="10.050000000000001" customHeight="1">
      <c r="A975" s="45" t="s">
        <v>154</v>
      </c>
      <c r="B975" s="45" t="s">
        <v>81</v>
      </c>
      <c r="C975" s="46">
        <v>2009</v>
      </c>
      <c r="D975" s="45" t="s">
        <v>116</v>
      </c>
      <c r="E975" s="47">
        <v>12</v>
      </c>
      <c r="F975" s="48">
        <v>1027.2</v>
      </c>
      <c r="G975" s="48">
        <v>972.3</v>
      </c>
    </row>
    <row r="976" spans="1:7" ht="10.050000000000001" customHeight="1">
      <c r="A976" s="45" t="s">
        <v>154</v>
      </c>
      <c r="B976" s="45" t="s">
        <v>81</v>
      </c>
      <c r="C976" s="46">
        <v>2010</v>
      </c>
      <c r="D976" s="45" t="s">
        <v>116</v>
      </c>
      <c r="E976" s="47">
        <v>1</v>
      </c>
      <c r="F976" s="48">
        <v>833.6</v>
      </c>
      <c r="G976" s="48">
        <v>491.4</v>
      </c>
    </row>
    <row r="977" spans="1:7" ht="10.050000000000001" customHeight="1">
      <c r="A977" s="45" t="s">
        <v>154</v>
      </c>
      <c r="B977" s="45" t="s">
        <v>81</v>
      </c>
      <c r="C977" s="46">
        <v>2010</v>
      </c>
      <c r="D977" s="45" t="s">
        <v>116</v>
      </c>
      <c r="E977" s="47">
        <v>2</v>
      </c>
      <c r="F977" s="48">
        <v>812</v>
      </c>
      <c r="G977" s="48">
        <v>417.1</v>
      </c>
    </row>
    <row r="978" spans="1:7" ht="10.050000000000001" customHeight="1">
      <c r="A978" s="45" t="s">
        <v>154</v>
      </c>
      <c r="B978" s="45" t="s">
        <v>81</v>
      </c>
      <c r="C978" s="46">
        <v>2010</v>
      </c>
      <c r="D978" s="45" t="s">
        <v>116</v>
      </c>
      <c r="E978" s="47">
        <v>3</v>
      </c>
      <c r="F978" s="48">
        <v>1116</v>
      </c>
      <c r="G978" s="48">
        <v>492.5</v>
      </c>
    </row>
    <row r="979" spans="1:7" ht="10.050000000000001" customHeight="1">
      <c r="A979" s="45" t="s">
        <v>154</v>
      </c>
      <c r="B979" s="45" t="s">
        <v>81</v>
      </c>
      <c r="C979" s="46">
        <v>2010</v>
      </c>
      <c r="D979" s="45" t="s">
        <v>116</v>
      </c>
      <c r="E979" s="47">
        <v>4</v>
      </c>
      <c r="F979" s="48">
        <v>1124.9000000000001</v>
      </c>
      <c r="G979" s="48">
        <v>474.8</v>
      </c>
    </row>
    <row r="980" spans="1:7" ht="10.050000000000001" customHeight="1">
      <c r="A980" s="45" t="s">
        <v>154</v>
      </c>
      <c r="B980" s="45" t="s">
        <v>81</v>
      </c>
      <c r="C980" s="46">
        <v>2010</v>
      </c>
      <c r="D980" s="45" t="s">
        <v>116</v>
      </c>
      <c r="E980" s="47">
        <v>5</v>
      </c>
      <c r="F980" s="48">
        <v>1227.9000000000001</v>
      </c>
      <c r="G980" s="48">
        <v>290</v>
      </c>
    </row>
    <row r="981" spans="1:7" ht="10.050000000000001" customHeight="1">
      <c r="A981" s="45" t="s">
        <v>154</v>
      </c>
      <c r="B981" s="45" t="s">
        <v>81</v>
      </c>
      <c r="C981" s="46">
        <v>2010</v>
      </c>
      <c r="D981" s="45" t="s">
        <v>116</v>
      </c>
      <c r="E981" s="47">
        <v>6</v>
      </c>
      <c r="F981" s="48">
        <v>1329.6</v>
      </c>
      <c r="G981" s="48">
        <v>384.4</v>
      </c>
    </row>
    <row r="982" spans="1:7" ht="10.050000000000001" customHeight="1">
      <c r="A982" s="45" t="s">
        <v>154</v>
      </c>
      <c r="B982" s="45" t="s">
        <v>81</v>
      </c>
      <c r="C982" s="46">
        <v>2010</v>
      </c>
      <c r="D982" s="45" t="s">
        <v>117</v>
      </c>
      <c r="E982" s="47">
        <v>7</v>
      </c>
      <c r="F982" s="48">
        <v>767.8</v>
      </c>
      <c r="G982" s="48">
        <v>311.7</v>
      </c>
    </row>
    <row r="983" spans="1:7" ht="10.050000000000001" customHeight="1">
      <c r="A983" s="45" t="s">
        <v>154</v>
      </c>
      <c r="B983" s="45" t="s">
        <v>81</v>
      </c>
      <c r="C983" s="46">
        <v>2010</v>
      </c>
      <c r="D983" s="45" t="s">
        <v>117</v>
      </c>
      <c r="E983" s="47">
        <v>8</v>
      </c>
      <c r="F983" s="48">
        <v>566.4</v>
      </c>
      <c r="G983" s="48">
        <v>182.6</v>
      </c>
    </row>
    <row r="984" spans="1:7" ht="10.050000000000001" customHeight="1">
      <c r="A984" s="45" t="s">
        <v>154</v>
      </c>
      <c r="B984" s="45" t="s">
        <v>81</v>
      </c>
      <c r="C984" s="46">
        <v>2010</v>
      </c>
      <c r="D984" s="45" t="s">
        <v>117</v>
      </c>
      <c r="E984" s="47">
        <v>9</v>
      </c>
      <c r="F984" s="48">
        <v>848.7</v>
      </c>
      <c r="G984" s="48">
        <v>343.6</v>
      </c>
    </row>
    <row r="985" spans="1:7" ht="10.050000000000001" customHeight="1">
      <c r="A985" s="45" t="s">
        <v>154</v>
      </c>
      <c r="B985" s="45" t="s">
        <v>81</v>
      </c>
      <c r="C985" s="46">
        <v>2010</v>
      </c>
      <c r="D985" s="45" t="s">
        <v>117</v>
      </c>
      <c r="E985" s="47">
        <v>10</v>
      </c>
      <c r="F985" s="48">
        <v>631.20000000000005</v>
      </c>
      <c r="G985" s="48">
        <v>249.6</v>
      </c>
    </row>
    <row r="986" spans="1:7" ht="10.050000000000001" customHeight="1">
      <c r="A986" s="45" t="s">
        <v>154</v>
      </c>
      <c r="B986" s="45" t="s">
        <v>81</v>
      </c>
      <c r="C986" s="46">
        <v>2010</v>
      </c>
      <c r="D986" s="45" t="s">
        <v>117</v>
      </c>
      <c r="E986" s="47">
        <v>11</v>
      </c>
      <c r="F986" s="48">
        <v>692</v>
      </c>
      <c r="G986" s="48">
        <v>330.2</v>
      </c>
    </row>
    <row r="987" spans="1:7" ht="10.050000000000001" customHeight="1">
      <c r="A987" s="45" t="s">
        <v>154</v>
      </c>
      <c r="B987" s="45" t="s">
        <v>81</v>
      </c>
      <c r="C987" s="46">
        <v>2010</v>
      </c>
      <c r="D987" s="45" t="s">
        <v>117</v>
      </c>
      <c r="E987" s="47">
        <v>12</v>
      </c>
      <c r="F987" s="48">
        <v>1504.1</v>
      </c>
      <c r="G987" s="48">
        <v>999.1</v>
      </c>
    </row>
    <row r="988" spans="1:7" ht="10.050000000000001" customHeight="1">
      <c r="A988" s="45" t="s">
        <v>154</v>
      </c>
      <c r="B988" s="45" t="s">
        <v>81</v>
      </c>
      <c r="C988" s="46">
        <v>2011</v>
      </c>
      <c r="D988" s="45" t="s">
        <v>117</v>
      </c>
      <c r="E988" s="47">
        <v>1</v>
      </c>
      <c r="F988" s="48">
        <v>722.3</v>
      </c>
      <c r="G988" s="48">
        <v>1335.4</v>
      </c>
    </row>
    <row r="989" spans="1:7" ht="10.050000000000001" customHeight="1">
      <c r="A989" s="45" t="s">
        <v>154</v>
      </c>
      <c r="B989" s="45" t="s">
        <v>81</v>
      </c>
      <c r="C989" s="46">
        <v>2011</v>
      </c>
      <c r="D989" s="45" t="s">
        <v>117</v>
      </c>
      <c r="E989" s="47">
        <v>2</v>
      </c>
      <c r="F989" s="48">
        <v>547.029</v>
      </c>
      <c r="G989" s="48">
        <v>1659.6</v>
      </c>
    </row>
    <row r="990" spans="1:7" ht="10.050000000000001" customHeight="1">
      <c r="A990" s="45" t="s">
        <v>154</v>
      </c>
      <c r="B990" s="45" t="s">
        <v>81</v>
      </c>
      <c r="C990" s="46">
        <v>2011</v>
      </c>
      <c r="D990" s="45" t="s">
        <v>117</v>
      </c>
      <c r="E990" s="47">
        <v>3</v>
      </c>
      <c r="F990" s="48">
        <v>539.40899999999999</v>
      </c>
      <c r="G990" s="48">
        <v>1643.1</v>
      </c>
    </row>
    <row r="991" spans="1:7" ht="10.050000000000001" customHeight="1">
      <c r="A991" s="45" t="s">
        <v>154</v>
      </c>
      <c r="B991" s="45" t="s">
        <v>81</v>
      </c>
      <c r="C991" s="46">
        <v>2011</v>
      </c>
      <c r="D991" s="45" t="s">
        <v>117</v>
      </c>
      <c r="E991" s="47">
        <v>4</v>
      </c>
      <c r="F991" s="48">
        <v>874.746000000001</v>
      </c>
      <c r="G991" s="48">
        <v>1370.3</v>
      </c>
    </row>
    <row r="992" spans="1:7" ht="10.050000000000001" customHeight="1">
      <c r="A992" s="45" t="s">
        <v>154</v>
      </c>
      <c r="B992" s="45" t="s">
        <v>81</v>
      </c>
      <c r="C992" s="46">
        <v>2011</v>
      </c>
      <c r="D992" s="45" t="s">
        <v>117</v>
      </c>
      <c r="E992" s="47">
        <v>5</v>
      </c>
      <c r="F992" s="48">
        <v>810.827</v>
      </c>
      <c r="G992" s="48">
        <v>1230.0999999999999</v>
      </c>
    </row>
    <row r="993" spans="1:7" ht="10.050000000000001" customHeight="1">
      <c r="A993" s="45" t="s">
        <v>154</v>
      </c>
      <c r="B993" s="45" t="s">
        <v>81</v>
      </c>
      <c r="C993" s="46">
        <v>2011</v>
      </c>
      <c r="D993" s="45" t="s">
        <v>117</v>
      </c>
      <c r="E993" s="47">
        <v>6</v>
      </c>
      <c r="F993" s="48">
        <v>1026.7560000000001</v>
      </c>
      <c r="G993" s="48">
        <v>1169.8</v>
      </c>
    </row>
    <row r="994" spans="1:7" ht="10.050000000000001" customHeight="1">
      <c r="A994" s="45" t="s">
        <v>154</v>
      </c>
      <c r="B994" s="45" t="s">
        <v>81</v>
      </c>
      <c r="C994" s="46">
        <v>2011</v>
      </c>
      <c r="D994" s="45" t="s">
        <v>118</v>
      </c>
      <c r="E994" s="47">
        <v>7</v>
      </c>
      <c r="F994" s="48">
        <v>1018.415</v>
      </c>
      <c r="G994" s="48">
        <v>846.71</v>
      </c>
    </row>
    <row r="995" spans="1:7" ht="10.050000000000001" customHeight="1">
      <c r="A995" s="45" t="s">
        <v>154</v>
      </c>
      <c r="B995" s="45" t="s">
        <v>81</v>
      </c>
      <c r="C995" s="46">
        <v>2011</v>
      </c>
      <c r="D995" s="45" t="s">
        <v>118</v>
      </c>
      <c r="E995" s="47">
        <v>8</v>
      </c>
      <c r="F995" s="48">
        <v>869.63099999999997</v>
      </c>
      <c r="G995" s="48">
        <v>1030.1199999999999</v>
      </c>
    </row>
    <row r="996" spans="1:7" ht="10.050000000000001" customHeight="1">
      <c r="A996" s="45" t="s">
        <v>154</v>
      </c>
      <c r="B996" s="45" t="s">
        <v>81</v>
      </c>
      <c r="C996" s="46">
        <v>2011</v>
      </c>
      <c r="D996" s="45" t="s">
        <v>118</v>
      </c>
      <c r="E996" s="47">
        <v>9</v>
      </c>
      <c r="F996" s="48">
        <v>1298.6479999999999</v>
      </c>
      <c r="G996" s="48">
        <v>1103.1500000000001</v>
      </c>
    </row>
    <row r="997" spans="1:7" ht="10.050000000000001" customHeight="1">
      <c r="A997" s="45" t="s">
        <v>154</v>
      </c>
      <c r="B997" s="45" t="s">
        <v>81</v>
      </c>
      <c r="C997" s="46">
        <v>2011</v>
      </c>
      <c r="D997" s="45" t="s">
        <v>118</v>
      </c>
      <c r="E997" s="47">
        <v>10</v>
      </c>
      <c r="F997" s="48">
        <v>1225.5930000000001</v>
      </c>
      <c r="G997" s="48">
        <v>881.19</v>
      </c>
    </row>
    <row r="998" spans="1:7" ht="10.050000000000001" customHeight="1">
      <c r="A998" s="45" t="s">
        <v>154</v>
      </c>
      <c r="B998" s="45" t="s">
        <v>81</v>
      </c>
      <c r="C998" s="46">
        <v>2011</v>
      </c>
      <c r="D998" s="45" t="s">
        <v>118</v>
      </c>
      <c r="E998" s="47">
        <v>11</v>
      </c>
      <c r="F998" s="48">
        <v>1100.7950000000001</v>
      </c>
      <c r="G998" s="48">
        <v>972.07</v>
      </c>
    </row>
    <row r="999" spans="1:7" ht="10.050000000000001" customHeight="1">
      <c r="A999" s="45" t="s">
        <v>154</v>
      </c>
      <c r="B999" s="45" t="s">
        <v>81</v>
      </c>
      <c r="C999" s="46">
        <v>2011</v>
      </c>
      <c r="D999" s="45" t="s">
        <v>118</v>
      </c>
      <c r="E999" s="47">
        <v>12</v>
      </c>
      <c r="F999" s="48">
        <v>1004.075</v>
      </c>
      <c r="G999" s="48">
        <v>878.5</v>
      </c>
    </row>
    <row r="1000" spans="1:7" ht="10.050000000000001" customHeight="1">
      <c r="A1000" s="45" t="s">
        <v>154</v>
      </c>
      <c r="B1000" s="45" t="s">
        <v>81</v>
      </c>
      <c r="C1000" s="46">
        <v>2012</v>
      </c>
      <c r="D1000" s="45" t="s">
        <v>118</v>
      </c>
      <c r="E1000" s="47">
        <v>1</v>
      </c>
      <c r="F1000" s="48">
        <v>1021.832</v>
      </c>
      <c r="G1000" s="48">
        <v>1014.77</v>
      </c>
    </row>
    <row r="1001" spans="1:7" ht="10.050000000000001" customHeight="1">
      <c r="A1001" s="45" t="s">
        <v>154</v>
      </c>
      <c r="B1001" s="45" t="s">
        <v>81</v>
      </c>
      <c r="C1001" s="46">
        <v>2012</v>
      </c>
      <c r="D1001" s="45" t="s">
        <v>118</v>
      </c>
      <c r="E1001" s="47">
        <v>2</v>
      </c>
      <c r="F1001" s="48">
        <v>1254.7360000000001</v>
      </c>
      <c r="G1001" s="48">
        <v>961.27</v>
      </c>
    </row>
    <row r="1002" spans="1:7" ht="10.050000000000001" customHeight="1">
      <c r="A1002" s="45" t="s">
        <v>154</v>
      </c>
      <c r="B1002" s="45" t="s">
        <v>81</v>
      </c>
      <c r="C1002" s="46">
        <v>2012</v>
      </c>
      <c r="D1002" s="45" t="s">
        <v>118</v>
      </c>
      <c r="E1002" s="47">
        <v>3</v>
      </c>
      <c r="F1002" s="48">
        <v>1067.0329999999999</v>
      </c>
      <c r="G1002" s="48">
        <v>864.88</v>
      </c>
    </row>
    <row r="1003" spans="1:7" ht="10.050000000000001" customHeight="1">
      <c r="A1003" s="45" t="s">
        <v>154</v>
      </c>
      <c r="B1003" s="45" t="s">
        <v>81</v>
      </c>
      <c r="C1003" s="46">
        <v>2012</v>
      </c>
      <c r="D1003" s="45" t="s">
        <v>118</v>
      </c>
      <c r="E1003" s="47">
        <v>4</v>
      </c>
      <c r="F1003" s="48">
        <v>899.99599999999998</v>
      </c>
      <c r="G1003" s="48">
        <v>769.56500000000005</v>
      </c>
    </row>
    <row r="1004" spans="1:7" ht="10.050000000000001" customHeight="1">
      <c r="A1004" s="45" t="s">
        <v>154</v>
      </c>
      <c r="B1004" s="45" t="s">
        <v>81</v>
      </c>
      <c r="C1004" s="46">
        <v>2012</v>
      </c>
      <c r="D1004" s="45" t="s">
        <v>118</v>
      </c>
      <c r="E1004" s="47">
        <v>5</v>
      </c>
      <c r="F1004" s="48">
        <v>813.8</v>
      </c>
      <c r="G1004" s="48">
        <v>717.82</v>
      </c>
    </row>
    <row r="1005" spans="1:7" ht="10.050000000000001" customHeight="1">
      <c r="A1005" s="45" t="s">
        <v>154</v>
      </c>
      <c r="B1005" s="45" t="s">
        <v>81</v>
      </c>
      <c r="C1005" s="46">
        <v>2012</v>
      </c>
      <c r="D1005" s="45" t="s">
        <v>118</v>
      </c>
      <c r="E1005" s="47">
        <v>6</v>
      </c>
      <c r="F1005" s="48">
        <v>762.16399999999999</v>
      </c>
      <c r="G1005" s="48">
        <v>835.64</v>
      </c>
    </row>
    <row r="1006" spans="1:7" ht="10.050000000000001" customHeight="1">
      <c r="A1006" s="45" t="s">
        <v>154</v>
      </c>
      <c r="B1006" s="45" t="s">
        <v>81</v>
      </c>
      <c r="C1006" s="46">
        <v>2012</v>
      </c>
      <c r="D1006" s="45" t="s">
        <v>119</v>
      </c>
      <c r="E1006" s="47">
        <v>7</v>
      </c>
      <c r="F1006" s="48">
        <v>556.61699999999996</v>
      </c>
      <c r="G1006" s="48">
        <v>666.37</v>
      </c>
    </row>
    <row r="1007" spans="1:7" ht="10.050000000000001" customHeight="1">
      <c r="A1007" s="45" t="s">
        <v>154</v>
      </c>
      <c r="B1007" s="45" t="s">
        <v>81</v>
      </c>
      <c r="C1007" s="46">
        <v>2012</v>
      </c>
      <c r="D1007" s="45" t="s">
        <v>119</v>
      </c>
      <c r="E1007" s="47">
        <v>8</v>
      </c>
      <c r="F1007" s="48">
        <v>537.255</v>
      </c>
      <c r="G1007" s="48">
        <v>571.75</v>
      </c>
    </row>
    <row r="1008" spans="1:7" ht="10.050000000000001" customHeight="1">
      <c r="A1008" s="45" t="s">
        <v>154</v>
      </c>
      <c r="B1008" s="45" t="s">
        <v>81</v>
      </c>
      <c r="C1008" s="46">
        <v>2012</v>
      </c>
      <c r="D1008" s="45" t="s">
        <v>119</v>
      </c>
      <c r="E1008" s="47">
        <v>9</v>
      </c>
      <c r="F1008" s="48">
        <v>483.988</v>
      </c>
      <c r="G1008" s="48">
        <v>434.86</v>
      </c>
    </row>
    <row r="1009" spans="1:7" ht="10.050000000000001" customHeight="1">
      <c r="A1009" s="45" t="s">
        <v>154</v>
      </c>
      <c r="B1009" s="45" t="s">
        <v>81</v>
      </c>
      <c r="C1009" s="46">
        <v>2012</v>
      </c>
      <c r="D1009" s="45" t="s">
        <v>119</v>
      </c>
      <c r="E1009" s="47">
        <v>10</v>
      </c>
      <c r="F1009" s="48">
        <v>472.209</v>
      </c>
      <c r="G1009" s="48">
        <v>390.49</v>
      </c>
    </row>
    <row r="1010" spans="1:7" ht="10.050000000000001" customHeight="1">
      <c r="A1010" s="45" t="s">
        <v>154</v>
      </c>
      <c r="B1010" s="45" t="s">
        <v>81</v>
      </c>
      <c r="C1010" s="46">
        <v>2012</v>
      </c>
      <c r="D1010" s="45" t="s">
        <v>119</v>
      </c>
      <c r="E1010" s="47">
        <v>11</v>
      </c>
      <c r="F1010" s="48">
        <v>513.82899999999995</v>
      </c>
      <c r="G1010" s="48">
        <v>198.73</v>
      </c>
    </row>
    <row r="1011" spans="1:7" ht="10.050000000000001" customHeight="1">
      <c r="A1011" s="45" t="s">
        <v>154</v>
      </c>
      <c r="B1011" s="45" t="s">
        <v>81</v>
      </c>
      <c r="C1011" s="46">
        <v>2012</v>
      </c>
      <c r="D1011" s="45" t="s">
        <v>119</v>
      </c>
      <c r="E1011" s="47">
        <v>12</v>
      </c>
      <c r="F1011" s="48">
        <v>637.19500000000005</v>
      </c>
      <c r="G1011" s="48">
        <v>220.08</v>
      </c>
    </row>
    <row r="1012" spans="1:7" ht="10.050000000000001" customHeight="1">
      <c r="A1012" s="45" t="s">
        <v>154</v>
      </c>
      <c r="B1012" s="45" t="s">
        <v>81</v>
      </c>
      <c r="C1012" s="46">
        <v>2013</v>
      </c>
      <c r="D1012" s="45" t="s">
        <v>119</v>
      </c>
      <c r="E1012" s="47">
        <v>1</v>
      </c>
      <c r="F1012" s="48">
        <v>579.22400000000005</v>
      </c>
      <c r="G1012" s="48">
        <v>542.38499999999999</v>
      </c>
    </row>
    <row r="1013" spans="1:7" ht="10.050000000000001" customHeight="1">
      <c r="A1013" s="45" t="s">
        <v>154</v>
      </c>
      <c r="B1013" s="45" t="s">
        <v>81</v>
      </c>
      <c r="C1013" s="46">
        <v>2013</v>
      </c>
      <c r="D1013" s="45" t="s">
        <v>119</v>
      </c>
      <c r="E1013" s="47">
        <v>2</v>
      </c>
      <c r="F1013" s="48">
        <v>573.74199999999996</v>
      </c>
      <c r="G1013" s="48">
        <v>536.03</v>
      </c>
    </row>
    <row r="1014" spans="1:7" ht="10.050000000000001" customHeight="1">
      <c r="A1014" s="45" t="s">
        <v>154</v>
      </c>
      <c r="B1014" s="45" t="s">
        <v>81</v>
      </c>
      <c r="C1014" s="46">
        <v>2013</v>
      </c>
      <c r="D1014" s="45" t="s">
        <v>119</v>
      </c>
      <c r="E1014" s="47">
        <v>3</v>
      </c>
      <c r="F1014" s="48">
        <v>692.76199999999994</v>
      </c>
      <c r="G1014" s="48">
        <v>405.15499999999997</v>
      </c>
    </row>
    <row r="1015" spans="1:7" ht="10.050000000000001" customHeight="1">
      <c r="A1015" s="45" t="s">
        <v>154</v>
      </c>
      <c r="B1015" s="45" t="s">
        <v>81</v>
      </c>
      <c r="C1015" s="46">
        <v>2013</v>
      </c>
      <c r="D1015" s="45" t="s">
        <v>119</v>
      </c>
      <c r="E1015" s="47">
        <v>4</v>
      </c>
      <c r="F1015" s="48">
        <v>518.49900000000002</v>
      </c>
      <c r="G1015" s="48">
        <v>254.375</v>
      </c>
    </row>
    <row r="1016" spans="1:7" ht="10.050000000000001" customHeight="1">
      <c r="A1016" s="45" t="s">
        <v>154</v>
      </c>
      <c r="B1016" s="45" t="s">
        <v>81</v>
      </c>
      <c r="C1016" s="46">
        <v>2013</v>
      </c>
      <c r="D1016" s="45" t="s">
        <v>119</v>
      </c>
      <c r="E1016" s="47">
        <v>5</v>
      </c>
      <c r="F1016" s="48">
        <v>571.92899999999997</v>
      </c>
      <c r="G1016" s="48">
        <v>292.09500000000003</v>
      </c>
    </row>
    <row r="1017" spans="1:7" ht="10.050000000000001" customHeight="1">
      <c r="A1017" s="45" t="s">
        <v>154</v>
      </c>
      <c r="B1017" s="45" t="s">
        <v>81</v>
      </c>
      <c r="C1017" s="46">
        <v>2013</v>
      </c>
      <c r="D1017" s="45" t="s">
        <v>119</v>
      </c>
      <c r="E1017" s="47">
        <v>6</v>
      </c>
      <c r="F1017" s="48">
        <v>434.21300000000002</v>
      </c>
      <c r="G1017" s="48">
        <v>397.27</v>
      </c>
    </row>
    <row r="1018" spans="1:7" ht="10.050000000000001" customHeight="1">
      <c r="A1018" s="45" t="s">
        <v>154</v>
      </c>
      <c r="B1018" s="45" t="s">
        <v>81</v>
      </c>
      <c r="C1018" s="46">
        <v>2013</v>
      </c>
      <c r="D1018" s="45" t="s">
        <v>120</v>
      </c>
      <c r="E1018" s="47">
        <v>7</v>
      </c>
      <c r="F1018" s="48">
        <v>545.46699999999998</v>
      </c>
      <c r="G1018" s="48">
        <v>286.77</v>
      </c>
    </row>
    <row r="1019" spans="1:7" ht="10.050000000000001" customHeight="1">
      <c r="A1019" s="45" t="s">
        <v>154</v>
      </c>
      <c r="B1019" s="45" t="s">
        <v>81</v>
      </c>
      <c r="C1019" s="46">
        <v>2013</v>
      </c>
      <c r="D1019" s="45" t="s">
        <v>120</v>
      </c>
      <c r="E1019" s="47">
        <v>8</v>
      </c>
      <c r="F1019" s="48">
        <v>434.50599999999997</v>
      </c>
      <c r="G1019" s="48">
        <v>289.17</v>
      </c>
    </row>
    <row r="1020" spans="1:7" ht="10.050000000000001" customHeight="1">
      <c r="A1020" s="45" t="s">
        <v>154</v>
      </c>
      <c r="B1020" s="45" t="s">
        <v>81</v>
      </c>
      <c r="C1020" s="46">
        <v>2013</v>
      </c>
      <c r="D1020" s="45" t="s">
        <v>120</v>
      </c>
      <c r="E1020" s="47">
        <v>9</v>
      </c>
      <c r="F1020" s="48">
        <v>752.495</v>
      </c>
      <c r="G1020" s="48">
        <v>414.25</v>
      </c>
    </row>
    <row r="1021" spans="1:7" ht="10.050000000000001" customHeight="1">
      <c r="A1021" s="45" t="s">
        <v>154</v>
      </c>
      <c r="B1021" s="45" t="s">
        <v>81</v>
      </c>
      <c r="C1021" s="46">
        <v>2013</v>
      </c>
      <c r="D1021" s="45" t="s">
        <v>120</v>
      </c>
      <c r="E1021" s="47">
        <v>10</v>
      </c>
      <c r="F1021" s="48">
        <v>962.35599999999999</v>
      </c>
      <c r="G1021" s="48">
        <v>528.27</v>
      </c>
    </row>
    <row r="1022" spans="1:7" ht="10.050000000000001" customHeight="1">
      <c r="A1022" s="45" t="s">
        <v>154</v>
      </c>
      <c r="B1022" s="45" t="s">
        <v>81</v>
      </c>
      <c r="C1022" s="46">
        <v>2013</v>
      </c>
      <c r="D1022" s="45" t="s">
        <v>120</v>
      </c>
      <c r="E1022" s="47">
        <v>11</v>
      </c>
      <c r="F1022" s="48">
        <v>841.43799999999999</v>
      </c>
      <c r="G1022" s="48">
        <v>653.76</v>
      </c>
    </row>
    <row r="1023" spans="1:7" ht="10.050000000000001" customHeight="1">
      <c r="A1023" s="45" t="s">
        <v>154</v>
      </c>
      <c r="B1023" s="45" t="s">
        <v>81</v>
      </c>
      <c r="C1023" s="46">
        <v>2013</v>
      </c>
      <c r="D1023" s="45" t="s">
        <v>120</v>
      </c>
      <c r="E1023" s="47">
        <v>12</v>
      </c>
      <c r="F1023" s="48">
        <v>1103.6579999999999</v>
      </c>
      <c r="G1023" s="48">
        <v>604.92999999999995</v>
      </c>
    </row>
    <row r="1024" spans="1:7" ht="10.050000000000001" customHeight="1">
      <c r="A1024" s="45" t="s">
        <v>154</v>
      </c>
      <c r="B1024" s="45" t="s">
        <v>81</v>
      </c>
      <c r="C1024" s="46">
        <v>2014</v>
      </c>
      <c r="D1024" s="45" t="s">
        <v>120</v>
      </c>
      <c r="E1024" s="47">
        <v>1</v>
      </c>
      <c r="F1024" s="48">
        <v>1081.691</v>
      </c>
      <c r="G1024" s="48">
        <v>744.73</v>
      </c>
    </row>
    <row r="1025" spans="1:7" ht="10.050000000000001" customHeight="1">
      <c r="A1025" s="45" t="s">
        <v>154</v>
      </c>
      <c r="B1025" s="45" t="s">
        <v>81</v>
      </c>
      <c r="C1025" s="46">
        <v>2014</v>
      </c>
      <c r="D1025" s="45" t="s">
        <v>120</v>
      </c>
      <c r="E1025" s="47">
        <v>2</v>
      </c>
      <c r="F1025" s="48">
        <v>937.3</v>
      </c>
      <c r="G1025" s="48">
        <v>659.03</v>
      </c>
    </row>
    <row r="1026" spans="1:7" ht="10.050000000000001" customHeight="1">
      <c r="A1026" s="45" t="s">
        <v>154</v>
      </c>
      <c r="B1026" s="45" t="s">
        <v>81</v>
      </c>
      <c r="C1026" s="46">
        <v>2014</v>
      </c>
      <c r="D1026" s="45" t="s">
        <v>120</v>
      </c>
      <c r="E1026" s="47">
        <v>3</v>
      </c>
      <c r="F1026" s="48">
        <v>1066.5050000000001</v>
      </c>
      <c r="G1026" s="48">
        <v>725.99</v>
      </c>
    </row>
    <row r="1027" spans="1:7" ht="10.050000000000001" customHeight="1">
      <c r="A1027" s="45" t="s">
        <v>154</v>
      </c>
      <c r="B1027" s="45" t="s">
        <v>81</v>
      </c>
      <c r="C1027" s="46">
        <v>2014</v>
      </c>
      <c r="D1027" s="45" t="s">
        <v>120</v>
      </c>
      <c r="E1027" s="47">
        <v>4</v>
      </c>
      <c r="F1027" s="48">
        <v>1247.0940000000001</v>
      </c>
      <c r="G1027" s="48">
        <v>702.6</v>
      </c>
    </row>
    <row r="1028" spans="1:7" ht="10.050000000000001" customHeight="1">
      <c r="A1028" s="45" t="s">
        <v>154</v>
      </c>
      <c r="B1028" s="45" t="s">
        <v>81</v>
      </c>
      <c r="C1028" s="46">
        <v>2014</v>
      </c>
      <c r="D1028" s="45" t="s">
        <v>120</v>
      </c>
      <c r="E1028" s="47">
        <v>5</v>
      </c>
      <c r="F1028" s="48">
        <v>1460.943</v>
      </c>
      <c r="G1028" s="48">
        <v>547.54999999999995</v>
      </c>
    </row>
    <row r="1029" spans="1:7" ht="10.050000000000001" customHeight="1">
      <c r="A1029" s="45" t="s">
        <v>154</v>
      </c>
      <c r="B1029" s="45" t="s">
        <v>81</v>
      </c>
      <c r="C1029" s="46">
        <v>2014</v>
      </c>
      <c r="D1029" s="45" t="s">
        <v>120</v>
      </c>
      <c r="E1029" s="47">
        <v>6</v>
      </c>
      <c r="F1029" s="48">
        <v>1120.095</v>
      </c>
      <c r="G1029" s="48">
        <v>701.22500000000002</v>
      </c>
    </row>
    <row r="1030" spans="1:7" ht="10.050000000000001" customHeight="1">
      <c r="A1030" s="45" t="s">
        <v>154</v>
      </c>
      <c r="B1030" s="45" t="s">
        <v>81</v>
      </c>
      <c r="C1030" s="46">
        <v>2014</v>
      </c>
      <c r="D1030" s="45" t="s">
        <v>121</v>
      </c>
      <c r="E1030" s="47">
        <v>7</v>
      </c>
      <c r="F1030" s="48">
        <v>999.755</v>
      </c>
      <c r="G1030" s="48">
        <v>467.94499999999999</v>
      </c>
    </row>
    <row r="1031" spans="1:7" ht="10.050000000000001" customHeight="1">
      <c r="A1031" s="45" t="s">
        <v>154</v>
      </c>
      <c r="B1031" s="45" t="s">
        <v>81</v>
      </c>
      <c r="C1031" s="46">
        <v>2014</v>
      </c>
      <c r="D1031" s="45" t="s">
        <v>121</v>
      </c>
      <c r="E1031" s="47">
        <v>8</v>
      </c>
      <c r="F1031" s="48">
        <v>660.36500000000001</v>
      </c>
      <c r="G1031" s="48">
        <v>410.41500000000002</v>
      </c>
    </row>
    <row r="1032" spans="1:7" ht="10.050000000000001" customHeight="1">
      <c r="A1032" s="45" t="s">
        <v>154</v>
      </c>
      <c r="B1032" s="45" t="s">
        <v>81</v>
      </c>
      <c r="C1032" s="46">
        <v>2014</v>
      </c>
      <c r="D1032" s="45" t="s">
        <v>121</v>
      </c>
      <c r="E1032" s="47">
        <v>9</v>
      </c>
      <c r="F1032" s="48">
        <v>663.904</v>
      </c>
      <c r="G1032" s="48">
        <v>569.52</v>
      </c>
    </row>
    <row r="1033" spans="1:7" ht="10.050000000000001" customHeight="1">
      <c r="A1033" s="45" t="s">
        <v>154</v>
      </c>
      <c r="B1033" s="45" t="s">
        <v>81</v>
      </c>
      <c r="C1033" s="46">
        <v>2014</v>
      </c>
      <c r="D1033" s="45" t="s">
        <v>121</v>
      </c>
      <c r="E1033" s="47">
        <v>10</v>
      </c>
      <c r="F1033" s="48">
        <v>808.02099999999996</v>
      </c>
      <c r="G1033" s="48">
        <v>839.73</v>
      </c>
    </row>
    <row r="1034" spans="1:7" ht="10.050000000000001" customHeight="1">
      <c r="A1034" s="45" t="s">
        <v>154</v>
      </c>
      <c r="B1034" s="45" t="s">
        <v>81</v>
      </c>
      <c r="C1034" s="46">
        <v>2014</v>
      </c>
      <c r="D1034" s="45" t="s">
        <v>121</v>
      </c>
      <c r="E1034" s="47">
        <v>11</v>
      </c>
      <c r="F1034" s="48">
        <v>672.28200000000004</v>
      </c>
      <c r="G1034" s="48">
        <v>568.65499999999997</v>
      </c>
    </row>
    <row r="1035" spans="1:7" ht="10.050000000000001" customHeight="1">
      <c r="A1035" s="45" t="s">
        <v>154</v>
      </c>
      <c r="B1035" s="45" t="s">
        <v>81</v>
      </c>
      <c r="C1035" s="46">
        <v>2014</v>
      </c>
      <c r="D1035" s="45" t="s">
        <v>121</v>
      </c>
      <c r="E1035" s="47">
        <v>12</v>
      </c>
      <c r="F1035" s="48">
        <v>702.42200000000003</v>
      </c>
      <c r="G1035" s="48">
        <v>434.05500000000001</v>
      </c>
    </row>
    <row r="1036" spans="1:7" ht="10.050000000000001" customHeight="1">
      <c r="A1036" s="45" t="s">
        <v>154</v>
      </c>
      <c r="B1036" s="45" t="s">
        <v>81</v>
      </c>
      <c r="C1036" s="46">
        <v>2015</v>
      </c>
      <c r="D1036" s="45" t="s">
        <v>121</v>
      </c>
      <c r="E1036" s="47">
        <v>1</v>
      </c>
      <c r="F1036" s="48">
        <v>581.32600000000002</v>
      </c>
      <c r="G1036" s="48">
        <v>607.24</v>
      </c>
    </row>
    <row r="1037" spans="1:7" ht="10.050000000000001" customHeight="1">
      <c r="A1037" s="45" t="s">
        <v>154</v>
      </c>
      <c r="B1037" s="45" t="s">
        <v>81</v>
      </c>
      <c r="C1037" s="46">
        <v>2015</v>
      </c>
      <c r="D1037" s="45" t="s">
        <v>121</v>
      </c>
      <c r="E1037" s="47">
        <v>2</v>
      </c>
      <c r="F1037" s="48">
        <v>643.98699999999997</v>
      </c>
      <c r="G1037" s="48">
        <v>622.53</v>
      </c>
    </row>
    <row r="1038" spans="1:7" ht="10.050000000000001" customHeight="1">
      <c r="A1038" s="45" t="s">
        <v>154</v>
      </c>
      <c r="B1038" s="45" t="s">
        <v>81</v>
      </c>
      <c r="C1038" s="46">
        <v>2015</v>
      </c>
      <c r="D1038" s="45" t="s">
        <v>121</v>
      </c>
      <c r="E1038" s="47">
        <v>3</v>
      </c>
      <c r="F1038" s="48">
        <v>666.32600000000002</v>
      </c>
      <c r="G1038" s="48">
        <v>549.27</v>
      </c>
    </row>
    <row r="1039" spans="1:7" ht="10.050000000000001" customHeight="1">
      <c r="A1039" s="45" t="s">
        <v>154</v>
      </c>
      <c r="B1039" s="45" t="s">
        <v>81</v>
      </c>
      <c r="C1039" s="46">
        <v>2015</v>
      </c>
      <c r="D1039" s="45" t="s">
        <v>121</v>
      </c>
      <c r="E1039" s="47">
        <v>4</v>
      </c>
      <c r="F1039" s="48">
        <v>465.125</v>
      </c>
      <c r="G1039" s="48">
        <v>534.27</v>
      </c>
    </row>
    <row r="1040" spans="1:7" ht="10.050000000000001" customHeight="1">
      <c r="A1040" s="45" t="s">
        <v>154</v>
      </c>
      <c r="B1040" s="45" t="s">
        <v>81</v>
      </c>
      <c r="C1040" s="46">
        <v>2015</v>
      </c>
      <c r="D1040" s="45" t="s">
        <v>121</v>
      </c>
      <c r="E1040" s="47">
        <v>5</v>
      </c>
      <c r="F1040" s="48">
        <v>623.21</v>
      </c>
      <c r="G1040" s="48">
        <v>424.82</v>
      </c>
    </row>
    <row r="1041" spans="1:7" ht="10.050000000000001" customHeight="1">
      <c r="A1041" s="45" t="s">
        <v>154</v>
      </c>
      <c r="B1041" s="45" t="s">
        <v>81</v>
      </c>
      <c r="C1041" s="46">
        <v>2015</v>
      </c>
      <c r="D1041" s="45" t="s">
        <v>121</v>
      </c>
      <c r="E1041" s="47">
        <v>6</v>
      </c>
      <c r="F1041" s="48">
        <v>585.09</v>
      </c>
      <c r="G1041" s="48">
        <v>433.77</v>
      </c>
    </row>
    <row r="1042" spans="1:7" ht="10.050000000000001" customHeight="1">
      <c r="A1042" s="45" t="s">
        <v>154</v>
      </c>
      <c r="B1042" s="45" t="s">
        <v>81</v>
      </c>
      <c r="C1042" s="46">
        <v>2015</v>
      </c>
      <c r="D1042" s="45" t="s">
        <v>122</v>
      </c>
      <c r="E1042" s="47">
        <v>7</v>
      </c>
      <c r="F1042" s="48">
        <v>424.3</v>
      </c>
      <c r="G1042" s="48">
        <v>397.97</v>
      </c>
    </row>
    <row r="1043" spans="1:7" ht="10.050000000000001" customHeight="1">
      <c r="A1043" s="45" t="s">
        <v>154</v>
      </c>
      <c r="B1043" s="45" t="s">
        <v>81</v>
      </c>
      <c r="C1043" s="46">
        <v>2015</v>
      </c>
      <c r="D1043" s="45" t="s">
        <v>122</v>
      </c>
      <c r="E1043" s="47">
        <v>8</v>
      </c>
      <c r="F1043" s="48">
        <v>450.3</v>
      </c>
      <c r="G1043" s="48">
        <v>341.97</v>
      </c>
    </row>
    <row r="1044" spans="1:7" ht="10.050000000000001" customHeight="1">
      <c r="A1044" s="45" t="s">
        <v>154</v>
      </c>
      <c r="B1044" s="45" t="s">
        <v>81</v>
      </c>
      <c r="C1044" s="46">
        <v>2015</v>
      </c>
      <c r="D1044" s="45" t="s">
        <v>122</v>
      </c>
      <c r="E1044" s="47">
        <v>9</v>
      </c>
      <c r="F1044" s="48">
        <v>548.64</v>
      </c>
      <c r="G1044" s="48">
        <v>662.67</v>
      </c>
    </row>
    <row r="1045" spans="1:7" ht="10.050000000000001" customHeight="1">
      <c r="A1045" s="45" t="s">
        <v>154</v>
      </c>
      <c r="B1045" s="45" t="s">
        <v>81</v>
      </c>
      <c r="C1045" s="46">
        <v>2015</v>
      </c>
      <c r="D1045" s="45" t="s">
        <v>122</v>
      </c>
      <c r="E1045" s="47">
        <v>10</v>
      </c>
      <c r="F1045" s="48">
        <v>564.82899999999995</v>
      </c>
      <c r="G1045" s="48">
        <v>547.57000000000005</v>
      </c>
    </row>
    <row r="1046" spans="1:7" ht="10.050000000000001" customHeight="1">
      <c r="A1046" s="45" t="s">
        <v>154</v>
      </c>
      <c r="B1046" s="45" t="s">
        <v>81</v>
      </c>
      <c r="C1046" s="46">
        <v>2015</v>
      </c>
      <c r="D1046" s="45" t="s">
        <v>122</v>
      </c>
      <c r="E1046" s="47">
        <v>11</v>
      </c>
      <c r="F1046" s="48">
        <v>644.79999999999995</v>
      </c>
      <c r="G1046" s="48">
        <v>743.21</v>
      </c>
    </row>
    <row r="1047" spans="1:7" ht="10.050000000000001" customHeight="1">
      <c r="A1047" s="45" t="s">
        <v>154</v>
      </c>
      <c r="B1047" s="45" t="s">
        <v>81</v>
      </c>
      <c r="C1047" s="46">
        <v>2015</v>
      </c>
      <c r="D1047" s="45" t="s">
        <v>122</v>
      </c>
      <c r="E1047" s="47">
        <v>12</v>
      </c>
      <c r="F1047" s="48">
        <v>651.70000000000005</v>
      </c>
      <c r="G1047" s="48">
        <v>555.76</v>
      </c>
    </row>
    <row r="1048" spans="1:7" ht="10.050000000000001" customHeight="1">
      <c r="A1048" s="45" t="s">
        <v>154</v>
      </c>
      <c r="B1048" s="45" t="s">
        <v>81</v>
      </c>
      <c r="C1048" s="46">
        <v>2016</v>
      </c>
      <c r="D1048" s="45" t="s">
        <v>122</v>
      </c>
      <c r="E1048" s="47">
        <v>1</v>
      </c>
      <c r="F1048" s="48">
        <v>647.46</v>
      </c>
      <c r="G1048" s="48">
        <v>607.96</v>
      </c>
    </row>
    <row r="1049" spans="1:7" ht="10.050000000000001" customHeight="1">
      <c r="A1049" s="45" t="s">
        <v>154</v>
      </c>
      <c r="B1049" s="45" t="s">
        <v>81</v>
      </c>
      <c r="C1049" s="46">
        <v>2016</v>
      </c>
      <c r="D1049" s="45" t="s">
        <v>122</v>
      </c>
      <c r="E1049" s="47">
        <v>2</v>
      </c>
      <c r="F1049" s="48">
        <v>752.21</v>
      </c>
      <c r="G1049" s="48">
        <v>454.71</v>
      </c>
    </row>
    <row r="1050" spans="1:7" ht="10.050000000000001" customHeight="1">
      <c r="A1050" s="45" t="s">
        <v>154</v>
      </c>
      <c r="B1050" s="45" t="s">
        <v>81</v>
      </c>
      <c r="C1050" s="46">
        <v>2016</v>
      </c>
      <c r="D1050" s="45" t="s">
        <v>122</v>
      </c>
      <c r="E1050" s="47">
        <v>3</v>
      </c>
      <c r="F1050" s="48">
        <v>381.89</v>
      </c>
      <c r="G1050" s="48">
        <v>427.78</v>
      </c>
    </row>
    <row r="1051" spans="1:7" ht="10.050000000000001" customHeight="1">
      <c r="A1051" s="45" t="s">
        <v>154</v>
      </c>
      <c r="B1051" s="45" t="s">
        <v>81</v>
      </c>
      <c r="C1051" s="46">
        <v>2016</v>
      </c>
      <c r="D1051" s="45" t="s">
        <v>122</v>
      </c>
      <c r="E1051" s="47">
        <v>4</v>
      </c>
      <c r="F1051" s="48">
        <v>369.38</v>
      </c>
      <c r="G1051" s="48">
        <v>194.62</v>
      </c>
    </row>
    <row r="1052" spans="1:7" ht="10.050000000000001" customHeight="1">
      <c r="A1052" s="45" t="s">
        <v>154</v>
      </c>
      <c r="B1052" s="45" t="s">
        <v>81</v>
      </c>
      <c r="C1052" s="46">
        <v>2016</v>
      </c>
      <c r="D1052" s="45" t="s">
        <v>122</v>
      </c>
      <c r="E1052" s="47">
        <v>5</v>
      </c>
      <c r="F1052" s="48">
        <v>518.29999999999995</v>
      </c>
      <c r="G1052" s="48">
        <v>211.24</v>
      </c>
    </row>
    <row r="1053" spans="1:7" ht="10.050000000000001" customHeight="1">
      <c r="A1053" s="45" t="s">
        <v>154</v>
      </c>
      <c r="B1053" s="45" t="s">
        <v>81</v>
      </c>
      <c r="C1053" s="46">
        <v>2016</v>
      </c>
      <c r="D1053" s="45" t="s">
        <v>122</v>
      </c>
      <c r="E1053" s="47">
        <v>6</v>
      </c>
      <c r="F1053" s="48">
        <v>385.74</v>
      </c>
      <c r="G1053" s="48">
        <v>299.14</v>
      </c>
    </row>
    <row r="1054" spans="1:7" ht="10.050000000000001" customHeight="1">
      <c r="A1054" s="45" t="s">
        <v>154</v>
      </c>
      <c r="B1054" s="45" t="s">
        <v>81</v>
      </c>
      <c r="C1054" s="46">
        <v>2016</v>
      </c>
      <c r="D1054" s="45" t="s">
        <v>123</v>
      </c>
      <c r="E1054" s="47">
        <v>7</v>
      </c>
      <c r="F1054" s="48">
        <v>235.9</v>
      </c>
      <c r="G1054" s="48">
        <v>312.48</v>
      </c>
    </row>
    <row r="1055" spans="1:7" ht="10.050000000000001" customHeight="1">
      <c r="A1055" s="45" t="s">
        <v>154</v>
      </c>
      <c r="B1055" s="45" t="s">
        <v>81</v>
      </c>
      <c r="C1055" s="46">
        <v>2016</v>
      </c>
      <c r="D1055" s="45" t="s">
        <v>123</v>
      </c>
      <c r="E1055" s="47">
        <v>8</v>
      </c>
      <c r="F1055" s="48">
        <v>288.19</v>
      </c>
      <c r="G1055" s="48">
        <v>252.65</v>
      </c>
    </row>
    <row r="1056" spans="1:7" ht="10.050000000000001" customHeight="1">
      <c r="A1056" s="45" t="s">
        <v>154</v>
      </c>
      <c r="B1056" s="45" t="s">
        <v>81</v>
      </c>
      <c r="C1056" s="46">
        <v>2016</v>
      </c>
      <c r="D1056" s="45" t="s">
        <v>123</v>
      </c>
      <c r="E1056" s="47">
        <v>9</v>
      </c>
      <c r="F1056" s="48">
        <v>543.41999999999996</v>
      </c>
      <c r="G1056" s="48">
        <v>443.71</v>
      </c>
    </row>
    <row r="1057" spans="1:7" ht="10.050000000000001" customHeight="1">
      <c r="A1057" s="45" t="s">
        <v>154</v>
      </c>
      <c r="B1057" s="45" t="s">
        <v>81</v>
      </c>
      <c r="C1057" s="46">
        <v>2016</v>
      </c>
      <c r="D1057" s="45" t="s">
        <v>123</v>
      </c>
      <c r="E1057" s="47">
        <v>10</v>
      </c>
      <c r="F1057" s="48">
        <v>549.03</v>
      </c>
      <c r="G1057" s="48">
        <v>551.91999999999996</v>
      </c>
    </row>
    <row r="1058" spans="1:7" ht="10.050000000000001" customHeight="1">
      <c r="A1058" s="45" t="s">
        <v>154</v>
      </c>
      <c r="B1058" s="45" t="s">
        <v>81</v>
      </c>
      <c r="C1058" s="46">
        <v>2016</v>
      </c>
      <c r="D1058" s="45" t="s">
        <v>123</v>
      </c>
      <c r="E1058" s="47">
        <v>11</v>
      </c>
      <c r="F1058" s="48">
        <v>485.55099999999999</v>
      </c>
      <c r="G1058" s="48">
        <v>539.22</v>
      </c>
    </row>
    <row r="1059" spans="1:7" ht="10.050000000000001" customHeight="1">
      <c r="A1059" s="45" t="s">
        <v>154</v>
      </c>
      <c r="B1059" s="45" t="s">
        <v>81</v>
      </c>
      <c r="C1059" s="46">
        <v>2016</v>
      </c>
      <c r="D1059" s="45" t="s">
        <v>123</v>
      </c>
      <c r="E1059" s="47">
        <v>12</v>
      </c>
      <c r="F1059" s="48">
        <v>504.10599999999999</v>
      </c>
      <c r="G1059" s="48">
        <v>510.09</v>
      </c>
    </row>
    <row r="1060" spans="1:7" ht="10.050000000000001" customHeight="1">
      <c r="A1060" s="45" t="s">
        <v>154</v>
      </c>
      <c r="B1060" s="45" t="s">
        <v>81</v>
      </c>
      <c r="C1060" s="46">
        <v>2017</v>
      </c>
      <c r="D1060" s="45" t="s">
        <v>123</v>
      </c>
      <c r="E1060" s="47">
        <v>1</v>
      </c>
      <c r="F1060" s="48">
        <v>503.69400000000002</v>
      </c>
      <c r="G1060" s="48">
        <v>315.54199999999997</v>
      </c>
    </row>
    <row r="1061" spans="1:7" ht="10.050000000000001" customHeight="1">
      <c r="A1061" s="45" t="s">
        <v>154</v>
      </c>
      <c r="B1061" s="45" t="s">
        <v>81</v>
      </c>
      <c r="C1061" s="46">
        <v>2017</v>
      </c>
      <c r="D1061" s="45" t="s">
        <v>123</v>
      </c>
      <c r="E1061" s="47">
        <v>2</v>
      </c>
      <c r="F1061" s="48">
        <v>393.94299999999998</v>
      </c>
      <c r="G1061" s="48">
        <v>393.8</v>
      </c>
    </row>
    <row r="1062" spans="1:7" ht="10.050000000000001" customHeight="1">
      <c r="A1062" s="45" t="s">
        <v>154</v>
      </c>
      <c r="B1062" s="45" t="s">
        <v>81</v>
      </c>
      <c r="C1062" s="46">
        <v>2017</v>
      </c>
      <c r="D1062" s="45" t="s">
        <v>123</v>
      </c>
      <c r="E1062" s="47">
        <v>3</v>
      </c>
      <c r="F1062" s="48">
        <v>697.25099999999998</v>
      </c>
      <c r="G1062" s="48">
        <v>419.5</v>
      </c>
    </row>
    <row r="1063" spans="1:7" ht="10.050000000000001" customHeight="1">
      <c r="A1063" s="45" t="s">
        <v>154</v>
      </c>
      <c r="B1063" s="45" t="s">
        <v>81</v>
      </c>
      <c r="C1063" s="46">
        <v>2017</v>
      </c>
      <c r="D1063" s="45" t="s">
        <v>123</v>
      </c>
      <c r="E1063" s="47">
        <v>4</v>
      </c>
      <c r="F1063" s="48">
        <v>552.625</v>
      </c>
      <c r="G1063" s="48">
        <v>322.63499999999999</v>
      </c>
    </row>
    <row r="1064" spans="1:7" ht="10.050000000000001" customHeight="1">
      <c r="A1064" s="45" t="s">
        <v>154</v>
      </c>
      <c r="B1064" s="45" t="s">
        <v>81</v>
      </c>
      <c r="C1064" s="46">
        <v>2017</v>
      </c>
      <c r="D1064" s="45" t="s">
        <v>123</v>
      </c>
      <c r="E1064" s="47">
        <v>5</v>
      </c>
      <c r="F1064" s="48">
        <v>578.83500000000004</v>
      </c>
      <c r="G1064" s="48">
        <v>332</v>
      </c>
    </row>
    <row r="1065" spans="1:7" ht="10.050000000000001" customHeight="1">
      <c r="A1065" s="45" t="s">
        <v>154</v>
      </c>
      <c r="B1065" s="45" t="s">
        <v>81</v>
      </c>
      <c r="C1065" s="46">
        <v>2017</v>
      </c>
      <c r="D1065" s="45" t="s">
        <v>123</v>
      </c>
      <c r="E1065" s="47">
        <v>6</v>
      </c>
      <c r="F1065" s="48">
        <v>549.78899999999999</v>
      </c>
      <c r="G1065" s="48">
        <v>408.7</v>
      </c>
    </row>
    <row r="1066" spans="1:7" ht="10.050000000000001" customHeight="1">
      <c r="A1066" s="45" t="s">
        <v>154</v>
      </c>
      <c r="B1066" s="45" t="s">
        <v>81</v>
      </c>
      <c r="C1066" s="46">
        <v>2017</v>
      </c>
      <c r="D1066" s="45" t="s">
        <v>124</v>
      </c>
      <c r="E1066" s="47">
        <v>7</v>
      </c>
      <c r="F1066" s="48">
        <v>585.23299999999995</v>
      </c>
      <c r="G1066" s="48">
        <v>389.4</v>
      </c>
    </row>
    <row r="1067" spans="1:7" ht="10.050000000000001" customHeight="1">
      <c r="A1067" s="45" t="s">
        <v>154</v>
      </c>
      <c r="B1067" s="45" t="s">
        <v>81</v>
      </c>
      <c r="C1067" s="46">
        <v>2017</v>
      </c>
      <c r="D1067" s="45" t="s">
        <v>124</v>
      </c>
      <c r="E1067" s="47">
        <v>8</v>
      </c>
      <c r="F1067" s="48">
        <v>565.13499999999999</v>
      </c>
      <c r="G1067" s="48">
        <v>231.1</v>
      </c>
    </row>
    <row r="1068" spans="1:7" ht="10.050000000000001" customHeight="1">
      <c r="A1068" s="45" t="s">
        <v>154</v>
      </c>
      <c r="B1068" s="45" t="s">
        <v>81</v>
      </c>
      <c r="C1068" s="46">
        <v>2017</v>
      </c>
      <c r="D1068" s="45" t="s">
        <v>124</v>
      </c>
      <c r="E1068" s="47">
        <v>9</v>
      </c>
      <c r="F1068" s="48">
        <v>472.565</v>
      </c>
      <c r="G1068" s="48">
        <v>176.9</v>
      </c>
    </row>
    <row r="1069" spans="1:7" ht="10.050000000000001" customHeight="1">
      <c r="A1069" s="45" t="s">
        <v>154</v>
      </c>
      <c r="B1069" s="45" t="s">
        <v>81</v>
      </c>
      <c r="C1069" s="46">
        <v>2017</v>
      </c>
      <c r="D1069" s="45" t="s">
        <v>124</v>
      </c>
      <c r="E1069" s="47">
        <v>10</v>
      </c>
      <c r="F1069" s="48">
        <v>501.49400000000003</v>
      </c>
      <c r="G1069" s="48">
        <v>273.279</v>
      </c>
    </row>
    <row r="1070" spans="1:7" ht="10.050000000000001" customHeight="1">
      <c r="A1070" s="45" t="s">
        <v>154</v>
      </c>
      <c r="B1070" s="45" t="s">
        <v>81</v>
      </c>
      <c r="C1070" s="46">
        <v>2017</v>
      </c>
      <c r="D1070" s="45" t="s">
        <v>124</v>
      </c>
      <c r="E1070" s="47">
        <v>11</v>
      </c>
      <c r="F1070" s="48">
        <v>660.3</v>
      </c>
      <c r="G1070" s="48">
        <v>221.47900000000001</v>
      </c>
    </row>
    <row r="1071" spans="1:7" ht="10.050000000000001" customHeight="1">
      <c r="A1071" s="45" t="s">
        <v>154</v>
      </c>
      <c r="B1071" s="45" t="s">
        <v>81</v>
      </c>
      <c r="C1071" s="46">
        <v>2017</v>
      </c>
      <c r="D1071" s="45" t="s">
        <v>124</v>
      </c>
      <c r="E1071" s="47">
        <v>12</v>
      </c>
      <c r="F1071" s="48">
        <v>749.97900000000004</v>
      </c>
      <c r="G1071" s="48">
        <v>281.93299999999999</v>
      </c>
    </row>
    <row r="1072" spans="1:7" ht="10.050000000000001" customHeight="1">
      <c r="A1072" s="45" t="s">
        <v>154</v>
      </c>
      <c r="B1072" s="45" t="s">
        <v>81</v>
      </c>
      <c r="C1072" s="46">
        <v>2018</v>
      </c>
      <c r="D1072" s="45" t="s">
        <v>124</v>
      </c>
      <c r="E1072" s="47">
        <v>1</v>
      </c>
      <c r="F1072" s="48">
        <v>859.16</v>
      </c>
      <c r="G1072" s="48">
        <v>318.71600000000001</v>
      </c>
    </row>
    <row r="1073" spans="1:7" ht="10.050000000000001" customHeight="1">
      <c r="A1073" s="45" t="s">
        <v>154</v>
      </c>
      <c r="B1073" s="45" t="s">
        <v>81</v>
      </c>
      <c r="C1073" s="46">
        <v>2018</v>
      </c>
      <c r="D1073" s="45" t="s">
        <v>124</v>
      </c>
      <c r="E1073" s="47">
        <v>2</v>
      </c>
      <c r="F1073" s="48">
        <v>1047.3869999999999</v>
      </c>
      <c r="G1073" s="48">
        <v>394.03199999999998</v>
      </c>
    </row>
    <row r="1074" spans="1:7" ht="10.050000000000001" customHeight="1">
      <c r="A1074" s="45" t="s">
        <v>154</v>
      </c>
      <c r="B1074" s="45" t="s">
        <v>81</v>
      </c>
      <c r="C1074" s="46">
        <v>2018</v>
      </c>
      <c r="D1074" s="45" t="s">
        <v>124</v>
      </c>
      <c r="E1074" s="47">
        <v>3</v>
      </c>
      <c r="F1074" s="48">
        <v>940.50900000000001</v>
      </c>
      <c r="G1074" s="48">
        <v>363.99299999999999</v>
      </c>
    </row>
    <row r="1075" spans="1:7" ht="10.050000000000001" customHeight="1">
      <c r="A1075" s="45" t="s">
        <v>154</v>
      </c>
      <c r="B1075" s="45" t="s">
        <v>81</v>
      </c>
      <c r="C1075" s="46">
        <v>2018</v>
      </c>
      <c r="D1075" s="45" t="s">
        <v>124</v>
      </c>
      <c r="E1075" s="47">
        <v>4</v>
      </c>
      <c r="F1075" s="48">
        <v>834.572</v>
      </c>
      <c r="G1075" s="48">
        <v>424.47199999999998</v>
      </c>
    </row>
    <row r="1076" spans="1:7" ht="10.050000000000001" customHeight="1">
      <c r="A1076" s="45" t="s">
        <v>154</v>
      </c>
      <c r="B1076" s="45" t="s">
        <v>81</v>
      </c>
      <c r="C1076" s="46">
        <v>2018</v>
      </c>
      <c r="D1076" s="45" t="s">
        <v>124</v>
      </c>
      <c r="E1076" s="47">
        <v>5</v>
      </c>
      <c r="F1076" s="48">
        <v>731.04</v>
      </c>
      <c r="G1076" s="48">
        <v>395.13299999999998</v>
      </c>
    </row>
    <row r="1077" spans="1:7" ht="10.050000000000001" customHeight="1">
      <c r="A1077" s="45" t="s">
        <v>154</v>
      </c>
      <c r="B1077" s="45" t="s">
        <v>81</v>
      </c>
      <c r="C1077" s="46">
        <v>2018</v>
      </c>
      <c r="D1077" s="45" t="s">
        <v>124</v>
      </c>
      <c r="E1077" s="47">
        <v>6</v>
      </c>
      <c r="F1077" s="48">
        <v>1025.0719999999999</v>
      </c>
      <c r="G1077" s="48">
        <v>360.072</v>
      </c>
    </row>
    <row r="1078" spans="1:7" ht="10.050000000000001" customHeight="1">
      <c r="A1078" s="45" t="s">
        <v>154</v>
      </c>
      <c r="B1078" s="45" t="s">
        <v>81</v>
      </c>
      <c r="C1078" s="46">
        <v>2018</v>
      </c>
      <c r="D1078" s="45" t="s">
        <v>125</v>
      </c>
      <c r="E1078" s="47">
        <v>7</v>
      </c>
      <c r="F1078" s="48">
        <v>571.52200000000005</v>
      </c>
      <c r="G1078" s="48">
        <v>317.82299999999998</v>
      </c>
    </row>
    <row r="1079" spans="1:7" ht="10.050000000000001" customHeight="1">
      <c r="A1079" s="45" t="s">
        <v>154</v>
      </c>
      <c r="B1079" s="45" t="s">
        <v>81</v>
      </c>
      <c r="C1079" s="46">
        <v>2018</v>
      </c>
      <c r="D1079" s="45" t="s">
        <v>125</v>
      </c>
      <c r="E1079" s="47">
        <v>8</v>
      </c>
      <c r="F1079" s="48">
        <v>1234.3109999999999</v>
      </c>
      <c r="G1079" s="48">
        <v>534.12099999999998</v>
      </c>
    </row>
    <row r="1080" spans="1:7" ht="10.050000000000001" customHeight="1">
      <c r="A1080" s="45" t="s">
        <v>154</v>
      </c>
      <c r="B1080" s="45" t="s">
        <v>81</v>
      </c>
      <c r="C1080" s="46">
        <v>2018</v>
      </c>
      <c r="D1080" s="45" t="s">
        <v>125</v>
      </c>
      <c r="E1080" s="47">
        <v>9</v>
      </c>
      <c r="F1080" s="48">
        <v>895.98099999999999</v>
      </c>
      <c r="G1080" s="48">
        <v>298.88200000000001</v>
      </c>
    </row>
    <row r="1081" spans="1:7" ht="10.050000000000001" customHeight="1">
      <c r="A1081" s="45" t="s">
        <v>154</v>
      </c>
      <c r="B1081" s="45" t="s">
        <v>81</v>
      </c>
      <c r="C1081" s="46">
        <v>2018</v>
      </c>
      <c r="D1081" s="45" t="s">
        <v>125</v>
      </c>
      <c r="E1081" s="47">
        <v>10</v>
      </c>
      <c r="F1081" s="48">
        <v>896.90599999999995</v>
      </c>
      <c r="G1081" s="48">
        <v>394.34500000000003</v>
      </c>
    </row>
    <row r="1082" spans="1:7" ht="10.050000000000001" customHeight="1">
      <c r="A1082" s="45" t="s">
        <v>154</v>
      </c>
      <c r="B1082" s="45" t="s">
        <v>81</v>
      </c>
      <c r="C1082" s="46">
        <v>2018</v>
      </c>
      <c r="D1082" s="45" t="s">
        <v>125</v>
      </c>
      <c r="E1082" s="47">
        <v>11</v>
      </c>
      <c r="F1082" s="48">
        <v>792.22</v>
      </c>
      <c r="G1082" s="48">
        <v>489.89299999999997</v>
      </c>
    </row>
    <row r="1083" spans="1:7" ht="10.050000000000001" customHeight="1">
      <c r="A1083" s="45" t="s">
        <v>154</v>
      </c>
      <c r="B1083" s="45" t="s">
        <v>81</v>
      </c>
      <c r="C1083" s="46">
        <v>2018</v>
      </c>
      <c r="D1083" s="45" t="s">
        <v>125</v>
      </c>
      <c r="E1083" s="47">
        <v>12</v>
      </c>
      <c r="F1083" s="48">
        <v>682.221</v>
      </c>
      <c r="G1083" s="48">
        <v>343.25200000000001</v>
      </c>
    </row>
    <row r="1084" spans="1:7" ht="10.050000000000001" customHeight="1">
      <c r="A1084" s="45" t="s">
        <v>154</v>
      </c>
      <c r="B1084" s="45" t="s">
        <v>81</v>
      </c>
      <c r="C1084" s="46">
        <v>2019</v>
      </c>
      <c r="D1084" s="45" t="s">
        <v>125</v>
      </c>
      <c r="E1084" s="47">
        <v>1</v>
      </c>
      <c r="F1084" s="48">
        <v>664.71500000000003</v>
      </c>
      <c r="G1084" s="48">
        <v>462.64800000000002</v>
      </c>
    </row>
    <row r="1085" spans="1:7" ht="10.050000000000001" customHeight="1">
      <c r="A1085" s="45" t="s">
        <v>154</v>
      </c>
      <c r="B1085" s="45" t="s">
        <v>81</v>
      </c>
      <c r="C1085" s="46">
        <v>2019</v>
      </c>
      <c r="D1085" s="45" t="s">
        <v>125</v>
      </c>
      <c r="E1085" s="47">
        <v>2</v>
      </c>
      <c r="F1085" s="48">
        <v>728.846</v>
      </c>
      <c r="G1085" s="48">
        <v>303.07</v>
      </c>
    </row>
    <row r="1086" spans="1:7" ht="10.050000000000001" customHeight="1">
      <c r="A1086" s="45" t="s">
        <v>154</v>
      </c>
      <c r="B1086" s="45" t="s">
        <v>81</v>
      </c>
      <c r="C1086" s="46">
        <v>2019</v>
      </c>
      <c r="D1086" s="45" t="s">
        <v>125</v>
      </c>
      <c r="E1086" s="47">
        <v>3</v>
      </c>
      <c r="F1086" s="48">
        <v>685.21199999999999</v>
      </c>
      <c r="G1086" s="48">
        <v>283.84800000000001</v>
      </c>
    </row>
    <row r="1087" spans="1:7" ht="10.050000000000001" customHeight="1">
      <c r="A1087" s="45" t="s">
        <v>154</v>
      </c>
      <c r="B1087" s="45" t="s">
        <v>81</v>
      </c>
      <c r="C1087" s="46">
        <v>2019</v>
      </c>
      <c r="D1087" s="45" t="s">
        <v>125</v>
      </c>
      <c r="E1087" s="47">
        <v>4</v>
      </c>
      <c r="F1087" s="48">
        <v>620.947</v>
      </c>
      <c r="G1087" s="48">
        <v>241.38</v>
      </c>
    </row>
    <row r="1088" spans="1:7" ht="10.050000000000001" customHeight="1">
      <c r="A1088" s="45" t="s">
        <v>154</v>
      </c>
      <c r="B1088" s="45" t="s">
        <v>81</v>
      </c>
      <c r="C1088" s="46">
        <v>2019</v>
      </c>
      <c r="D1088" s="45" t="s">
        <v>125</v>
      </c>
      <c r="E1088" s="47">
        <v>5</v>
      </c>
      <c r="F1088" s="48">
        <v>516.25599999999997</v>
      </c>
      <c r="G1088" s="48">
        <v>231.82300000000001</v>
      </c>
    </row>
    <row r="1089" spans="1:7" ht="10.050000000000001" customHeight="1">
      <c r="A1089" s="45" t="s">
        <v>154</v>
      </c>
      <c r="B1089" s="45" t="s">
        <v>81</v>
      </c>
      <c r="C1089" s="46">
        <v>2019</v>
      </c>
      <c r="D1089" s="45" t="s">
        <v>125</v>
      </c>
      <c r="E1089" s="47">
        <v>6</v>
      </c>
      <c r="F1089" s="48">
        <v>1179.731</v>
      </c>
      <c r="G1089" s="48">
        <v>240.322</v>
      </c>
    </row>
    <row r="1090" spans="1:7" ht="10.050000000000001" customHeight="1">
      <c r="A1090" s="45" t="s">
        <v>154</v>
      </c>
      <c r="B1090" s="45" t="s">
        <v>81</v>
      </c>
      <c r="C1090" s="46">
        <v>2019</v>
      </c>
      <c r="D1090" s="45" t="s">
        <v>126</v>
      </c>
      <c r="E1090" s="47">
        <v>7</v>
      </c>
      <c r="F1090" s="48">
        <v>1416.942</v>
      </c>
      <c r="G1090" s="48">
        <v>280.66399999999999</v>
      </c>
    </row>
    <row r="1091" spans="1:7" ht="10.050000000000001" customHeight="1">
      <c r="A1091" s="45" t="s">
        <v>154</v>
      </c>
      <c r="B1091" s="45" t="s">
        <v>81</v>
      </c>
      <c r="C1091" s="46">
        <v>2019</v>
      </c>
      <c r="D1091" s="45" t="s">
        <v>126</v>
      </c>
      <c r="E1091" s="47">
        <v>8</v>
      </c>
      <c r="F1091" s="48">
        <v>1258.354</v>
      </c>
      <c r="G1091" s="48">
        <v>311.88299999999998</v>
      </c>
    </row>
    <row r="1092" spans="1:7" ht="10.050000000000001" customHeight="1">
      <c r="A1092" s="45" t="s">
        <v>154</v>
      </c>
      <c r="B1092" s="45" t="s">
        <v>81</v>
      </c>
      <c r="C1092" s="46">
        <v>2019</v>
      </c>
      <c r="D1092" s="45" t="s">
        <v>126</v>
      </c>
      <c r="E1092" s="47">
        <v>9</v>
      </c>
      <c r="F1092" s="48">
        <v>1445.893</v>
      </c>
      <c r="G1092" s="48">
        <v>289.92599999999999</v>
      </c>
    </row>
    <row r="1093" spans="1:7" ht="10.050000000000001" customHeight="1">
      <c r="A1093" s="45" t="s">
        <v>154</v>
      </c>
      <c r="B1093" s="45" t="s">
        <v>81</v>
      </c>
      <c r="C1093" s="46">
        <v>2019</v>
      </c>
      <c r="D1093" s="45" t="s">
        <v>126</v>
      </c>
      <c r="E1093" s="47">
        <v>10</v>
      </c>
      <c r="F1093" s="48">
        <v>801.23599999999999</v>
      </c>
      <c r="G1093" s="48">
        <v>254.29499999999999</v>
      </c>
    </row>
    <row r="1094" spans="1:7" ht="10.050000000000001" customHeight="1">
      <c r="A1094" s="45" t="s">
        <v>154</v>
      </c>
      <c r="B1094" s="45" t="s">
        <v>81</v>
      </c>
      <c r="C1094" s="46">
        <v>2019</v>
      </c>
      <c r="D1094" s="45" t="s">
        <v>126</v>
      </c>
      <c r="E1094" s="47">
        <v>11</v>
      </c>
      <c r="F1094" s="48">
        <v>689.78399999999999</v>
      </c>
      <c r="G1094" s="48">
        <v>312.041</v>
      </c>
    </row>
    <row r="1095" spans="1:7" ht="10.050000000000001" customHeight="1">
      <c r="A1095" s="45" t="s">
        <v>154</v>
      </c>
      <c r="B1095" s="45" t="s">
        <v>81</v>
      </c>
      <c r="C1095" s="46">
        <v>2019</v>
      </c>
      <c r="D1095" s="45" t="s">
        <v>126</v>
      </c>
      <c r="E1095" s="47">
        <v>12</v>
      </c>
      <c r="F1095" s="48">
        <v>659.23299999999995</v>
      </c>
      <c r="G1095" s="48">
        <v>270.48399999999998</v>
      </c>
    </row>
    <row r="1096" spans="1:7" ht="10.050000000000001" customHeight="1">
      <c r="A1096" s="45" t="s">
        <v>154</v>
      </c>
      <c r="B1096" s="45" t="s">
        <v>81</v>
      </c>
      <c r="C1096" s="46">
        <v>2020</v>
      </c>
      <c r="D1096" s="45" t="s">
        <v>126</v>
      </c>
      <c r="E1096" s="47">
        <v>1</v>
      </c>
      <c r="F1096" s="48">
        <v>668.5</v>
      </c>
      <c r="G1096" s="48">
        <v>265.00900000000001</v>
      </c>
    </row>
    <row r="1097" spans="1:7" ht="10.050000000000001" customHeight="1">
      <c r="A1097" s="45" t="s">
        <v>154</v>
      </c>
      <c r="B1097" s="45" t="s">
        <v>81</v>
      </c>
      <c r="C1097" s="46">
        <v>2020</v>
      </c>
      <c r="D1097" s="45" t="s">
        <v>126</v>
      </c>
      <c r="E1097" s="47">
        <v>2</v>
      </c>
      <c r="F1097" s="48">
        <v>542.11300000000006</v>
      </c>
      <c r="G1097" s="48">
        <v>254.09899999999999</v>
      </c>
    </row>
    <row r="1098" spans="1:7" ht="10.050000000000001" customHeight="1">
      <c r="A1098" s="45" t="s">
        <v>154</v>
      </c>
      <c r="B1098" s="45" t="s">
        <v>81</v>
      </c>
      <c r="C1098" s="46">
        <v>2020</v>
      </c>
      <c r="D1098" s="45" t="s">
        <v>126</v>
      </c>
      <c r="E1098" s="47">
        <v>3</v>
      </c>
      <c r="F1098" s="48">
        <v>1296.5650000000001</v>
      </c>
      <c r="G1098" s="48">
        <v>298.90899999999999</v>
      </c>
    </row>
    <row r="1099" spans="1:7" ht="10.050000000000001" customHeight="1">
      <c r="A1099" s="45" t="s">
        <v>154</v>
      </c>
      <c r="B1099" s="45" t="s">
        <v>81</v>
      </c>
      <c r="C1099" s="46">
        <v>2020</v>
      </c>
      <c r="D1099" s="45" t="s">
        <v>126</v>
      </c>
      <c r="E1099" s="47">
        <v>4</v>
      </c>
      <c r="F1099" s="48">
        <v>1276.655</v>
      </c>
      <c r="G1099" s="48">
        <v>245.739</v>
      </c>
    </row>
    <row r="1100" spans="1:7" ht="10.050000000000001" customHeight="1">
      <c r="A1100" s="45" t="s">
        <v>154</v>
      </c>
      <c r="B1100" s="45" t="s">
        <v>81</v>
      </c>
      <c r="C1100" s="46">
        <v>2020</v>
      </c>
      <c r="D1100" s="45" t="s">
        <v>126</v>
      </c>
      <c r="E1100" s="47">
        <v>5</v>
      </c>
      <c r="F1100" s="48">
        <v>1029.655</v>
      </c>
      <c r="G1100" s="48">
        <v>235.89699999999999</v>
      </c>
    </row>
    <row r="1101" spans="1:7" ht="10.050000000000001" customHeight="1">
      <c r="A1101" s="45" t="s">
        <v>154</v>
      </c>
      <c r="B1101" s="45" t="s">
        <v>81</v>
      </c>
      <c r="C1101" s="46">
        <v>2020</v>
      </c>
      <c r="D1101" s="45" t="s">
        <v>126</v>
      </c>
      <c r="E1101" s="47">
        <v>6</v>
      </c>
      <c r="F1101" s="48">
        <v>1083.085</v>
      </c>
      <c r="G1101" s="48">
        <v>309.90100000000001</v>
      </c>
    </row>
    <row r="1102" spans="1:7" ht="10.050000000000001" customHeight="1">
      <c r="A1102" s="45" t="s">
        <v>154</v>
      </c>
      <c r="B1102" s="45" t="s">
        <v>81</v>
      </c>
      <c r="C1102" s="46">
        <v>2020</v>
      </c>
      <c r="D1102" s="45" t="s">
        <v>128</v>
      </c>
      <c r="E1102" s="47">
        <v>7</v>
      </c>
      <c r="F1102" s="48">
        <v>884.72500000000002</v>
      </c>
      <c r="G1102" s="48">
        <v>241.184</v>
      </c>
    </row>
    <row r="1103" spans="1:7" ht="10.050000000000001" customHeight="1">
      <c r="A1103" s="45" t="s">
        <v>154</v>
      </c>
      <c r="B1103" s="45" t="s">
        <v>81</v>
      </c>
      <c r="C1103" s="46">
        <v>2020</v>
      </c>
      <c r="D1103" s="45" t="s">
        <v>128</v>
      </c>
      <c r="E1103" s="47">
        <v>8</v>
      </c>
      <c r="F1103" s="48">
        <v>690.952</v>
      </c>
      <c r="G1103" s="48">
        <v>325.34300000000002</v>
      </c>
    </row>
    <row r="1104" spans="1:7" ht="10.050000000000001" customHeight="1">
      <c r="A1104" s="45" t="s">
        <v>154</v>
      </c>
      <c r="B1104" s="45" t="s">
        <v>81</v>
      </c>
      <c r="C1104" s="46">
        <v>2020</v>
      </c>
      <c r="D1104" s="45" t="s">
        <v>128</v>
      </c>
      <c r="E1104" s="47">
        <v>9</v>
      </c>
      <c r="F1104" s="48">
        <v>747.35500000000002</v>
      </c>
      <c r="G1104" s="48">
        <v>320.154</v>
      </c>
    </row>
    <row r="1105" spans="1:7" ht="10.050000000000001" customHeight="1">
      <c r="A1105" s="45" t="s">
        <v>154</v>
      </c>
      <c r="B1105" s="45" t="s">
        <v>81</v>
      </c>
      <c r="C1105" s="46">
        <v>2020</v>
      </c>
      <c r="D1105" s="45" t="s">
        <v>128</v>
      </c>
      <c r="E1105" s="47">
        <v>10</v>
      </c>
      <c r="F1105" s="48">
        <v>1063.3789999999999</v>
      </c>
      <c r="G1105" s="48">
        <v>323.73899999999998</v>
      </c>
    </row>
    <row r="1106" spans="1:7" ht="10.050000000000001" customHeight="1">
      <c r="A1106" s="45" t="s">
        <v>154</v>
      </c>
      <c r="B1106" s="45" t="s">
        <v>81</v>
      </c>
      <c r="C1106" s="46">
        <v>2020</v>
      </c>
      <c r="D1106" s="45" t="s">
        <v>128</v>
      </c>
      <c r="E1106" s="47">
        <v>11</v>
      </c>
      <c r="F1106" s="48">
        <v>1018.413</v>
      </c>
      <c r="G1106" s="48">
        <v>422.96899999999999</v>
      </c>
    </row>
    <row r="1107" spans="1:7" ht="10.050000000000001" customHeight="1">
      <c r="A1107" s="45" t="s">
        <v>154</v>
      </c>
      <c r="B1107" s="45" t="s">
        <v>81</v>
      </c>
      <c r="C1107" s="46">
        <v>2020</v>
      </c>
      <c r="D1107" s="45" t="s">
        <v>128</v>
      </c>
      <c r="E1107" s="47">
        <v>12</v>
      </c>
      <c r="F1107" s="48">
        <v>916.10400000000004</v>
      </c>
      <c r="G1107" s="48">
        <v>250.77500000000001</v>
      </c>
    </row>
    <row r="1108" spans="1:7" ht="10.050000000000001" customHeight="1">
      <c r="A1108" s="45" t="s">
        <v>154</v>
      </c>
      <c r="B1108" s="45" t="s">
        <v>81</v>
      </c>
      <c r="C1108" s="46">
        <v>2021</v>
      </c>
      <c r="D1108" s="45" t="s">
        <v>128</v>
      </c>
      <c r="E1108" s="47">
        <v>1</v>
      </c>
      <c r="F1108" s="48">
        <v>1154.925</v>
      </c>
      <c r="G1108" s="48">
        <v>696.64</v>
      </c>
    </row>
    <row r="1109" spans="1:7" ht="10.050000000000001" customHeight="1">
      <c r="A1109" s="45" t="s">
        <v>154</v>
      </c>
      <c r="B1109" s="45" t="s">
        <v>81</v>
      </c>
      <c r="C1109" s="46">
        <v>2021</v>
      </c>
      <c r="D1109" s="45" t="s">
        <v>128</v>
      </c>
      <c r="E1109" s="47">
        <v>2</v>
      </c>
      <c r="F1109" s="48">
        <v>1037.4069999999999</v>
      </c>
      <c r="G1109" s="48">
        <v>501.94900000000001</v>
      </c>
    </row>
    <row r="1110" spans="1:7" ht="10.050000000000001" customHeight="1">
      <c r="A1110" s="45" t="s">
        <v>154</v>
      </c>
      <c r="B1110" s="45" t="s">
        <v>81</v>
      </c>
      <c r="C1110" s="46">
        <v>2021</v>
      </c>
      <c r="D1110" s="45" t="s">
        <v>128</v>
      </c>
      <c r="E1110" s="47">
        <v>3</v>
      </c>
      <c r="F1110" s="48">
        <v>1837.316</v>
      </c>
      <c r="G1110" s="48">
        <v>534.20699999999999</v>
      </c>
    </row>
    <row r="1111" spans="1:7" ht="10.050000000000001" customHeight="1">
      <c r="A1111" s="45" t="s">
        <v>154</v>
      </c>
      <c r="B1111" s="45" t="s">
        <v>81</v>
      </c>
      <c r="C1111" s="46">
        <v>2021</v>
      </c>
      <c r="D1111" s="45" t="s">
        <v>128</v>
      </c>
      <c r="E1111" s="47">
        <v>4</v>
      </c>
      <c r="F1111" s="48">
        <v>1147.6479999999999</v>
      </c>
      <c r="G1111" s="48">
        <v>388.00099999999998</v>
      </c>
    </row>
    <row r="1112" spans="1:7" ht="10.050000000000001" customHeight="1">
      <c r="A1112" s="45" t="s">
        <v>154</v>
      </c>
      <c r="B1112" s="45" t="s">
        <v>81</v>
      </c>
      <c r="C1112" s="46">
        <v>2021</v>
      </c>
      <c r="D1112" s="45" t="s">
        <v>128</v>
      </c>
      <c r="E1112" s="47">
        <v>5</v>
      </c>
      <c r="F1112" s="48">
        <v>445.85199999999998</v>
      </c>
      <c r="G1112" s="48">
        <v>463.27600000000001</v>
      </c>
    </row>
    <row r="1113" spans="1:7" ht="10.050000000000001" customHeight="1">
      <c r="A1113" s="45" t="s">
        <v>154</v>
      </c>
      <c r="B1113" s="45" t="s">
        <v>81</v>
      </c>
      <c r="C1113" s="46">
        <v>2021</v>
      </c>
      <c r="D1113" s="45" t="s">
        <v>128</v>
      </c>
      <c r="E1113" s="47">
        <v>6</v>
      </c>
      <c r="F1113" s="48">
        <v>658.62900000000002</v>
      </c>
      <c r="G1113" s="48">
        <v>627.20799999999997</v>
      </c>
    </row>
    <row r="1114" spans="1:7" ht="10.050000000000001" customHeight="1">
      <c r="A1114" s="45" t="s">
        <v>154</v>
      </c>
      <c r="B1114" s="45" t="s">
        <v>81</v>
      </c>
      <c r="C1114" s="46">
        <v>2021</v>
      </c>
      <c r="D1114" s="45" t="s">
        <v>129</v>
      </c>
      <c r="E1114" s="47">
        <v>7</v>
      </c>
      <c r="F1114" s="48">
        <v>616.86800000000005</v>
      </c>
      <c r="G1114" s="48">
        <v>615.125</v>
      </c>
    </row>
    <row r="1115" spans="1:7" ht="10.050000000000001" customHeight="1">
      <c r="A1115" s="45" t="s">
        <v>154</v>
      </c>
      <c r="B1115" s="45" t="s">
        <v>81</v>
      </c>
      <c r="C1115" s="46">
        <v>2021</v>
      </c>
      <c r="D1115" s="45" t="s">
        <v>129</v>
      </c>
      <c r="E1115" s="47">
        <v>8</v>
      </c>
      <c r="F1115" s="48">
        <v>560.55499999999995</v>
      </c>
      <c r="G1115" s="48">
        <v>565.91999999999996</v>
      </c>
    </row>
    <row r="1116" spans="1:7" ht="10.050000000000001" customHeight="1">
      <c r="A1116" s="45" t="s">
        <v>154</v>
      </c>
      <c r="B1116" s="45" t="s">
        <v>81</v>
      </c>
      <c r="C1116" s="46">
        <v>2021</v>
      </c>
      <c r="D1116" s="45" t="s">
        <v>129</v>
      </c>
      <c r="E1116" s="47">
        <v>9</v>
      </c>
      <c r="F1116" s="48">
        <v>870.11199999999997</v>
      </c>
      <c r="G1116" s="48">
        <v>654.952</v>
      </c>
    </row>
    <row r="1117" spans="1:7" ht="10.050000000000001" customHeight="1">
      <c r="A1117" s="45" t="s">
        <v>154</v>
      </c>
      <c r="B1117" s="45" t="s">
        <v>81</v>
      </c>
      <c r="C1117" s="46">
        <v>2021</v>
      </c>
      <c r="D1117" s="45" t="s">
        <v>129</v>
      </c>
      <c r="E1117" s="47">
        <v>10</v>
      </c>
      <c r="F1117" s="48">
        <v>1443.549</v>
      </c>
      <c r="G1117" s="48">
        <v>542.10299999999995</v>
      </c>
    </row>
    <row r="1118" spans="1:7" ht="10.050000000000001" customHeight="1">
      <c r="A1118" s="45" t="s">
        <v>154</v>
      </c>
      <c r="B1118" s="45" t="s">
        <v>81</v>
      </c>
      <c r="C1118" s="46">
        <v>2021</v>
      </c>
      <c r="D1118" s="45" t="s">
        <v>129</v>
      </c>
      <c r="E1118" s="47">
        <v>11</v>
      </c>
      <c r="F1118" s="48">
        <v>1116.145</v>
      </c>
      <c r="G1118" s="48">
        <v>705.78499999999997</v>
      </c>
    </row>
    <row r="1119" spans="1:7" ht="10.050000000000001" customHeight="1">
      <c r="A1119" s="45" t="s">
        <v>154</v>
      </c>
      <c r="B1119" s="45" t="s">
        <v>81</v>
      </c>
      <c r="C1119" s="46">
        <v>2021</v>
      </c>
      <c r="D1119" s="45" t="s">
        <v>129</v>
      </c>
      <c r="E1119" s="47">
        <v>12</v>
      </c>
      <c r="F1119" s="48">
        <v>1004.064</v>
      </c>
      <c r="G1119" s="48">
        <v>799.66800000000001</v>
      </c>
    </row>
    <row r="1120" spans="1:7" ht="10.050000000000001" customHeight="1">
      <c r="A1120" s="45" t="s">
        <v>154</v>
      </c>
      <c r="B1120" s="45" t="s">
        <v>81</v>
      </c>
      <c r="C1120" s="46">
        <v>2022</v>
      </c>
      <c r="D1120" s="45" t="s">
        <v>129</v>
      </c>
      <c r="E1120" s="47">
        <v>1</v>
      </c>
      <c r="F1120" s="48">
        <v>1255.155</v>
      </c>
      <c r="G1120" s="48">
        <v>777.80100000000004</v>
      </c>
    </row>
    <row r="1121" spans="1:7" ht="10.050000000000001" customHeight="1">
      <c r="A1121" s="45" t="s">
        <v>154</v>
      </c>
      <c r="B1121" s="45" t="s">
        <v>81</v>
      </c>
      <c r="C1121" s="46">
        <v>2022</v>
      </c>
      <c r="D1121" s="45" t="s">
        <v>129</v>
      </c>
      <c r="E1121" s="47">
        <v>2</v>
      </c>
      <c r="F1121" s="48">
        <v>1447.049</v>
      </c>
      <c r="G1121" s="48">
        <v>546.40200000000004</v>
      </c>
    </row>
    <row r="1122" spans="1:7" ht="10.050000000000001" customHeight="1">
      <c r="A1122" s="45" t="s">
        <v>154</v>
      </c>
      <c r="B1122" s="45" t="s">
        <v>81</v>
      </c>
      <c r="C1122" s="46">
        <v>2022</v>
      </c>
      <c r="D1122" s="45" t="s">
        <v>129</v>
      </c>
      <c r="E1122" s="47">
        <v>3</v>
      </c>
      <c r="F1122" s="48">
        <v>1270.5989999999999</v>
      </c>
      <c r="G1122" s="48">
        <v>583.11699999999996</v>
      </c>
    </row>
    <row r="1123" spans="1:7" ht="10.050000000000001" customHeight="1">
      <c r="A1123" s="45" t="s">
        <v>154</v>
      </c>
      <c r="B1123" s="45" t="s">
        <v>81</v>
      </c>
      <c r="C1123" s="46">
        <v>2022</v>
      </c>
      <c r="D1123" s="45" t="s">
        <v>129</v>
      </c>
      <c r="E1123" s="47">
        <v>4</v>
      </c>
      <c r="F1123" s="48">
        <v>960.77499999999998</v>
      </c>
      <c r="G1123" s="48">
        <v>574.88499999999999</v>
      </c>
    </row>
    <row r="1124" spans="1:7" ht="10.050000000000001" customHeight="1">
      <c r="A1124" s="45" t="s">
        <v>154</v>
      </c>
      <c r="B1124" s="45" t="s">
        <v>81</v>
      </c>
      <c r="C1124" s="46">
        <v>2022</v>
      </c>
      <c r="D1124" s="45" t="s">
        <v>129</v>
      </c>
      <c r="E1124" s="47">
        <v>5</v>
      </c>
      <c r="F1124" s="48">
        <v>948.19899999999996</v>
      </c>
      <c r="G1124" s="48">
        <v>887.69799999999998</v>
      </c>
    </row>
    <row r="1125" spans="1:7" ht="10.050000000000001" customHeight="1">
      <c r="A1125" s="45" t="s">
        <v>154</v>
      </c>
      <c r="B1125" s="45" t="s">
        <v>81</v>
      </c>
      <c r="C1125" s="46">
        <v>2022</v>
      </c>
      <c r="D1125" s="45" t="s">
        <v>129</v>
      </c>
      <c r="E1125" s="47">
        <v>6</v>
      </c>
      <c r="F1125" s="48">
        <v>1048.9670000000001</v>
      </c>
      <c r="G1125" s="48">
        <v>873.303</v>
      </c>
    </row>
    <row r="1126" spans="1:7" ht="10.050000000000001" customHeight="1">
      <c r="A1126" s="45" t="s">
        <v>154</v>
      </c>
      <c r="B1126" s="45" t="s">
        <v>81</v>
      </c>
      <c r="C1126" s="46">
        <v>2022</v>
      </c>
      <c r="D1126" s="45" t="s">
        <v>130</v>
      </c>
      <c r="E1126" s="47">
        <v>7</v>
      </c>
      <c r="F1126" s="48">
        <v>1135.2</v>
      </c>
      <c r="G1126" s="48">
        <v>823.01300000000003</v>
      </c>
    </row>
    <row r="1127" spans="1:7" ht="10.050000000000001" customHeight="1">
      <c r="A1127" s="45" t="s">
        <v>154</v>
      </c>
      <c r="B1127" s="45" t="s">
        <v>81</v>
      </c>
      <c r="C1127" s="46">
        <v>2022</v>
      </c>
      <c r="D1127" s="45" t="s">
        <v>130</v>
      </c>
      <c r="E1127" s="47">
        <v>8</v>
      </c>
      <c r="F1127" s="48">
        <v>1278.2460000000001</v>
      </c>
      <c r="G1127" s="48">
        <v>660.55799999999999</v>
      </c>
    </row>
    <row r="1128" spans="1:7" ht="10.050000000000001" customHeight="1">
      <c r="A1128" s="45" t="s">
        <v>154</v>
      </c>
      <c r="B1128" s="45" t="s">
        <v>81</v>
      </c>
      <c r="C1128" s="46">
        <v>2022</v>
      </c>
      <c r="D1128" s="45" t="s">
        <v>130</v>
      </c>
      <c r="E1128" s="47">
        <v>9</v>
      </c>
      <c r="F1128" s="48">
        <v>1153.191</v>
      </c>
      <c r="G1128" s="48">
        <v>663.61699999999996</v>
      </c>
    </row>
    <row r="1129" spans="1:7" ht="10.050000000000001" customHeight="1">
      <c r="A1129" s="45" t="s">
        <v>154</v>
      </c>
      <c r="B1129" s="45" t="s">
        <v>81</v>
      </c>
      <c r="C1129" s="46">
        <v>2022</v>
      </c>
      <c r="D1129" s="45" t="s">
        <v>130</v>
      </c>
      <c r="E1129" s="47">
        <v>10</v>
      </c>
      <c r="F1129" s="48">
        <v>1435.627</v>
      </c>
      <c r="G1129" s="48">
        <v>648.17399999999998</v>
      </c>
    </row>
    <row r="1130" spans="1:7" ht="10.050000000000001" customHeight="1">
      <c r="A1130" s="45" t="s">
        <v>154</v>
      </c>
      <c r="B1130" s="45" t="s">
        <v>81</v>
      </c>
      <c r="C1130" s="46">
        <v>2022</v>
      </c>
      <c r="D1130" s="45" t="s">
        <v>130</v>
      </c>
      <c r="E1130" s="47">
        <v>11</v>
      </c>
      <c r="F1130" s="48">
        <v>1517.2929999999999</v>
      </c>
      <c r="G1130" s="48">
        <v>670.995</v>
      </c>
    </row>
    <row r="1131" spans="1:7" ht="10.050000000000001" customHeight="1">
      <c r="A1131" s="45" t="s">
        <v>154</v>
      </c>
      <c r="B1131" s="45" t="s">
        <v>81</v>
      </c>
      <c r="C1131" s="46">
        <v>2022</v>
      </c>
      <c r="D1131" s="45" t="s">
        <v>130</v>
      </c>
      <c r="E1131" s="47">
        <v>12</v>
      </c>
      <c r="F1131" s="48">
        <v>1489.9090000000001</v>
      </c>
      <c r="G1131" s="48">
        <v>671.35199999999998</v>
      </c>
    </row>
    <row r="1132" spans="1:7" ht="10.050000000000001" customHeight="1">
      <c r="A1132" s="45" t="s">
        <v>154</v>
      </c>
      <c r="B1132" s="45" t="s">
        <v>81</v>
      </c>
      <c r="C1132" s="46">
        <v>2023</v>
      </c>
      <c r="D1132" s="45" t="s">
        <v>130</v>
      </c>
      <c r="E1132" s="47">
        <v>1</v>
      </c>
      <c r="F1132" s="48">
        <v>1415.874</v>
      </c>
      <c r="G1132" s="48">
        <v>647.01599999999996</v>
      </c>
    </row>
    <row r="1133" spans="1:7" ht="10.050000000000001" customHeight="1">
      <c r="A1133" s="45" t="s">
        <v>154</v>
      </c>
      <c r="B1133" s="45" t="s">
        <v>81</v>
      </c>
      <c r="C1133" s="46">
        <v>2023</v>
      </c>
      <c r="D1133" s="45" t="s">
        <v>130</v>
      </c>
      <c r="E1133" s="47">
        <v>2</v>
      </c>
      <c r="F1133" s="48">
        <v>1357.6130000000001</v>
      </c>
      <c r="G1133" s="48">
        <v>558.46600000000001</v>
      </c>
    </row>
    <row r="1134" spans="1:7" ht="10.050000000000001" customHeight="1">
      <c r="A1134" s="45" t="s">
        <v>154</v>
      </c>
      <c r="B1134" s="45" t="s">
        <v>81</v>
      </c>
      <c r="C1134" s="46">
        <v>2023</v>
      </c>
      <c r="D1134" s="45" t="s">
        <v>130</v>
      </c>
      <c r="E1134" s="47">
        <v>3</v>
      </c>
      <c r="F1134" s="48">
        <v>1100.8109999999999</v>
      </c>
      <c r="G1134" s="48">
        <v>557.30899999999997</v>
      </c>
    </row>
    <row r="1135" spans="1:7" ht="10.050000000000001" customHeight="1">
      <c r="A1135" s="45" t="s">
        <v>154</v>
      </c>
      <c r="B1135" s="45" t="s">
        <v>81</v>
      </c>
      <c r="C1135" s="46">
        <v>2023</v>
      </c>
      <c r="D1135" s="45" t="s">
        <v>130</v>
      </c>
      <c r="E1135" s="47">
        <v>4</v>
      </c>
      <c r="F1135" s="48">
        <v>1330.6210000000001</v>
      </c>
      <c r="G1135" s="48">
        <v>675.053</v>
      </c>
    </row>
    <row r="1136" spans="1:7" ht="10.050000000000001" customHeight="1">
      <c r="A1136" s="45" t="s">
        <v>154</v>
      </c>
      <c r="B1136" s="45" t="s">
        <v>81</v>
      </c>
      <c r="C1136" s="46">
        <v>2023</v>
      </c>
      <c r="D1136" s="45" t="s">
        <v>130</v>
      </c>
      <c r="E1136" s="47">
        <v>5</v>
      </c>
      <c r="F1136" s="48">
        <v>1441.231</v>
      </c>
      <c r="G1136" s="48">
        <v>619.476</v>
      </c>
    </row>
    <row r="1137" spans="1:7" ht="10.050000000000001" customHeight="1">
      <c r="A1137" s="45" t="s">
        <v>154</v>
      </c>
      <c r="B1137" s="45" t="s">
        <v>81</v>
      </c>
      <c r="C1137" s="46">
        <v>2023</v>
      </c>
      <c r="D1137" s="45" t="s">
        <v>130</v>
      </c>
      <c r="E1137" s="47">
        <v>6</v>
      </c>
      <c r="F1137" s="48">
        <v>1554.5540000000001</v>
      </c>
      <c r="G1137" s="48">
        <v>1069.43</v>
      </c>
    </row>
    <row r="1138" spans="1:7" ht="10.050000000000001" customHeight="1">
      <c r="A1138" s="45" t="s">
        <v>154</v>
      </c>
      <c r="B1138" s="45" t="s">
        <v>81</v>
      </c>
      <c r="C1138" s="46">
        <v>2023</v>
      </c>
      <c r="D1138" s="45" t="s">
        <v>131</v>
      </c>
      <c r="E1138" s="47">
        <v>7</v>
      </c>
      <c r="F1138" s="48">
        <v>1080.327</v>
      </c>
      <c r="G1138" s="48">
        <v>1513.9369999999999</v>
      </c>
    </row>
    <row r="1139" spans="1:7" ht="10.050000000000001" customHeight="1">
      <c r="A1139" s="45" t="s">
        <v>154</v>
      </c>
      <c r="B1139" s="45" t="s">
        <v>81</v>
      </c>
      <c r="C1139" s="46">
        <v>2023</v>
      </c>
      <c r="D1139" s="45" t="s">
        <v>131</v>
      </c>
      <c r="E1139" s="47">
        <v>8</v>
      </c>
      <c r="F1139" s="48">
        <v>1208.6869999999999</v>
      </c>
      <c r="G1139" s="48">
        <v>1000.895</v>
      </c>
    </row>
    <row r="1140" spans="1:7" ht="10.050000000000001" customHeight="1">
      <c r="A1140" s="45" t="s">
        <v>154</v>
      </c>
      <c r="B1140" s="45" t="s">
        <v>81</v>
      </c>
      <c r="C1140" s="46">
        <v>2023</v>
      </c>
      <c r="D1140" s="45" t="s">
        <v>131</v>
      </c>
      <c r="E1140" s="47">
        <v>9</v>
      </c>
      <c r="F1140" s="48">
        <v>1228.789</v>
      </c>
      <c r="G1140" s="48">
        <v>1147.3869999999999</v>
      </c>
    </row>
    <row r="1141" spans="1:7" ht="10.050000000000001" customHeight="1">
      <c r="A1141" s="45" t="s">
        <v>154</v>
      </c>
      <c r="B1141" s="45" t="s">
        <v>81</v>
      </c>
      <c r="C1141" s="46">
        <v>2023</v>
      </c>
      <c r="D1141" s="45" t="s">
        <v>131</v>
      </c>
      <c r="E1141" s="47">
        <v>10</v>
      </c>
      <c r="F1141" s="48">
        <v>1383.2059999999999</v>
      </c>
      <c r="G1141" s="48">
        <v>1040.4549999999999</v>
      </c>
    </row>
    <row r="1142" spans="1:7" ht="10.050000000000001" customHeight="1">
      <c r="A1142" s="45" t="s">
        <v>154</v>
      </c>
      <c r="B1142" s="45" t="s">
        <v>81</v>
      </c>
      <c r="C1142" s="46">
        <v>2023</v>
      </c>
      <c r="D1142" s="45" t="s">
        <v>131</v>
      </c>
      <c r="E1142" s="47">
        <v>11</v>
      </c>
      <c r="F1142" s="48">
        <v>1522.6780000000001</v>
      </c>
      <c r="G1142" s="48">
        <v>1053.923</v>
      </c>
    </row>
    <row r="1143" spans="1:7" ht="10.050000000000001" customHeight="1">
      <c r="A1143" s="45" t="s">
        <v>154</v>
      </c>
      <c r="B1143" s="45" t="s">
        <v>81</v>
      </c>
      <c r="C1143" s="46">
        <v>2023</v>
      </c>
      <c r="D1143" s="45" t="s">
        <v>131</v>
      </c>
      <c r="E1143" s="47">
        <v>12</v>
      </c>
      <c r="F1143" s="48">
        <v>1376.954</v>
      </c>
      <c r="G1143" s="48">
        <v>1005.9589999999999</v>
      </c>
    </row>
    <row r="1144" spans="1:7" ht="10.050000000000001" customHeight="1">
      <c r="A1144" s="45" t="s">
        <v>154</v>
      </c>
      <c r="B1144" s="45" t="s">
        <v>81</v>
      </c>
      <c r="C1144" s="46">
        <v>2024</v>
      </c>
      <c r="D1144" s="45" t="s">
        <v>131</v>
      </c>
      <c r="E1144" s="47">
        <v>1</v>
      </c>
      <c r="F1144" s="48">
        <v>902.22199999999998</v>
      </c>
      <c r="G1144" s="48">
        <v>375.83800000000002</v>
      </c>
    </row>
    <row r="1145" spans="1:7" ht="10.050000000000001" customHeight="1">
      <c r="A1145" s="45" t="s">
        <v>154</v>
      </c>
      <c r="B1145" s="45" t="s">
        <v>81</v>
      </c>
      <c r="C1145" s="46">
        <v>2024</v>
      </c>
      <c r="D1145" s="45" t="s">
        <v>131</v>
      </c>
      <c r="E1145" s="47">
        <v>2</v>
      </c>
      <c r="F1145" s="48">
        <v>194.44499999999999</v>
      </c>
      <c r="G1145" s="48">
        <v>351.649</v>
      </c>
    </row>
    <row r="1146" spans="1:7" ht="10.050000000000001" customHeight="1">
      <c r="A1146" s="45" t="s">
        <v>154</v>
      </c>
      <c r="B1146" s="45" t="s">
        <v>81</v>
      </c>
      <c r="C1146" s="46">
        <v>2024</v>
      </c>
      <c r="D1146" s="45" t="s">
        <v>131</v>
      </c>
      <c r="E1146" s="47">
        <v>3</v>
      </c>
      <c r="F1146" s="48">
        <v>294.31099999999998</v>
      </c>
      <c r="G1146" s="48">
        <v>268.49299999999999</v>
      </c>
    </row>
    <row r="1147" spans="1:7" ht="10.050000000000001" customHeight="1">
      <c r="A1147" s="45" t="s">
        <v>154</v>
      </c>
      <c r="B1147" s="45" t="s">
        <v>81</v>
      </c>
      <c r="C1147" s="46">
        <v>2024</v>
      </c>
      <c r="D1147" s="45" t="s">
        <v>131</v>
      </c>
      <c r="E1147" s="47">
        <v>4</v>
      </c>
      <c r="F1147" s="48">
        <v>261.94299999999998</v>
      </c>
      <c r="G1147" s="48">
        <v>173.82</v>
      </c>
    </row>
    <row r="1148" spans="1:7" ht="10.050000000000001" customHeight="1">
      <c r="A1148" s="45" t="s">
        <v>154</v>
      </c>
      <c r="B1148" s="45" t="s">
        <v>81</v>
      </c>
      <c r="C1148" s="46">
        <v>2024</v>
      </c>
      <c r="D1148" s="45" t="s">
        <v>131</v>
      </c>
      <c r="E1148" s="47">
        <v>5</v>
      </c>
      <c r="F1148" s="48">
        <v>173.7</v>
      </c>
      <c r="G1148" s="48">
        <v>222.15</v>
      </c>
    </row>
    <row r="1149" spans="1:7" ht="10.050000000000001" customHeight="1">
      <c r="A1149" s="45" t="s">
        <v>154</v>
      </c>
      <c r="B1149" s="45" t="s">
        <v>81</v>
      </c>
      <c r="C1149" s="46">
        <v>2024</v>
      </c>
      <c r="D1149" s="45" t="s">
        <v>131</v>
      </c>
      <c r="E1149" s="47">
        <v>6</v>
      </c>
      <c r="F1149" s="48">
        <v>138.173</v>
      </c>
      <c r="G1149" s="48">
        <v>191.47399999999999</v>
      </c>
    </row>
    <row r="1150" spans="1:7" ht="10.050000000000001" customHeight="1">
      <c r="A1150" s="45" t="s">
        <v>154</v>
      </c>
      <c r="B1150" s="45" t="s">
        <v>81</v>
      </c>
      <c r="C1150" s="46">
        <v>2024</v>
      </c>
      <c r="D1150" s="45" t="s">
        <v>132</v>
      </c>
      <c r="E1150" s="47">
        <v>7</v>
      </c>
      <c r="F1150" s="48">
        <v>138.58600000000001</v>
      </c>
      <c r="G1150" s="48">
        <v>165.31899999999999</v>
      </c>
    </row>
    <row r="1151" spans="1:7" ht="10.050000000000001" customHeight="1">
      <c r="A1151" s="45" t="s">
        <v>154</v>
      </c>
      <c r="B1151" s="45" t="s">
        <v>81</v>
      </c>
      <c r="C1151" s="46">
        <v>2024</v>
      </c>
      <c r="D1151" s="45" t="s">
        <v>132</v>
      </c>
      <c r="E1151" s="47">
        <v>8</v>
      </c>
      <c r="F1151" s="48">
        <v>138.74700000000001</v>
      </c>
      <c r="G1151" s="48">
        <v>174.68700000000001</v>
      </c>
    </row>
    <row r="1152" spans="1:7" ht="10.050000000000001" customHeight="1">
      <c r="A1152" s="45" t="s">
        <v>154</v>
      </c>
      <c r="B1152" s="45" t="s">
        <v>81</v>
      </c>
      <c r="C1152" s="46">
        <v>2024</v>
      </c>
      <c r="D1152" s="45" t="s">
        <v>132</v>
      </c>
      <c r="E1152" s="47">
        <v>9</v>
      </c>
      <c r="F1152" s="48">
        <v>176.08699999999999</v>
      </c>
      <c r="G1152" s="48">
        <v>172.101</v>
      </c>
    </row>
    <row r="1153" spans="1:7" ht="10.050000000000001" customHeight="1">
      <c r="A1153" s="45" t="s">
        <v>154</v>
      </c>
      <c r="B1153" s="45" t="s">
        <v>81</v>
      </c>
      <c r="C1153" s="46">
        <v>2024</v>
      </c>
      <c r="D1153" s="45" t="s">
        <v>132</v>
      </c>
      <c r="E1153" s="47">
        <v>10</v>
      </c>
      <c r="F1153" s="48">
        <v>126.904</v>
      </c>
      <c r="G1153" s="48">
        <v>175.893</v>
      </c>
    </row>
    <row r="1154" spans="1:7" ht="10.050000000000001" customHeight="1">
      <c r="A1154" s="45" t="s">
        <v>154</v>
      </c>
      <c r="B1154" s="45" t="s">
        <v>81</v>
      </c>
      <c r="C1154" s="46">
        <v>2024</v>
      </c>
      <c r="D1154" s="45" t="s">
        <v>132</v>
      </c>
      <c r="E1154" s="47">
        <v>11</v>
      </c>
      <c r="F1154" s="48">
        <v>171.83099999999999</v>
      </c>
      <c r="G1154" s="48">
        <v>183.905</v>
      </c>
    </row>
    <row r="1155" spans="1:7" ht="10.050000000000001" customHeight="1">
      <c r="A1155" s="45" t="s">
        <v>154</v>
      </c>
      <c r="B1155" s="45" t="s">
        <v>81</v>
      </c>
      <c r="C1155" s="46">
        <v>2024</v>
      </c>
      <c r="D1155" s="45" t="s">
        <v>132</v>
      </c>
      <c r="E1155" s="47">
        <v>12</v>
      </c>
      <c r="F1155" s="48">
        <v>161.48099999999999</v>
      </c>
      <c r="G1155" s="48">
        <v>143.703</v>
      </c>
    </row>
    <row r="1157" spans="1:7" ht="12" customHeight="1">
      <c r="A1157" s="1072" t="s">
        <v>151</v>
      </c>
      <c r="B1157" s="1072"/>
      <c r="C1157" s="1072"/>
      <c r="D1157" s="1072"/>
      <c r="E1157" s="1072"/>
      <c r="F1157" s="1072"/>
      <c r="G1157" s="1072"/>
    </row>
    <row r="1158" spans="1:7" ht="12" customHeight="1">
      <c r="A1158" s="1072" t="s">
        <v>152</v>
      </c>
      <c r="B1158" s="1072"/>
      <c r="C1158" s="1072"/>
      <c r="D1158" s="1072"/>
      <c r="E1158" s="1072"/>
      <c r="F1158" s="1072"/>
      <c r="G1158" s="1072"/>
    </row>
    <row r="1159" spans="1:7" ht="12" customHeight="1">
      <c r="A1159" s="1072" t="s">
        <v>153</v>
      </c>
      <c r="B1159" s="1072"/>
      <c r="C1159" s="1072"/>
      <c r="D1159" s="1072"/>
      <c r="E1159" s="1072"/>
      <c r="F1159" s="1072"/>
      <c r="G1159" s="1072"/>
    </row>
    <row r="1161" spans="1:7" ht="12" customHeight="1">
      <c r="A1161" s="1072" t="s">
        <v>151</v>
      </c>
      <c r="B1161" s="1072"/>
      <c r="C1161" s="1072"/>
      <c r="D1161" s="1072"/>
      <c r="E1161" s="1072"/>
      <c r="F1161" s="1072"/>
      <c r="G1161" s="1072"/>
    </row>
    <row r="1162" spans="1:7" ht="12" customHeight="1">
      <c r="A1162" s="1072" t="s">
        <v>152</v>
      </c>
      <c r="B1162" s="1072"/>
      <c r="C1162" s="1072"/>
      <c r="D1162" s="1072"/>
      <c r="E1162" s="1072"/>
      <c r="F1162" s="1072"/>
      <c r="G1162" s="1072"/>
    </row>
    <row r="1163" spans="1:7" ht="12" customHeight="1">
      <c r="A1163" s="1072" t="s">
        <v>153</v>
      </c>
      <c r="B1163" s="1072"/>
      <c r="C1163" s="1072"/>
      <c r="D1163" s="1072"/>
      <c r="E1163" s="1072"/>
      <c r="F1163" s="1072"/>
      <c r="G1163" s="1072"/>
    </row>
  </sheetData>
  <autoFilter ref="A5:E1155" xr:uid="{00000000-0009-0000-0000-000002000000}"/>
  <mergeCells count="9">
    <mergeCell ref="A1161:G1161"/>
    <mergeCell ref="A1162:G1162"/>
    <mergeCell ref="A1163:G1163"/>
    <mergeCell ref="A1:G1"/>
    <mergeCell ref="A2:G2"/>
    <mergeCell ref="A3:G3"/>
    <mergeCell ref="A1157:G1157"/>
    <mergeCell ref="A1158:G1158"/>
    <mergeCell ref="A1159:G1159"/>
  </mergeCells>
  <printOptions horizontalCentered="1" verticalCentered="1"/>
  <pageMargins left="0.2" right="0.2" top="0.2" bottom="0.2" header="0" footer="0"/>
  <pageSetup paperSize="9" scale="60"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9E1FB-C3EB-4040-808A-E71FC5002D95}">
  <sheetPr>
    <tabColor rgb="FFFFC000"/>
  </sheetPr>
  <dimension ref="A1:G946"/>
  <sheetViews>
    <sheetView zoomScaleNormal="100" workbookViewId="0">
      <pane xSplit="5" ySplit="5" topLeftCell="F300" activePane="bottomRight" state="frozen"/>
      <selection activeCell="K30" sqref="K30"/>
      <selection pane="topRight" activeCell="K30" sqref="K30"/>
      <selection pane="bottomLeft" activeCell="K30" sqref="K30"/>
      <selection pane="bottomRight" activeCell="K30" sqref="K30"/>
    </sheetView>
  </sheetViews>
  <sheetFormatPr baseColWidth="10" defaultRowHeight="12" customHeight="1"/>
  <cols>
    <col min="1" max="7" width="15.6640625" style="42" bestFit="1" customWidth="1"/>
    <col min="8" max="16384" width="11.5546875" style="42"/>
  </cols>
  <sheetData>
    <row r="1" spans="1:7" ht="39" customHeight="1">
      <c r="A1" s="1073" t="s">
        <v>144</v>
      </c>
      <c r="B1" s="1074"/>
      <c r="C1" s="1074"/>
      <c r="D1" s="1074"/>
      <c r="E1" s="1074"/>
      <c r="F1" s="1074"/>
      <c r="G1" s="1074"/>
    </row>
    <row r="2" spans="1:7" ht="16.95" customHeight="1">
      <c r="A2" s="1077" t="s">
        <v>91</v>
      </c>
      <c r="B2" s="1074"/>
      <c r="C2" s="1074"/>
      <c r="D2" s="1074"/>
      <c r="E2" s="1074"/>
      <c r="F2" s="1074"/>
      <c r="G2" s="1074"/>
    </row>
    <row r="3" spans="1:7" ht="12" customHeight="1">
      <c r="A3" s="1078" t="s">
        <v>145</v>
      </c>
      <c r="B3" s="1074"/>
      <c r="C3" s="1074"/>
      <c r="D3" s="1074"/>
      <c r="E3" s="1074"/>
      <c r="F3" s="1074"/>
      <c r="G3" s="1074"/>
    </row>
    <row r="5" spans="1:7" ht="30" customHeight="1">
      <c r="A5" s="49" t="s">
        <v>146</v>
      </c>
      <c r="B5" s="49" t="s">
        <v>147</v>
      </c>
      <c r="C5" s="49" t="s">
        <v>94</v>
      </c>
      <c r="D5" s="49" t="s">
        <v>95</v>
      </c>
      <c r="E5" s="49" t="s">
        <v>96</v>
      </c>
      <c r="F5" s="49" t="s">
        <v>148</v>
      </c>
      <c r="G5" s="49" t="s">
        <v>149</v>
      </c>
    </row>
    <row r="6" spans="1:7" ht="10.050000000000001" customHeight="1">
      <c r="A6" s="45" t="s">
        <v>150</v>
      </c>
      <c r="B6" s="45" t="s">
        <v>84</v>
      </c>
      <c r="C6" s="46">
        <v>2000</v>
      </c>
      <c r="D6" s="45" t="s">
        <v>107</v>
      </c>
      <c r="E6" s="47">
        <v>7</v>
      </c>
      <c r="F6" s="48">
        <v>241.4</v>
      </c>
      <c r="G6" s="48">
        <v>517.70000000000005</v>
      </c>
    </row>
    <row r="7" spans="1:7" ht="10.050000000000001" customHeight="1">
      <c r="A7" s="45" t="s">
        <v>150</v>
      </c>
      <c r="B7" s="45" t="s">
        <v>84</v>
      </c>
      <c r="C7" s="46">
        <v>2000</v>
      </c>
      <c r="D7" s="45" t="s">
        <v>107</v>
      </c>
      <c r="E7" s="47">
        <v>8</v>
      </c>
      <c r="F7" s="48">
        <v>222.9</v>
      </c>
      <c r="G7" s="48">
        <v>555.1</v>
      </c>
    </row>
    <row r="8" spans="1:7" ht="10.050000000000001" customHeight="1">
      <c r="A8" s="45" t="s">
        <v>150</v>
      </c>
      <c r="B8" s="45" t="s">
        <v>84</v>
      </c>
      <c r="C8" s="46">
        <v>2000</v>
      </c>
      <c r="D8" s="45" t="s">
        <v>107</v>
      </c>
      <c r="E8" s="47">
        <v>9</v>
      </c>
      <c r="F8" s="48">
        <v>226.7</v>
      </c>
      <c r="G8" s="48">
        <v>558.70000000000005</v>
      </c>
    </row>
    <row r="9" spans="1:7" ht="10.050000000000001" customHeight="1">
      <c r="A9" s="45" t="s">
        <v>150</v>
      </c>
      <c r="B9" s="45" t="s">
        <v>84</v>
      </c>
      <c r="C9" s="46">
        <v>2000</v>
      </c>
      <c r="D9" s="45" t="s">
        <v>107</v>
      </c>
      <c r="E9" s="47">
        <v>10</v>
      </c>
      <c r="F9" s="48">
        <v>219.9</v>
      </c>
      <c r="G9" s="48">
        <v>817.6</v>
      </c>
    </row>
    <row r="10" spans="1:7" ht="10.050000000000001" customHeight="1">
      <c r="A10" s="45" t="s">
        <v>150</v>
      </c>
      <c r="B10" s="45" t="s">
        <v>84</v>
      </c>
      <c r="C10" s="46">
        <v>2000</v>
      </c>
      <c r="D10" s="45" t="s">
        <v>107</v>
      </c>
      <c r="E10" s="47">
        <v>11</v>
      </c>
      <c r="F10" s="48">
        <v>237.6</v>
      </c>
      <c r="G10" s="48">
        <v>788.7</v>
      </c>
    </row>
    <row r="11" spans="1:7" ht="10.050000000000001" customHeight="1">
      <c r="A11" s="45" t="s">
        <v>150</v>
      </c>
      <c r="B11" s="45" t="s">
        <v>84</v>
      </c>
      <c r="C11" s="46">
        <v>2000</v>
      </c>
      <c r="D11" s="45" t="s">
        <v>107</v>
      </c>
      <c r="E11" s="47">
        <v>12</v>
      </c>
      <c r="F11" s="48">
        <v>303.39999999999998</v>
      </c>
      <c r="G11" s="48">
        <v>771.5</v>
      </c>
    </row>
    <row r="12" spans="1:7" ht="10.050000000000001" customHeight="1">
      <c r="A12" s="45" t="s">
        <v>150</v>
      </c>
      <c r="B12" s="45" t="s">
        <v>84</v>
      </c>
      <c r="C12" s="46">
        <v>2001</v>
      </c>
      <c r="D12" s="45" t="s">
        <v>107</v>
      </c>
      <c r="E12" s="47">
        <v>1</v>
      </c>
      <c r="F12" s="48">
        <v>394.2</v>
      </c>
      <c r="G12" s="48">
        <v>929.1</v>
      </c>
    </row>
    <row r="13" spans="1:7" ht="10.050000000000001" customHeight="1">
      <c r="A13" s="45" t="s">
        <v>150</v>
      </c>
      <c r="B13" s="45" t="s">
        <v>84</v>
      </c>
      <c r="C13" s="46">
        <v>2001</v>
      </c>
      <c r="D13" s="45" t="s">
        <v>107</v>
      </c>
      <c r="E13" s="47">
        <v>2</v>
      </c>
      <c r="F13" s="48">
        <v>404</v>
      </c>
      <c r="G13" s="48">
        <v>938</v>
      </c>
    </row>
    <row r="14" spans="1:7" ht="10.050000000000001" customHeight="1">
      <c r="A14" s="45" t="s">
        <v>150</v>
      </c>
      <c r="B14" s="45" t="s">
        <v>84</v>
      </c>
      <c r="C14" s="46">
        <v>2001</v>
      </c>
      <c r="D14" s="45" t="s">
        <v>107</v>
      </c>
      <c r="E14" s="47">
        <v>3</v>
      </c>
      <c r="F14" s="48">
        <v>388.2</v>
      </c>
      <c r="G14" s="48">
        <v>637.1</v>
      </c>
    </row>
    <row r="15" spans="1:7" ht="10.050000000000001" customHeight="1">
      <c r="A15" s="45" t="s">
        <v>150</v>
      </c>
      <c r="B15" s="45" t="s">
        <v>84</v>
      </c>
      <c r="C15" s="46">
        <v>2001</v>
      </c>
      <c r="D15" s="45" t="s">
        <v>107</v>
      </c>
      <c r="E15" s="47">
        <v>4</v>
      </c>
      <c r="F15" s="48">
        <v>326.89999999999998</v>
      </c>
      <c r="G15" s="48">
        <v>590.29999999999995</v>
      </c>
    </row>
    <row r="16" spans="1:7" ht="10.050000000000001" customHeight="1">
      <c r="A16" s="45" t="s">
        <v>150</v>
      </c>
      <c r="B16" s="45" t="s">
        <v>84</v>
      </c>
      <c r="C16" s="46">
        <v>2001</v>
      </c>
      <c r="D16" s="45" t="s">
        <v>107</v>
      </c>
      <c r="E16" s="47">
        <v>5</v>
      </c>
      <c r="F16" s="48">
        <v>391.8</v>
      </c>
      <c r="G16" s="48">
        <v>478</v>
      </c>
    </row>
    <row r="17" spans="1:7" ht="10.050000000000001" customHeight="1">
      <c r="A17" s="45" t="s">
        <v>150</v>
      </c>
      <c r="B17" s="45" t="s">
        <v>84</v>
      </c>
      <c r="C17" s="46">
        <v>2001</v>
      </c>
      <c r="D17" s="45" t="s">
        <v>107</v>
      </c>
      <c r="E17" s="47">
        <v>6</v>
      </c>
      <c r="F17" s="48">
        <v>552.79999999999995</v>
      </c>
      <c r="G17" s="48">
        <v>390.4</v>
      </c>
    </row>
    <row r="18" spans="1:7" ht="10.050000000000001" customHeight="1">
      <c r="A18" s="45" t="s">
        <v>150</v>
      </c>
      <c r="B18" s="45" t="s">
        <v>84</v>
      </c>
      <c r="C18" s="46">
        <v>2001</v>
      </c>
      <c r="D18" s="45" t="s">
        <v>110</v>
      </c>
      <c r="E18" s="47">
        <v>7</v>
      </c>
      <c r="F18" s="48">
        <v>405.9</v>
      </c>
      <c r="G18" s="48">
        <v>920.4</v>
      </c>
    </row>
    <row r="19" spans="1:7" ht="10.050000000000001" customHeight="1">
      <c r="A19" s="45" t="s">
        <v>150</v>
      </c>
      <c r="B19" s="45" t="s">
        <v>84</v>
      </c>
      <c r="C19" s="46">
        <v>2001</v>
      </c>
      <c r="D19" s="45" t="s">
        <v>110</v>
      </c>
      <c r="E19" s="47">
        <v>8</v>
      </c>
      <c r="F19" s="48">
        <v>415.7</v>
      </c>
      <c r="G19" s="48">
        <v>1292.5999999999999</v>
      </c>
    </row>
    <row r="20" spans="1:7" ht="10.050000000000001" customHeight="1">
      <c r="A20" s="45" t="s">
        <v>150</v>
      </c>
      <c r="B20" s="45" t="s">
        <v>84</v>
      </c>
      <c r="C20" s="46">
        <v>2001</v>
      </c>
      <c r="D20" s="45" t="s">
        <v>110</v>
      </c>
      <c r="E20" s="47">
        <v>9</v>
      </c>
      <c r="F20" s="48">
        <v>528.1</v>
      </c>
      <c r="G20" s="48">
        <v>1274.5</v>
      </c>
    </row>
    <row r="21" spans="1:7" ht="10.050000000000001" customHeight="1">
      <c r="A21" s="45" t="s">
        <v>150</v>
      </c>
      <c r="B21" s="45" t="s">
        <v>84</v>
      </c>
      <c r="C21" s="46">
        <v>2001</v>
      </c>
      <c r="D21" s="45" t="s">
        <v>110</v>
      </c>
      <c r="E21" s="47">
        <v>10</v>
      </c>
      <c r="F21" s="48">
        <v>252.2</v>
      </c>
      <c r="G21" s="48">
        <v>1308.5999999999999</v>
      </c>
    </row>
    <row r="22" spans="1:7" ht="10.050000000000001" customHeight="1">
      <c r="A22" s="45" t="s">
        <v>150</v>
      </c>
      <c r="B22" s="45" t="s">
        <v>84</v>
      </c>
      <c r="C22" s="46">
        <v>2001</v>
      </c>
      <c r="D22" s="45" t="s">
        <v>110</v>
      </c>
      <c r="E22" s="47">
        <v>11</v>
      </c>
      <c r="F22" s="48">
        <v>710.1</v>
      </c>
      <c r="G22" s="48">
        <v>1143.2</v>
      </c>
    </row>
    <row r="23" spans="1:7" ht="10.050000000000001" customHeight="1">
      <c r="A23" s="45" t="s">
        <v>150</v>
      </c>
      <c r="B23" s="45" t="s">
        <v>84</v>
      </c>
      <c r="C23" s="46">
        <v>2001</v>
      </c>
      <c r="D23" s="45" t="s">
        <v>110</v>
      </c>
      <c r="E23" s="47">
        <v>12</v>
      </c>
      <c r="F23" s="48">
        <v>382.6</v>
      </c>
      <c r="G23" s="48">
        <v>1246.5</v>
      </c>
    </row>
    <row r="24" spans="1:7" ht="10.050000000000001" customHeight="1">
      <c r="A24" s="45" t="s">
        <v>150</v>
      </c>
      <c r="B24" s="45" t="s">
        <v>84</v>
      </c>
      <c r="C24" s="46">
        <v>2002</v>
      </c>
      <c r="D24" s="45" t="s">
        <v>110</v>
      </c>
      <c r="E24" s="47">
        <v>1</v>
      </c>
      <c r="F24" s="48">
        <v>580.20000000000005</v>
      </c>
      <c r="G24" s="48">
        <v>1138.3</v>
      </c>
    </row>
    <row r="25" spans="1:7" ht="10.050000000000001" customHeight="1">
      <c r="A25" s="45" t="s">
        <v>150</v>
      </c>
      <c r="B25" s="45" t="s">
        <v>84</v>
      </c>
      <c r="C25" s="46">
        <v>2002</v>
      </c>
      <c r="D25" s="45" t="s">
        <v>110</v>
      </c>
      <c r="E25" s="47">
        <v>2</v>
      </c>
      <c r="F25" s="48">
        <v>482.2</v>
      </c>
      <c r="G25" s="48">
        <v>953.8</v>
      </c>
    </row>
    <row r="26" spans="1:7" ht="10.050000000000001" customHeight="1">
      <c r="A26" s="45" t="s">
        <v>150</v>
      </c>
      <c r="B26" s="45" t="s">
        <v>84</v>
      </c>
      <c r="C26" s="46">
        <v>2002</v>
      </c>
      <c r="D26" s="45" t="s">
        <v>110</v>
      </c>
      <c r="E26" s="47">
        <v>3</v>
      </c>
      <c r="F26" s="48">
        <v>625.6</v>
      </c>
      <c r="G26" s="48">
        <v>854.1</v>
      </c>
    </row>
    <row r="27" spans="1:7" ht="10.050000000000001" customHeight="1">
      <c r="A27" s="45" t="s">
        <v>150</v>
      </c>
      <c r="B27" s="45" t="s">
        <v>84</v>
      </c>
      <c r="C27" s="46">
        <v>2002</v>
      </c>
      <c r="D27" s="45" t="s">
        <v>110</v>
      </c>
      <c r="E27" s="47">
        <v>4</v>
      </c>
      <c r="F27" s="48">
        <v>651</v>
      </c>
      <c r="G27" s="48">
        <v>724.2</v>
      </c>
    </row>
    <row r="28" spans="1:7" ht="10.050000000000001" customHeight="1">
      <c r="A28" s="45" t="s">
        <v>150</v>
      </c>
      <c r="B28" s="45" t="s">
        <v>84</v>
      </c>
      <c r="C28" s="46">
        <v>2002</v>
      </c>
      <c r="D28" s="45" t="s">
        <v>110</v>
      </c>
      <c r="E28" s="47">
        <v>5</v>
      </c>
      <c r="F28" s="48">
        <v>697.5</v>
      </c>
      <c r="G28" s="48">
        <v>535.70000000000005</v>
      </c>
    </row>
    <row r="29" spans="1:7" ht="10.050000000000001" customHeight="1">
      <c r="A29" s="45" t="s">
        <v>150</v>
      </c>
      <c r="B29" s="45" t="s">
        <v>84</v>
      </c>
      <c r="C29" s="46">
        <v>2002</v>
      </c>
      <c r="D29" s="45" t="s">
        <v>110</v>
      </c>
      <c r="E29" s="47">
        <v>6</v>
      </c>
      <c r="F29" s="48">
        <v>487.7</v>
      </c>
      <c r="G29" s="48">
        <v>864</v>
      </c>
    </row>
    <row r="30" spans="1:7" ht="10.050000000000001" customHeight="1">
      <c r="A30" s="45" t="s">
        <v>150</v>
      </c>
      <c r="B30" s="45" t="s">
        <v>84</v>
      </c>
      <c r="C30" s="46">
        <v>2002</v>
      </c>
      <c r="D30" s="45" t="s">
        <v>111</v>
      </c>
      <c r="E30" s="47">
        <v>7</v>
      </c>
      <c r="F30" s="48">
        <v>499.7</v>
      </c>
      <c r="G30" s="48">
        <v>1088.5999999999999</v>
      </c>
    </row>
    <row r="31" spans="1:7" ht="10.050000000000001" customHeight="1">
      <c r="A31" s="45" t="s">
        <v>150</v>
      </c>
      <c r="B31" s="45" t="s">
        <v>84</v>
      </c>
      <c r="C31" s="46">
        <v>2002</v>
      </c>
      <c r="D31" s="45" t="s">
        <v>111</v>
      </c>
      <c r="E31" s="47">
        <v>8</v>
      </c>
      <c r="F31" s="48">
        <v>756.3</v>
      </c>
      <c r="G31" s="48">
        <v>1547.3</v>
      </c>
    </row>
    <row r="32" spans="1:7" ht="10.050000000000001" customHeight="1">
      <c r="A32" s="45" t="s">
        <v>150</v>
      </c>
      <c r="B32" s="45" t="s">
        <v>84</v>
      </c>
      <c r="C32" s="46">
        <v>2002</v>
      </c>
      <c r="D32" s="45" t="s">
        <v>111</v>
      </c>
      <c r="E32" s="47">
        <v>9</v>
      </c>
      <c r="F32" s="48">
        <v>4736</v>
      </c>
      <c r="G32" s="48">
        <v>2792.9</v>
      </c>
    </row>
    <row r="33" spans="1:7" ht="10.050000000000001" customHeight="1">
      <c r="A33" s="45" t="s">
        <v>150</v>
      </c>
      <c r="B33" s="45" t="s">
        <v>84</v>
      </c>
      <c r="C33" s="46">
        <v>2002</v>
      </c>
      <c r="D33" s="45" t="s">
        <v>111</v>
      </c>
      <c r="E33" s="47">
        <v>10</v>
      </c>
      <c r="F33" s="48">
        <v>4916.8</v>
      </c>
      <c r="G33" s="48">
        <v>3654.5</v>
      </c>
    </row>
    <row r="34" spans="1:7" ht="10.050000000000001" customHeight="1">
      <c r="A34" s="45" t="s">
        <v>150</v>
      </c>
      <c r="B34" s="45" t="s">
        <v>84</v>
      </c>
      <c r="C34" s="46">
        <v>2002</v>
      </c>
      <c r="D34" s="45" t="s">
        <v>111</v>
      </c>
      <c r="E34" s="47">
        <v>11</v>
      </c>
      <c r="F34" s="48">
        <v>3924.8</v>
      </c>
      <c r="G34" s="48">
        <v>2707.5</v>
      </c>
    </row>
    <row r="35" spans="1:7" ht="10.050000000000001" customHeight="1">
      <c r="A35" s="45" t="s">
        <v>150</v>
      </c>
      <c r="B35" s="45" t="s">
        <v>84</v>
      </c>
      <c r="C35" s="46">
        <v>2002</v>
      </c>
      <c r="D35" s="45" t="s">
        <v>111</v>
      </c>
      <c r="E35" s="47">
        <v>12</v>
      </c>
      <c r="F35" s="48">
        <v>4910.6000000000004</v>
      </c>
      <c r="G35" s="48">
        <v>5324.9</v>
      </c>
    </row>
    <row r="36" spans="1:7" ht="10.050000000000001" customHeight="1">
      <c r="A36" s="45" t="s">
        <v>150</v>
      </c>
      <c r="B36" s="45" t="s">
        <v>84</v>
      </c>
      <c r="C36" s="46">
        <v>2003</v>
      </c>
      <c r="D36" s="45" t="s">
        <v>111</v>
      </c>
      <c r="E36" s="47">
        <v>1</v>
      </c>
      <c r="F36" s="48">
        <v>5864</v>
      </c>
      <c r="G36" s="48">
        <v>5548.4</v>
      </c>
    </row>
    <row r="37" spans="1:7" ht="10.050000000000001" customHeight="1">
      <c r="A37" s="45" t="s">
        <v>150</v>
      </c>
      <c r="B37" s="45" t="s">
        <v>84</v>
      </c>
      <c r="C37" s="46">
        <v>2003</v>
      </c>
      <c r="D37" s="45" t="s">
        <v>111</v>
      </c>
      <c r="E37" s="47">
        <v>2</v>
      </c>
      <c r="F37" s="48">
        <v>5199.3999999999996</v>
      </c>
      <c r="G37" s="48">
        <v>3725.7</v>
      </c>
    </row>
    <row r="38" spans="1:7" ht="10.050000000000001" customHeight="1">
      <c r="A38" s="45" t="s">
        <v>150</v>
      </c>
      <c r="B38" s="45" t="s">
        <v>84</v>
      </c>
      <c r="C38" s="46">
        <v>2003</v>
      </c>
      <c r="D38" s="45" t="s">
        <v>111</v>
      </c>
      <c r="E38" s="47">
        <v>3</v>
      </c>
      <c r="F38" s="48">
        <v>3570.4</v>
      </c>
      <c r="G38" s="48">
        <v>3327.2</v>
      </c>
    </row>
    <row r="39" spans="1:7" ht="10.050000000000001" customHeight="1">
      <c r="A39" s="45" t="s">
        <v>150</v>
      </c>
      <c r="B39" s="45" t="s">
        <v>84</v>
      </c>
      <c r="C39" s="46">
        <v>2003</v>
      </c>
      <c r="D39" s="45" t="s">
        <v>111</v>
      </c>
      <c r="E39" s="47">
        <v>4</v>
      </c>
      <c r="F39" s="48">
        <v>2742.4</v>
      </c>
      <c r="G39" s="48">
        <v>1438.8</v>
      </c>
    </row>
    <row r="40" spans="1:7" ht="10.050000000000001" customHeight="1">
      <c r="A40" s="45" t="s">
        <v>150</v>
      </c>
      <c r="B40" s="45" t="s">
        <v>84</v>
      </c>
      <c r="C40" s="46">
        <v>2003</v>
      </c>
      <c r="D40" s="45" t="s">
        <v>111</v>
      </c>
      <c r="E40" s="47">
        <v>5</v>
      </c>
      <c r="F40" s="48">
        <v>909.5</v>
      </c>
      <c r="G40" s="48">
        <v>1260.3</v>
      </c>
    </row>
    <row r="41" spans="1:7" ht="10.050000000000001" customHeight="1">
      <c r="A41" s="45" t="s">
        <v>150</v>
      </c>
      <c r="B41" s="45" t="s">
        <v>84</v>
      </c>
      <c r="C41" s="46">
        <v>2003</v>
      </c>
      <c r="D41" s="45" t="s">
        <v>111</v>
      </c>
      <c r="E41" s="47">
        <v>6</v>
      </c>
      <c r="F41" s="48">
        <v>637.79999999999995</v>
      </c>
      <c r="G41" s="48">
        <v>1329.9</v>
      </c>
    </row>
    <row r="42" spans="1:7" ht="10.050000000000001" customHeight="1">
      <c r="A42" s="45" t="s">
        <v>150</v>
      </c>
      <c r="B42" s="45" t="s">
        <v>84</v>
      </c>
      <c r="C42" s="46">
        <v>2003</v>
      </c>
      <c r="D42" s="45" t="s">
        <v>108</v>
      </c>
      <c r="E42" s="47">
        <v>7</v>
      </c>
      <c r="F42" s="48">
        <v>719.8</v>
      </c>
      <c r="G42" s="48">
        <v>1068.0999999999999</v>
      </c>
    </row>
    <row r="43" spans="1:7" ht="10.050000000000001" customHeight="1">
      <c r="A43" s="45" t="s">
        <v>150</v>
      </c>
      <c r="B43" s="45" t="s">
        <v>84</v>
      </c>
      <c r="C43" s="46">
        <v>2003</v>
      </c>
      <c r="D43" s="45" t="s">
        <v>108</v>
      </c>
      <c r="E43" s="47">
        <v>8</v>
      </c>
      <c r="F43" s="48">
        <v>619</v>
      </c>
      <c r="G43" s="48">
        <v>932.7</v>
      </c>
    </row>
    <row r="44" spans="1:7" ht="10.050000000000001" customHeight="1">
      <c r="A44" s="45" t="s">
        <v>150</v>
      </c>
      <c r="B44" s="45" t="s">
        <v>84</v>
      </c>
      <c r="C44" s="46">
        <v>2003</v>
      </c>
      <c r="D44" s="45" t="s">
        <v>108</v>
      </c>
      <c r="E44" s="47">
        <v>9</v>
      </c>
      <c r="F44" s="48">
        <v>477.3</v>
      </c>
      <c r="G44" s="48">
        <v>811.7</v>
      </c>
    </row>
    <row r="45" spans="1:7" ht="10.050000000000001" customHeight="1">
      <c r="A45" s="45" t="s">
        <v>150</v>
      </c>
      <c r="B45" s="45" t="s">
        <v>84</v>
      </c>
      <c r="C45" s="46">
        <v>2003</v>
      </c>
      <c r="D45" s="45" t="s">
        <v>108</v>
      </c>
      <c r="E45" s="47">
        <v>10</v>
      </c>
      <c r="F45" s="48">
        <v>591.20000000000005</v>
      </c>
      <c r="G45" s="48">
        <v>582.29999999999995</v>
      </c>
    </row>
    <row r="46" spans="1:7" ht="10.050000000000001" customHeight="1">
      <c r="A46" s="45" t="s">
        <v>150</v>
      </c>
      <c r="B46" s="45" t="s">
        <v>84</v>
      </c>
      <c r="C46" s="46">
        <v>2003</v>
      </c>
      <c r="D46" s="45" t="s">
        <v>108</v>
      </c>
      <c r="E46" s="47">
        <v>11</v>
      </c>
      <c r="F46" s="48">
        <v>726</v>
      </c>
      <c r="G46" s="48">
        <v>543.6</v>
      </c>
    </row>
    <row r="47" spans="1:7" ht="10.050000000000001" customHeight="1">
      <c r="A47" s="45" t="s">
        <v>150</v>
      </c>
      <c r="B47" s="45" t="s">
        <v>84</v>
      </c>
      <c r="C47" s="46">
        <v>2003</v>
      </c>
      <c r="D47" s="45" t="s">
        <v>108</v>
      </c>
      <c r="E47" s="47">
        <v>12</v>
      </c>
      <c r="F47" s="48">
        <v>782.4</v>
      </c>
      <c r="G47" s="48">
        <v>557.20000000000005</v>
      </c>
    </row>
    <row r="48" spans="1:7" ht="10.050000000000001" customHeight="1">
      <c r="A48" s="45" t="s">
        <v>150</v>
      </c>
      <c r="B48" s="45" t="s">
        <v>84</v>
      </c>
      <c r="C48" s="46">
        <v>2004</v>
      </c>
      <c r="D48" s="45" t="s">
        <v>108</v>
      </c>
      <c r="E48" s="47">
        <v>1</v>
      </c>
      <c r="F48" s="48">
        <v>903.4</v>
      </c>
      <c r="G48" s="48">
        <v>614.20000000000005</v>
      </c>
    </row>
    <row r="49" spans="1:7" ht="10.050000000000001" customHeight="1">
      <c r="A49" s="45" t="s">
        <v>150</v>
      </c>
      <c r="B49" s="45" t="s">
        <v>84</v>
      </c>
      <c r="C49" s="46">
        <v>2004</v>
      </c>
      <c r="D49" s="45" t="s">
        <v>108</v>
      </c>
      <c r="E49" s="47">
        <v>2</v>
      </c>
      <c r="F49" s="48">
        <v>939.5</v>
      </c>
      <c r="G49" s="48">
        <v>465.2</v>
      </c>
    </row>
    <row r="50" spans="1:7" ht="10.050000000000001" customHeight="1">
      <c r="A50" s="45" t="s">
        <v>150</v>
      </c>
      <c r="B50" s="45" t="s">
        <v>84</v>
      </c>
      <c r="C50" s="46">
        <v>2004</v>
      </c>
      <c r="D50" s="45" t="s">
        <v>108</v>
      </c>
      <c r="E50" s="47">
        <v>3</v>
      </c>
      <c r="F50" s="48">
        <v>1044.9000000000001</v>
      </c>
      <c r="G50" s="48">
        <v>464.4</v>
      </c>
    </row>
    <row r="51" spans="1:7" ht="10.050000000000001" customHeight="1">
      <c r="A51" s="45" t="s">
        <v>150</v>
      </c>
      <c r="B51" s="45" t="s">
        <v>84</v>
      </c>
      <c r="C51" s="46">
        <v>2004</v>
      </c>
      <c r="D51" s="45" t="s">
        <v>108</v>
      </c>
      <c r="E51" s="47">
        <v>4</v>
      </c>
      <c r="F51" s="48">
        <v>758.8</v>
      </c>
      <c r="G51" s="48">
        <v>545.9</v>
      </c>
    </row>
    <row r="52" spans="1:7" ht="10.050000000000001" customHeight="1">
      <c r="A52" s="45" t="s">
        <v>150</v>
      </c>
      <c r="B52" s="45" t="s">
        <v>84</v>
      </c>
      <c r="C52" s="46">
        <v>2004</v>
      </c>
      <c r="D52" s="45" t="s">
        <v>108</v>
      </c>
      <c r="E52" s="47">
        <v>5</v>
      </c>
      <c r="F52" s="48">
        <v>627.20000000000005</v>
      </c>
      <c r="G52" s="48">
        <v>382.1</v>
      </c>
    </row>
    <row r="53" spans="1:7" ht="10.050000000000001" customHeight="1">
      <c r="A53" s="45" t="s">
        <v>150</v>
      </c>
      <c r="B53" s="45" t="s">
        <v>84</v>
      </c>
      <c r="C53" s="46">
        <v>2004</v>
      </c>
      <c r="D53" s="45" t="s">
        <v>108</v>
      </c>
      <c r="E53" s="47">
        <v>6</v>
      </c>
      <c r="F53" s="48">
        <v>707</v>
      </c>
      <c r="G53" s="48">
        <v>359.7</v>
      </c>
    </row>
    <row r="54" spans="1:7" ht="10.050000000000001" customHeight="1">
      <c r="A54" s="45" t="s">
        <v>150</v>
      </c>
      <c r="B54" s="45" t="s">
        <v>84</v>
      </c>
      <c r="C54" s="46">
        <v>2004</v>
      </c>
      <c r="D54" s="45" t="s">
        <v>112</v>
      </c>
      <c r="E54" s="47">
        <v>7</v>
      </c>
      <c r="F54" s="48">
        <v>1150.2</v>
      </c>
      <c r="G54" s="48">
        <v>448.1</v>
      </c>
    </row>
    <row r="55" spans="1:7" ht="10.050000000000001" customHeight="1">
      <c r="A55" s="45" t="s">
        <v>150</v>
      </c>
      <c r="B55" s="45" t="s">
        <v>84</v>
      </c>
      <c r="C55" s="46">
        <v>2004</v>
      </c>
      <c r="D55" s="45" t="s">
        <v>112</v>
      </c>
      <c r="E55" s="47">
        <v>8</v>
      </c>
      <c r="F55" s="48">
        <v>1153</v>
      </c>
      <c r="G55" s="48">
        <v>602.1</v>
      </c>
    </row>
    <row r="56" spans="1:7" ht="10.050000000000001" customHeight="1">
      <c r="A56" s="45" t="s">
        <v>150</v>
      </c>
      <c r="B56" s="45" t="s">
        <v>84</v>
      </c>
      <c r="C56" s="46">
        <v>2004</v>
      </c>
      <c r="D56" s="45" t="s">
        <v>112</v>
      </c>
      <c r="E56" s="47">
        <v>9</v>
      </c>
      <c r="F56" s="48">
        <v>1220.5</v>
      </c>
      <c r="G56" s="48">
        <v>794.7</v>
      </c>
    </row>
    <row r="57" spans="1:7" ht="10.050000000000001" customHeight="1">
      <c r="A57" s="45" t="s">
        <v>150</v>
      </c>
      <c r="B57" s="45" t="s">
        <v>84</v>
      </c>
      <c r="C57" s="46">
        <v>2004</v>
      </c>
      <c r="D57" s="45" t="s">
        <v>112</v>
      </c>
      <c r="E57" s="47">
        <v>10</v>
      </c>
      <c r="F57" s="48">
        <v>921.8</v>
      </c>
      <c r="G57" s="48">
        <v>796.2</v>
      </c>
    </row>
    <row r="58" spans="1:7" ht="10.050000000000001" customHeight="1">
      <c r="A58" s="45" t="s">
        <v>150</v>
      </c>
      <c r="B58" s="45" t="s">
        <v>84</v>
      </c>
      <c r="C58" s="46">
        <v>2004</v>
      </c>
      <c r="D58" s="45" t="s">
        <v>112</v>
      </c>
      <c r="E58" s="47">
        <v>11</v>
      </c>
      <c r="F58" s="48">
        <v>1096.7</v>
      </c>
      <c r="G58" s="48">
        <v>732.5</v>
      </c>
    </row>
    <row r="59" spans="1:7" ht="10.050000000000001" customHeight="1">
      <c r="A59" s="45" t="s">
        <v>150</v>
      </c>
      <c r="B59" s="45" t="s">
        <v>84</v>
      </c>
      <c r="C59" s="46">
        <v>2004</v>
      </c>
      <c r="D59" s="45" t="s">
        <v>112</v>
      </c>
      <c r="E59" s="47">
        <v>12</v>
      </c>
      <c r="F59" s="48">
        <v>975.5</v>
      </c>
      <c r="G59" s="48">
        <v>727.3</v>
      </c>
    </row>
    <row r="60" spans="1:7" ht="10.050000000000001" customHeight="1">
      <c r="A60" s="45" t="s">
        <v>150</v>
      </c>
      <c r="B60" s="45" t="s">
        <v>84</v>
      </c>
      <c r="C60" s="46">
        <v>2005</v>
      </c>
      <c r="D60" s="45" t="s">
        <v>112</v>
      </c>
      <c r="E60" s="47">
        <v>1</v>
      </c>
      <c r="F60" s="48">
        <v>936.2</v>
      </c>
      <c r="G60" s="48">
        <v>917.7</v>
      </c>
    </row>
    <row r="61" spans="1:7" ht="10.050000000000001" customHeight="1">
      <c r="A61" s="45" t="s">
        <v>150</v>
      </c>
      <c r="B61" s="45" t="s">
        <v>84</v>
      </c>
      <c r="C61" s="46">
        <v>2005</v>
      </c>
      <c r="D61" s="45" t="s">
        <v>112</v>
      </c>
      <c r="E61" s="47">
        <v>2</v>
      </c>
      <c r="F61" s="48">
        <v>939.8</v>
      </c>
      <c r="G61" s="48">
        <v>634.70000000000005</v>
      </c>
    </row>
    <row r="62" spans="1:7" ht="10.050000000000001" customHeight="1">
      <c r="A62" s="45" t="s">
        <v>150</v>
      </c>
      <c r="B62" s="45" t="s">
        <v>84</v>
      </c>
      <c r="C62" s="46">
        <v>2005</v>
      </c>
      <c r="D62" s="45" t="s">
        <v>112</v>
      </c>
      <c r="E62" s="47">
        <v>3</v>
      </c>
      <c r="F62" s="48">
        <v>893.6</v>
      </c>
      <c r="G62" s="48">
        <v>601</v>
      </c>
    </row>
    <row r="63" spans="1:7" ht="10.050000000000001" customHeight="1">
      <c r="A63" s="45" t="s">
        <v>150</v>
      </c>
      <c r="B63" s="45" t="s">
        <v>84</v>
      </c>
      <c r="C63" s="46">
        <v>2005</v>
      </c>
      <c r="D63" s="45" t="s">
        <v>112</v>
      </c>
      <c r="E63" s="47">
        <v>4</v>
      </c>
      <c r="F63" s="48">
        <v>665.8</v>
      </c>
      <c r="G63" s="48">
        <v>684.4</v>
      </c>
    </row>
    <row r="64" spans="1:7" ht="10.050000000000001" customHeight="1">
      <c r="A64" s="45" t="s">
        <v>150</v>
      </c>
      <c r="B64" s="45" t="s">
        <v>84</v>
      </c>
      <c r="C64" s="46">
        <v>2005</v>
      </c>
      <c r="D64" s="45" t="s">
        <v>112</v>
      </c>
      <c r="E64" s="47">
        <v>5</v>
      </c>
      <c r="F64" s="48">
        <v>907.1</v>
      </c>
      <c r="G64" s="48">
        <v>811.4</v>
      </c>
    </row>
    <row r="65" spans="1:7" ht="10.050000000000001" customHeight="1">
      <c r="A65" s="45" t="s">
        <v>150</v>
      </c>
      <c r="B65" s="45" t="s">
        <v>84</v>
      </c>
      <c r="C65" s="46">
        <v>2005</v>
      </c>
      <c r="D65" s="45" t="s">
        <v>112</v>
      </c>
      <c r="E65" s="47">
        <v>6</v>
      </c>
      <c r="F65" s="48">
        <v>805</v>
      </c>
      <c r="G65" s="48">
        <v>970.3</v>
      </c>
    </row>
    <row r="66" spans="1:7" ht="10.050000000000001" customHeight="1">
      <c r="A66" s="45" t="s">
        <v>150</v>
      </c>
      <c r="B66" s="45" t="s">
        <v>84</v>
      </c>
      <c r="C66" s="46">
        <v>2005</v>
      </c>
      <c r="D66" s="45" t="s">
        <v>113</v>
      </c>
      <c r="E66" s="47">
        <v>7</v>
      </c>
      <c r="F66" s="48">
        <v>793.1</v>
      </c>
      <c r="G66" s="48">
        <v>1199.3</v>
      </c>
    </row>
    <row r="67" spans="1:7" ht="10.050000000000001" customHeight="1">
      <c r="A67" s="45" t="s">
        <v>150</v>
      </c>
      <c r="B67" s="45" t="s">
        <v>84</v>
      </c>
      <c r="C67" s="46">
        <v>2005</v>
      </c>
      <c r="D67" s="45" t="s">
        <v>113</v>
      </c>
      <c r="E67" s="47">
        <v>8</v>
      </c>
      <c r="F67" s="48">
        <v>1066.4000000000001</v>
      </c>
      <c r="G67" s="48">
        <v>1176.5999999999999</v>
      </c>
    </row>
    <row r="68" spans="1:7" ht="10.050000000000001" customHeight="1">
      <c r="A68" s="45" t="s">
        <v>150</v>
      </c>
      <c r="B68" s="45" t="s">
        <v>84</v>
      </c>
      <c r="C68" s="46">
        <v>2005</v>
      </c>
      <c r="D68" s="45" t="s">
        <v>113</v>
      </c>
      <c r="E68" s="47">
        <v>9</v>
      </c>
      <c r="F68" s="48">
        <v>1319.5</v>
      </c>
      <c r="G68" s="48">
        <v>973.1</v>
      </c>
    </row>
    <row r="69" spans="1:7" ht="10.050000000000001" customHeight="1">
      <c r="A69" s="45" t="s">
        <v>150</v>
      </c>
      <c r="B69" s="45" t="s">
        <v>84</v>
      </c>
      <c r="C69" s="46">
        <v>2005</v>
      </c>
      <c r="D69" s="45" t="s">
        <v>113</v>
      </c>
      <c r="E69" s="47">
        <v>10</v>
      </c>
      <c r="F69" s="48">
        <v>1260.8</v>
      </c>
      <c r="G69" s="48">
        <v>645</v>
      </c>
    </row>
    <row r="70" spans="1:7" ht="10.050000000000001" customHeight="1">
      <c r="A70" s="45" t="s">
        <v>150</v>
      </c>
      <c r="B70" s="45" t="s">
        <v>84</v>
      </c>
      <c r="C70" s="46">
        <v>2005</v>
      </c>
      <c r="D70" s="45" t="s">
        <v>113</v>
      </c>
      <c r="E70" s="47">
        <v>11</v>
      </c>
      <c r="F70" s="48">
        <v>1387.2</v>
      </c>
      <c r="G70" s="48">
        <v>566.79999999999995</v>
      </c>
    </row>
    <row r="71" spans="1:7" ht="10.050000000000001" customHeight="1">
      <c r="A71" s="45" t="s">
        <v>150</v>
      </c>
      <c r="B71" s="45" t="s">
        <v>84</v>
      </c>
      <c r="C71" s="46">
        <v>2005</v>
      </c>
      <c r="D71" s="45" t="s">
        <v>113</v>
      </c>
      <c r="E71" s="47">
        <v>12</v>
      </c>
      <c r="F71" s="48">
        <v>1308.5</v>
      </c>
      <c r="G71" s="48">
        <v>761.9</v>
      </c>
    </row>
    <row r="72" spans="1:7" ht="10.050000000000001" customHeight="1">
      <c r="A72" s="45" t="s">
        <v>150</v>
      </c>
      <c r="B72" s="45" t="s">
        <v>84</v>
      </c>
      <c r="C72" s="46">
        <v>2006</v>
      </c>
      <c r="D72" s="45" t="s">
        <v>113</v>
      </c>
      <c r="E72" s="47">
        <v>1</v>
      </c>
      <c r="F72" s="48">
        <v>1137.2</v>
      </c>
      <c r="G72" s="48">
        <v>983.7</v>
      </c>
    </row>
    <row r="73" spans="1:7" ht="10.050000000000001" customHeight="1">
      <c r="A73" s="45" t="s">
        <v>150</v>
      </c>
      <c r="B73" s="45" t="s">
        <v>84</v>
      </c>
      <c r="C73" s="46">
        <v>2006</v>
      </c>
      <c r="D73" s="45" t="s">
        <v>113</v>
      </c>
      <c r="E73" s="47">
        <v>2</v>
      </c>
      <c r="F73" s="48">
        <v>1152.8</v>
      </c>
      <c r="G73" s="48">
        <v>720.6</v>
      </c>
    </row>
    <row r="74" spans="1:7" ht="10.050000000000001" customHeight="1">
      <c r="A74" s="45" t="s">
        <v>150</v>
      </c>
      <c r="B74" s="45" t="s">
        <v>84</v>
      </c>
      <c r="C74" s="46">
        <v>2006</v>
      </c>
      <c r="D74" s="45" t="s">
        <v>113</v>
      </c>
      <c r="E74" s="47">
        <v>3</v>
      </c>
      <c r="F74" s="48">
        <v>1687.8</v>
      </c>
      <c r="G74" s="48">
        <v>954.9</v>
      </c>
    </row>
    <row r="75" spans="1:7" ht="10.050000000000001" customHeight="1">
      <c r="A75" s="45" t="s">
        <v>150</v>
      </c>
      <c r="B75" s="45" t="s">
        <v>84</v>
      </c>
      <c r="C75" s="46">
        <v>2006</v>
      </c>
      <c r="D75" s="45" t="s">
        <v>113</v>
      </c>
      <c r="E75" s="47">
        <v>4</v>
      </c>
      <c r="F75" s="48">
        <v>1335.3</v>
      </c>
      <c r="G75" s="48">
        <v>781.6</v>
      </c>
    </row>
    <row r="76" spans="1:7" ht="10.050000000000001" customHeight="1">
      <c r="A76" s="45" t="s">
        <v>150</v>
      </c>
      <c r="B76" s="45" t="s">
        <v>84</v>
      </c>
      <c r="C76" s="46">
        <v>2006</v>
      </c>
      <c r="D76" s="45" t="s">
        <v>113</v>
      </c>
      <c r="E76" s="47">
        <v>5</v>
      </c>
      <c r="F76" s="48">
        <v>1962.9</v>
      </c>
      <c r="G76" s="48">
        <v>2096.5</v>
      </c>
    </row>
    <row r="77" spans="1:7" ht="10.050000000000001" customHeight="1">
      <c r="A77" s="45" t="s">
        <v>150</v>
      </c>
      <c r="B77" s="45" t="s">
        <v>84</v>
      </c>
      <c r="C77" s="46">
        <v>2006</v>
      </c>
      <c r="D77" s="45" t="s">
        <v>113</v>
      </c>
      <c r="E77" s="47">
        <v>6</v>
      </c>
      <c r="F77" s="48">
        <v>2797.8</v>
      </c>
      <c r="G77" s="48">
        <v>1192.2</v>
      </c>
    </row>
    <row r="78" spans="1:7" ht="10.050000000000001" customHeight="1">
      <c r="A78" s="45" t="s">
        <v>150</v>
      </c>
      <c r="B78" s="45" t="s">
        <v>84</v>
      </c>
      <c r="C78" s="46">
        <v>2006</v>
      </c>
      <c r="D78" s="45" t="s">
        <v>114</v>
      </c>
      <c r="E78" s="47">
        <v>7</v>
      </c>
      <c r="F78" s="48">
        <v>2017.5</v>
      </c>
      <c r="G78" s="48">
        <v>981.2</v>
      </c>
    </row>
    <row r="79" spans="1:7" ht="10.050000000000001" customHeight="1">
      <c r="A79" s="45" t="s">
        <v>150</v>
      </c>
      <c r="B79" s="45" t="s">
        <v>84</v>
      </c>
      <c r="C79" s="46">
        <v>2006</v>
      </c>
      <c r="D79" s="45" t="s">
        <v>114</v>
      </c>
      <c r="E79" s="47">
        <v>8</v>
      </c>
      <c r="F79" s="48">
        <v>1266.5999999999999</v>
      </c>
      <c r="G79" s="48">
        <v>759</v>
      </c>
    </row>
    <row r="80" spans="1:7" ht="10.050000000000001" customHeight="1">
      <c r="A80" s="45" t="s">
        <v>150</v>
      </c>
      <c r="B80" s="45" t="s">
        <v>84</v>
      </c>
      <c r="C80" s="46">
        <v>2006</v>
      </c>
      <c r="D80" s="45" t="s">
        <v>114</v>
      </c>
      <c r="E80" s="47">
        <v>9</v>
      </c>
      <c r="F80" s="48">
        <v>947.7</v>
      </c>
      <c r="G80" s="48">
        <v>948.3</v>
      </c>
    </row>
    <row r="81" spans="1:7" ht="10.050000000000001" customHeight="1">
      <c r="A81" s="45" t="s">
        <v>150</v>
      </c>
      <c r="B81" s="45" t="s">
        <v>84</v>
      </c>
      <c r="C81" s="46">
        <v>2006</v>
      </c>
      <c r="D81" s="45" t="s">
        <v>114</v>
      </c>
      <c r="E81" s="47">
        <v>10</v>
      </c>
      <c r="F81" s="48">
        <v>1602</v>
      </c>
      <c r="G81" s="48">
        <v>1234.5999999999999</v>
      </c>
    </row>
    <row r="82" spans="1:7" ht="10.050000000000001" customHeight="1">
      <c r="A82" s="45" t="s">
        <v>150</v>
      </c>
      <c r="B82" s="45" t="s">
        <v>84</v>
      </c>
      <c r="C82" s="46">
        <v>2006</v>
      </c>
      <c r="D82" s="45" t="s">
        <v>114</v>
      </c>
      <c r="E82" s="47">
        <v>11</v>
      </c>
      <c r="F82" s="48">
        <v>2600.9</v>
      </c>
      <c r="G82" s="48">
        <v>1631.4</v>
      </c>
    </row>
    <row r="83" spans="1:7" ht="10.050000000000001" customHeight="1">
      <c r="A83" s="45" t="s">
        <v>150</v>
      </c>
      <c r="B83" s="45" t="s">
        <v>84</v>
      </c>
      <c r="C83" s="46">
        <v>2006</v>
      </c>
      <c r="D83" s="45" t="s">
        <v>114</v>
      </c>
      <c r="E83" s="47">
        <v>12</v>
      </c>
      <c r="F83" s="48">
        <v>2330.1</v>
      </c>
      <c r="G83" s="48">
        <v>1278.5</v>
      </c>
    </row>
    <row r="84" spans="1:7" ht="10.050000000000001" customHeight="1">
      <c r="A84" s="45" t="s">
        <v>150</v>
      </c>
      <c r="B84" s="45" t="s">
        <v>84</v>
      </c>
      <c r="C84" s="46">
        <v>2007</v>
      </c>
      <c r="D84" s="45" t="s">
        <v>114</v>
      </c>
      <c r="E84" s="47">
        <v>1</v>
      </c>
      <c r="F84" s="48">
        <v>2217</v>
      </c>
      <c r="G84" s="48">
        <v>1400.9</v>
      </c>
    </row>
    <row r="85" spans="1:7" ht="10.050000000000001" customHeight="1">
      <c r="A85" s="45" t="s">
        <v>150</v>
      </c>
      <c r="B85" s="45" t="s">
        <v>84</v>
      </c>
      <c r="C85" s="46">
        <v>2007</v>
      </c>
      <c r="D85" s="45" t="s">
        <v>114</v>
      </c>
      <c r="E85" s="47">
        <v>2</v>
      </c>
      <c r="F85" s="48">
        <v>1902.7</v>
      </c>
      <c r="G85" s="48">
        <v>1500.9</v>
      </c>
    </row>
    <row r="86" spans="1:7" ht="10.050000000000001" customHeight="1">
      <c r="A86" s="45" t="s">
        <v>150</v>
      </c>
      <c r="B86" s="45" t="s">
        <v>84</v>
      </c>
      <c r="C86" s="46">
        <v>2007</v>
      </c>
      <c r="D86" s="45" t="s">
        <v>114</v>
      </c>
      <c r="E86" s="47">
        <v>3</v>
      </c>
      <c r="F86" s="48">
        <v>1702.2</v>
      </c>
      <c r="G86" s="48">
        <v>1062.8</v>
      </c>
    </row>
    <row r="87" spans="1:7" ht="10.050000000000001" customHeight="1">
      <c r="A87" s="45" t="s">
        <v>150</v>
      </c>
      <c r="B87" s="45" t="s">
        <v>84</v>
      </c>
      <c r="C87" s="46">
        <v>2007</v>
      </c>
      <c r="D87" s="45" t="s">
        <v>114</v>
      </c>
      <c r="E87" s="47">
        <v>4</v>
      </c>
      <c r="F87" s="48">
        <v>1115.4000000000001</v>
      </c>
      <c r="G87" s="48">
        <v>759.3</v>
      </c>
    </row>
    <row r="88" spans="1:7" ht="10.050000000000001" customHeight="1">
      <c r="A88" s="45" t="s">
        <v>150</v>
      </c>
      <c r="B88" s="45" t="s">
        <v>84</v>
      </c>
      <c r="C88" s="46">
        <v>2007</v>
      </c>
      <c r="D88" s="45" t="s">
        <v>114</v>
      </c>
      <c r="E88" s="47">
        <v>5</v>
      </c>
      <c r="F88" s="48">
        <v>1047</v>
      </c>
      <c r="G88" s="48">
        <v>683.6</v>
      </c>
    </row>
    <row r="89" spans="1:7" ht="10.050000000000001" customHeight="1">
      <c r="A89" s="45" t="s">
        <v>150</v>
      </c>
      <c r="B89" s="45" t="s">
        <v>84</v>
      </c>
      <c r="C89" s="46">
        <v>2007</v>
      </c>
      <c r="D89" s="45" t="s">
        <v>114</v>
      </c>
      <c r="E89" s="47">
        <v>6</v>
      </c>
      <c r="F89" s="48">
        <v>1038.5999999999999</v>
      </c>
      <c r="G89" s="48">
        <v>544</v>
      </c>
    </row>
    <row r="90" spans="1:7" ht="10.050000000000001" customHeight="1">
      <c r="A90" s="45" t="s">
        <v>150</v>
      </c>
      <c r="B90" s="45" t="s">
        <v>84</v>
      </c>
      <c r="C90" s="46">
        <v>2007</v>
      </c>
      <c r="D90" s="45" t="s">
        <v>115</v>
      </c>
      <c r="E90" s="47">
        <v>7</v>
      </c>
      <c r="F90" s="48">
        <v>800.8</v>
      </c>
      <c r="G90" s="48">
        <v>557.29999999999995</v>
      </c>
    </row>
    <row r="91" spans="1:7" ht="10.050000000000001" customHeight="1">
      <c r="A91" s="45" t="s">
        <v>150</v>
      </c>
      <c r="B91" s="45" t="s">
        <v>84</v>
      </c>
      <c r="C91" s="46">
        <v>2007</v>
      </c>
      <c r="D91" s="45" t="s">
        <v>115</v>
      </c>
      <c r="E91" s="47">
        <v>8</v>
      </c>
      <c r="F91" s="48">
        <v>755.8</v>
      </c>
      <c r="G91" s="48">
        <v>399.6</v>
      </c>
    </row>
    <row r="92" spans="1:7" ht="10.050000000000001" customHeight="1">
      <c r="A92" s="45" t="s">
        <v>150</v>
      </c>
      <c r="B92" s="45" t="s">
        <v>84</v>
      </c>
      <c r="C92" s="46">
        <v>2007</v>
      </c>
      <c r="D92" s="45" t="s">
        <v>115</v>
      </c>
      <c r="E92" s="47">
        <v>9</v>
      </c>
      <c r="F92" s="48">
        <v>639.20000000000005</v>
      </c>
      <c r="G92" s="48">
        <v>528.29999999999995</v>
      </c>
    </row>
    <row r="93" spans="1:7" ht="10.050000000000001" customHeight="1">
      <c r="A93" s="45" t="s">
        <v>150</v>
      </c>
      <c r="B93" s="45" t="s">
        <v>84</v>
      </c>
      <c r="C93" s="46">
        <v>2007</v>
      </c>
      <c r="D93" s="45" t="s">
        <v>115</v>
      </c>
      <c r="E93" s="47">
        <v>10</v>
      </c>
      <c r="F93" s="48">
        <v>558.9</v>
      </c>
      <c r="G93" s="48">
        <v>359.5</v>
      </c>
    </row>
    <row r="94" spans="1:7" ht="10.050000000000001" customHeight="1">
      <c r="A94" s="45" t="s">
        <v>150</v>
      </c>
      <c r="B94" s="45" t="s">
        <v>84</v>
      </c>
      <c r="C94" s="46">
        <v>2007</v>
      </c>
      <c r="D94" s="45" t="s">
        <v>115</v>
      </c>
      <c r="E94" s="47">
        <v>11</v>
      </c>
      <c r="F94" s="48">
        <v>448.8</v>
      </c>
      <c r="G94" s="48">
        <v>450.6</v>
      </c>
    </row>
    <row r="95" spans="1:7" ht="10.050000000000001" customHeight="1">
      <c r="A95" s="45" t="s">
        <v>150</v>
      </c>
      <c r="B95" s="45" t="s">
        <v>84</v>
      </c>
      <c r="C95" s="46">
        <v>2007</v>
      </c>
      <c r="D95" s="45" t="s">
        <v>115</v>
      </c>
      <c r="E95" s="47">
        <v>12</v>
      </c>
      <c r="F95" s="48">
        <v>420.2</v>
      </c>
      <c r="G95" s="48">
        <v>360.4</v>
      </c>
    </row>
    <row r="96" spans="1:7" ht="10.050000000000001" customHeight="1">
      <c r="A96" s="45" t="s">
        <v>150</v>
      </c>
      <c r="B96" s="45" t="s">
        <v>84</v>
      </c>
      <c r="C96" s="46">
        <v>2008</v>
      </c>
      <c r="D96" s="45" t="s">
        <v>115</v>
      </c>
      <c r="E96" s="47">
        <v>1</v>
      </c>
      <c r="F96" s="48">
        <v>463.4</v>
      </c>
      <c r="G96" s="48">
        <v>332.1</v>
      </c>
    </row>
    <row r="97" spans="1:7" ht="10.050000000000001" customHeight="1">
      <c r="A97" s="45" t="s">
        <v>150</v>
      </c>
      <c r="B97" s="45" t="s">
        <v>84</v>
      </c>
      <c r="C97" s="46">
        <v>2008</v>
      </c>
      <c r="D97" s="45" t="s">
        <v>115</v>
      </c>
      <c r="E97" s="47">
        <v>2</v>
      </c>
      <c r="F97" s="48">
        <v>472.7</v>
      </c>
      <c r="G97" s="48">
        <v>433.1</v>
      </c>
    </row>
    <row r="98" spans="1:7" ht="10.050000000000001" customHeight="1">
      <c r="A98" s="45" t="s">
        <v>150</v>
      </c>
      <c r="B98" s="45" t="s">
        <v>84</v>
      </c>
      <c r="C98" s="46">
        <v>2008</v>
      </c>
      <c r="D98" s="45" t="s">
        <v>115</v>
      </c>
      <c r="E98" s="47">
        <v>3</v>
      </c>
      <c r="F98" s="48">
        <v>524.4</v>
      </c>
      <c r="G98" s="48">
        <v>572.20000000000005</v>
      </c>
    </row>
    <row r="99" spans="1:7" ht="10.050000000000001" customHeight="1">
      <c r="A99" s="45" t="s">
        <v>150</v>
      </c>
      <c r="B99" s="45" t="s">
        <v>84</v>
      </c>
      <c r="C99" s="46">
        <v>2008</v>
      </c>
      <c r="D99" s="45" t="s">
        <v>115</v>
      </c>
      <c r="E99" s="47">
        <v>4</v>
      </c>
      <c r="F99" s="48">
        <v>609.20000000000005</v>
      </c>
      <c r="G99" s="48">
        <v>623.79999999999995</v>
      </c>
    </row>
    <row r="100" spans="1:7" ht="10.050000000000001" customHeight="1">
      <c r="A100" s="45" t="s">
        <v>150</v>
      </c>
      <c r="B100" s="45" t="s">
        <v>84</v>
      </c>
      <c r="C100" s="46">
        <v>2008</v>
      </c>
      <c r="D100" s="45" t="s">
        <v>115</v>
      </c>
      <c r="E100" s="47">
        <v>5</v>
      </c>
      <c r="F100" s="48">
        <v>560.6</v>
      </c>
      <c r="G100" s="48">
        <v>510.7</v>
      </c>
    </row>
    <row r="101" spans="1:7" ht="10.050000000000001" customHeight="1">
      <c r="A101" s="45" t="s">
        <v>150</v>
      </c>
      <c r="B101" s="45" t="s">
        <v>84</v>
      </c>
      <c r="C101" s="46">
        <v>2008</v>
      </c>
      <c r="D101" s="45" t="s">
        <v>115</v>
      </c>
      <c r="E101" s="47">
        <v>6</v>
      </c>
      <c r="F101" s="48">
        <v>562</v>
      </c>
      <c r="G101" s="48">
        <v>659.6</v>
      </c>
    </row>
    <row r="102" spans="1:7" ht="10.050000000000001" customHeight="1">
      <c r="A102" s="45" t="s">
        <v>150</v>
      </c>
      <c r="B102" s="45" t="s">
        <v>84</v>
      </c>
      <c r="C102" s="46">
        <v>2008</v>
      </c>
      <c r="D102" s="45" t="s">
        <v>109</v>
      </c>
      <c r="E102" s="47">
        <v>7</v>
      </c>
      <c r="F102" s="48">
        <v>564.1</v>
      </c>
      <c r="G102" s="48">
        <v>526.5</v>
      </c>
    </row>
    <row r="103" spans="1:7" ht="10.050000000000001" customHeight="1">
      <c r="A103" s="45" t="s">
        <v>150</v>
      </c>
      <c r="B103" s="45" t="s">
        <v>84</v>
      </c>
      <c r="C103" s="46">
        <v>2008</v>
      </c>
      <c r="D103" s="45" t="s">
        <v>109</v>
      </c>
      <c r="E103" s="47">
        <v>8</v>
      </c>
      <c r="F103" s="48">
        <v>527</v>
      </c>
      <c r="G103" s="48">
        <v>887.3</v>
      </c>
    </row>
    <row r="104" spans="1:7" ht="10.050000000000001" customHeight="1">
      <c r="A104" s="45" t="s">
        <v>150</v>
      </c>
      <c r="B104" s="45" t="s">
        <v>84</v>
      </c>
      <c r="C104" s="46">
        <v>2008</v>
      </c>
      <c r="D104" s="45" t="s">
        <v>109</v>
      </c>
      <c r="E104" s="47">
        <v>9</v>
      </c>
      <c r="F104" s="48">
        <v>612.29999999999995</v>
      </c>
      <c r="G104" s="48">
        <v>909.7</v>
      </c>
    </row>
    <row r="105" spans="1:7" ht="10.050000000000001" customHeight="1">
      <c r="A105" s="45" t="s">
        <v>150</v>
      </c>
      <c r="B105" s="45" t="s">
        <v>84</v>
      </c>
      <c r="C105" s="46">
        <v>2008</v>
      </c>
      <c r="D105" s="45" t="s">
        <v>109</v>
      </c>
      <c r="E105" s="47">
        <v>10</v>
      </c>
      <c r="F105" s="48">
        <v>763.6</v>
      </c>
      <c r="G105" s="48">
        <v>1331.7</v>
      </c>
    </row>
    <row r="106" spans="1:7" ht="10.050000000000001" customHeight="1">
      <c r="A106" s="45" t="s">
        <v>150</v>
      </c>
      <c r="B106" s="45" t="s">
        <v>84</v>
      </c>
      <c r="C106" s="46">
        <v>2008</v>
      </c>
      <c r="D106" s="45" t="s">
        <v>109</v>
      </c>
      <c r="E106" s="47">
        <v>11</v>
      </c>
      <c r="F106" s="48">
        <v>935.3</v>
      </c>
      <c r="G106" s="48">
        <v>1415.7</v>
      </c>
    </row>
    <row r="107" spans="1:7" ht="10.050000000000001" customHeight="1">
      <c r="A107" s="45" t="s">
        <v>150</v>
      </c>
      <c r="B107" s="45" t="s">
        <v>84</v>
      </c>
      <c r="C107" s="46">
        <v>2008</v>
      </c>
      <c r="D107" s="45" t="s">
        <v>109</v>
      </c>
      <c r="E107" s="47">
        <v>12</v>
      </c>
      <c r="F107" s="48">
        <v>1440.4</v>
      </c>
      <c r="G107" s="48">
        <v>1212</v>
      </c>
    </row>
    <row r="108" spans="1:7" ht="10.050000000000001" customHeight="1">
      <c r="A108" s="45" t="s">
        <v>150</v>
      </c>
      <c r="B108" s="45" t="s">
        <v>84</v>
      </c>
      <c r="C108" s="46">
        <v>2009</v>
      </c>
      <c r="D108" s="45" t="s">
        <v>109</v>
      </c>
      <c r="E108" s="47">
        <v>1</v>
      </c>
      <c r="F108" s="48">
        <v>1763.8</v>
      </c>
      <c r="G108" s="48">
        <v>1058.8</v>
      </c>
    </row>
    <row r="109" spans="1:7" ht="10.050000000000001" customHeight="1">
      <c r="A109" s="45" t="s">
        <v>150</v>
      </c>
      <c r="B109" s="45" t="s">
        <v>84</v>
      </c>
      <c r="C109" s="46">
        <v>2009</v>
      </c>
      <c r="D109" s="45" t="s">
        <v>109</v>
      </c>
      <c r="E109" s="47">
        <v>2</v>
      </c>
      <c r="F109" s="48">
        <v>1292.8</v>
      </c>
      <c r="G109" s="48">
        <v>901</v>
      </c>
    </row>
    <row r="110" spans="1:7" ht="10.050000000000001" customHeight="1">
      <c r="A110" s="45" t="s">
        <v>150</v>
      </c>
      <c r="B110" s="45" t="s">
        <v>84</v>
      </c>
      <c r="C110" s="46">
        <v>2009</v>
      </c>
      <c r="D110" s="45" t="s">
        <v>109</v>
      </c>
      <c r="E110" s="47">
        <v>3</v>
      </c>
      <c r="F110" s="48">
        <v>1363.4</v>
      </c>
      <c r="G110" s="48">
        <v>583.6</v>
      </c>
    </row>
    <row r="111" spans="1:7" ht="10.050000000000001" customHeight="1">
      <c r="A111" s="45" t="s">
        <v>150</v>
      </c>
      <c r="B111" s="45" t="s">
        <v>84</v>
      </c>
      <c r="C111" s="46">
        <v>2009</v>
      </c>
      <c r="D111" s="45" t="s">
        <v>109</v>
      </c>
      <c r="E111" s="47">
        <v>4</v>
      </c>
      <c r="F111" s="48">
        <v>1083.2</v>
      </c>
      <c r="G111" s="48">
        <v>549.70000000000005</v>
      </c>
    </row>
    <row r="112" spans="1:7" ht="10.050000000000001" customHeight="1">
      <c r="A112" s="45" t="s">
        <v>150</v>
      </c>
      <c r="B112" s="45" t="s">
        <v>84</v>
      </c>
      <c r="C112" s="46">
        <v>2009</v>
      </c>
      <c r="D112" s="45" t="s">
        <v>109</v>
      </c>
      <c r="E112" s="47">
        <v>5</v>
      </c>
      <c r="F112" s="48">
        <v>890</v>
      </c>
      <c r="G112" s="48">
        <v>383</v>
      </c>
    </row>
    <row r="113" spans="1:7" ht="10.050000000000001" customHeight="1">
      <c r="A113" s="45" t="s">
        <v>150</v>
      </c>
      <c r="B113" s="45" t="s">
        <v>84</v>
      </c>
      <c r="C113" s="46">
        <v>2009</v>
      </c>
      <c r="D113" s="45" t="s">
        <v>109</v>
      </c>
      <c r="E113" s="47">
        <v>6</v>
      </c>
      <c r="F113" s="48">
        <v>806.1</v>
      </c>
      <c r="G113" s="48">
        <v>652.29999999999995</v>
      </c>
    </row>
    <row r="114" spans="1:7" ht="10.050000000000001" customHeight="1">
      <c r="A114" s="45" t="s">
        <v>150</v>
      </c>
      <c r="B114" s="45" t="s">
        <v>84</v>
      </c>
      <c r="C114" s="46">
        <v>2009</v>
      </c>
      <c r="D114" s="45" t="s">
        <v>116</v>
      </c>
      <c r="E114" s="47">
        <v>7</v>
      </c>
      <c r="F114" s="48">
        <v>1036.0999999999999</v>
      </c>
      <c r="G114" s="48">
        <v>628.20000000000005</v>
      </c>
    </row>
    <row r="115" spans="1:7" ht="10.050000000000001" customHeight="1">
      <c r="A115" s="45" t="s">
        <v>150</v>
      </c>
      <c r="B115" s="45" t="s">
        <v>84</v>
      </c>
      <c r="C115" s="46">
        <v>2009</v>
      </c>
      <c r="D115" s="45" t="s">
        <v>116</v>
      </c>
      <c r="E115" s="47">
        <v>8</v>
      </c>
      <c r="F115" s="48">
        <v>930</v>
      </c>
      <c r="G115" s="48">
        <v>1019.2</v>
      </c>
    </row>
    <row r="116" spans="1:7" ht="10.050000000000001" customHeight="1">
      <c r="A116" s="45" t="s">
        <v>150</v>
      </c>
      <c r="B116" s="45" t="s">
        <v>84</v>
      </c>
      <c r="C116" s="46">
        <v>2009</v>
      </c>
      <c r="D116" s="45" t="s">
        <v>116</v>
      </c>
      <c r="E116" s="47">
        <v>9</v>
      </c>
      <c r="F116" s="48">
        <v>4554.7</v>
      </c>
      <c r="G116" s="48">
        <v>1265.7</v>
      </c>
    </row>
    <row r="117" spans="1:7" ht="10.050000000000001" customHeight="1">
      <c r="A117" s="45" t="s">
        <v>150</v>
      </c>
      <c r="B117" s="45" t="s">
        <v>84</v>
      </c>
      <c r="C117" s="46">
        <v>2009</v>
      </c>
      <c r="D117" s="45" t="s">
        <v>116</v>
      </c>
      <c r="E117" s="47">
        <v>10</v>
      </c>
      <c r="F117" s="48">
        <v>5037.8</v>
      </c>
      <c r="G117" s="48">
        <v>872.9</v>
      </c>
    </row>
    <row r="118" spans="1:7" ht="10.050000000000001" customHeight="1">
      <c r="A118" s="45" t="s">
        <v>150</v>
      </c>
      <c r="B118" s="45" t="s">
        <v>84</v>
      </c>
      <c r="C118" s="46">
        <v>2009</v>
      </c>
      <c r="D118" s="45" t="s">
        <v>116</v>
      </c>
      <c r="E118" s="47">
        <v>11</v>
      </c>
      <c r="F118" s="48">
        <v>3304.6</v>
      </c>
      <c r="G118" s="48">
        <v>802.6</v>
      </c>
    </row>
    <row r="119" spans="1:7" ht="10.050000000000001" customHeight="1">
      <c r="A119" s="45" t="s">
        <v>150</v>
      </c>
      <c r="B119" s="45" t="s">
        <v>84</v>
      </c>
      <c r="C119" s="46">
        <v>2009</v>
      </c>
      <c r="D119" s="45" t="s">
        <v>116</v>
      </c>
      <c r="E119" s="47">
        <v>12</v>
      </c>
      <c r="F119" s="48">
        <v>3109.8</v>
      </c>
      <c r="G119" s="48">
        <v>594.79999999999995</v>
      </c>
    </row>
    <row r="120" spans="1:7" ht="10.050000000000001" customHeight="1">
      <c r="A120" s="45" t="s">
        <v>150</v>
      </c>
      <c r="B120" s="45" t="s">
        <v>84</v>
      </c>
      <c r="C120" s="46">
        <v>2010</v>
      </c>
      <c r="D120" s="45" t="s">
        <v>116</v>
      </c>
      <c r="E120" s="47">
        <v>1</v>
      </c>
      <c r="F120" s="48">
        <v>2344</v>
      </c>
      <c r="G120" s="48">
        <v>759.8</v>
      </c>
    </row>
    <row r="121" spans="1:7" ht="10.050000000000001" customHeight="1">
      <c r="A121" s="45" t="s">
        <v>150</v>
      </c>
      <c r="B121" s="45" t="s">
        <v>84</v>
      </c>
      <c r="C121" s="46">
        <v>2010</v>
      </c>
      <c r="D121" s="45" t="s">
        <v>116</v>
      </c>
      <c r="E121" s="47">
        <v>2</v>
      </c>
      <c r="F121" s="48">
        <v>1921.8</v>
      </c>
      <c r="G121" s="48">
        <v>447</v>
      </c>
    </row>
    <row r="122" spans="1:7" ht="10.050000000000001" customHeight="1">
      <c r="A122" s="45" t="s">
        <v>150</v>
      </c>
      <c r="B122" s="45" t="s">
        <v>84</v>
      </c>
      <c r="C122" s="46">
        <v>2010</v>
      </c>
      <c r="D122" s="45" t="s">
        <v>116</v>
      </c>
      <c r="E122" s="47">
        <v>3</v>
      </c>
      <c r="F122" s="48">
        <v>1635.8</v>
      </c>
      <c r="G122" s="48">
        <v>485.2</v>
      </c>
    </row>
    <row r="123" spans="1:7" ht="10.050000000000001" customHeight="1">
      <c r="A123" s="45" t="s">
        <v>150</v>
      </c>
      <c r="B123" s="45" t="s">
        <v>84</v>
      </c>
      <c r="C123" s="46">
        <v>2010</v>
      </c>
      <c r="D123" s="45" t="s">
        <v>116</v>
      </c>
      <c r="E123" s="47">
        <v>4</v>
      </c>
      <c r="F123" s="48">
        <v>2871.2</v>
      </c>
      <c r="G123" s="48">
        <v>729.1</v>
      </c>
    </row>
    <row r="124" spans="1:7" ht="10.050000000000001" customHeight="1">
      <c r="A124" s="45" t="s">
        <v>150</v>
      </c>
      <c r="B124" s="45" t="s">
        <v>84</v>
      </c>
      <c r="C124" s="46">
        <v>2010</v>
      </c>
      <c r="D124" s="45" t="s">
        <v>116</v>
      </c>
      <c r="E124" s="47">
        <v>5</v>
      </c>
      <c r="F124" s="48">
        <v>3749.3</v>
      </c>
      <c r="G124" s="48">
        <v>708.6</v>
      </c>
    </row>
    <row r="125" spans="1:7" ht="10.050000000000001" customHeight="1">
      <c r="A125" s="45" t="s">
        <v>150</v>
      </c>
      <c r="B125" s="45" t="s">
        <v>84</v>
      </c>
      <c r="C125" s="46">
        <v>2010</v>
      </c>
      <c r="D125" s="45" t="s">
        <v>116</v>
      </c>
      <c r="E125" s="47">
        <v>6</v>
      </c>
      <c r="F125" s="48">
        <v>3175.4</v>
      </c>
      <c r="G125" s="48">
        <v>706.3</v>
      </c>
    </row>
    <row r="126" spans="1:7" ht="10.050000000000001" customHeight="1">
      <c r="A126" s="45" t="s">
        <v>150</v>
      </c>
      <c r="B126" s="45" t="s">
        <v>84</v>
      </c>
      <c r="C126" s="46">
        <v>2010</v>
      </c>
      <c r="D126" s="45" t="s">
        <v>117</v>
      </c>
      <c r="E126" s="47">
        <v>7</v>
      </c>
      <c r="F126" s="48">
        <v>4300.1000000000004</v>
      </c>
      <c r="G126" s="48">
        <v>626.9</v>
      </c>
    </row>
    <row r="127" spans="1:7" ht="10.050000000000001" customHeight="1">
      <c r="A127" s="45" t="s">
        <v>150</v>
      </c>
      <c r="B127" s="45" t="s">
        <v>84</v>
      </c>
      <c r="C127" s="46">
        <v>2010</v>
      </c>
      <c r="D127" s="45" t="s">
        <v>117</v>
      </c>
      <c r="E127" s="47">
        <v>8</v>
      </c>
      <c r="F127" s="48">
        <v>2048.5</v>
      </c>
      <c r="G127" s="48">
        <v>431.6</v>
      </c>
    </row>
    <row r="128" spans="1:7" ht="10.050000000000001" customHeight="1">
      <c r="A128" s="45" t="s">
        <v>150</v>
      </c>
      <c r="B128" s="45" t="s">
        <v>84</v>
      </c>
      <c r="C128" s="46">
        <v>2010</v>
      </c>
      <c r="D128" s="45" t="s">
        <v>117</v>
      </c>
      <c r="E128" s="47">
        <v>9</v>
      </c>
      <c r="F128" s="48">
        <v>2100.9</v>
      </c>
      <c r="G128" s="48">
        <v>505.87</v>
      </c>
    </row>
    <row r="129" spans="1:7" ht="10.050000000000001" customHeight="1">
      <c r="A129" s="45" t="s">
        <v>150</v>
      </c>
      <c r="B129" s="45" t="s">
        <v>84</v>
      </c>
      <c r="C129" s="46">
        <v>2010</v>
      </c>
      <c r="D129" s="45" t="s">
        <v>117</v>
      </c>
      <c r="E129" s="47">
        <v>10</v>
      </c>
      <c r="F129" s="48">
        <v>1878.04</v>
      </c>
      <c r="G129" s="48">
        <v>508.88</v>
      </c>
    </row>
    <row r="130" spans="1:7" ht="10.050000000000001" customHeight="1">
      <c r="A130" s="45" t="s">
        <v>150</v>
      </c>
      <c r="B130" s="45" t="s">
        <v>84</v>
      </c>
      <c r="C130" s="46">
        <v>2010</v>
      </c>
      <c r="D130" s="45" t="s">
        <v>117</v>
      </c>
      <c r="E130" s="47">
        <v>11</v>
      </c>
      <c r="F130" s="48">
        <v>1741.5809999999999</v>
      </c>
      <c r="G130" s="48">
        <v>626.41899999999998</v>
      </c>
    </row>
    <row r="131" spans="1:7" ht="10.050000000000001" customHeight="1">
      <c r="A131" s="45" t="s">
        <v>150</v>
      </c>
      <c r="B131" s="45" t="s">
        <v>84</v>
      </c>
      <c r="C131" s="46">
        <v>2010</v>
      </c>
      <c r="D131" s="45" t="s">
        <v>117</v>
      </c>
      <c r="E131" s="47">
        <v>12</v>
      </c>
      <c r="F131" s="48">
        <v>2039.549</v>
      </c>
      <c r="G131" s="48">
        <v>583.54999999999995</v>
      </c>
    </row>
    <row r="132" spans="1:7" ht="10.050000000000001" customHeight="1">
      <c r="A132" s="45" t="s">
        <v>150</v>
      </c>
      <c r="B132" s="45" t="s">
        <v>84</v>
      </c>
      <c r="C132" s="46">
        <v>2011</v>
      </c>
      <c r="D132" s="45" t="s">
        <v>117</v>
      </c>
      <c r="E132" s="47">
        <v>1</v>
      </c>
      <c r="F132" s="48">
        <v>1607.12</v>
      </c>
      <c r="G132" s="48">
        <v>846.05</v>
      </c>
    </row>
    <row r="133" spans="1:7" ht="10.050000000000001" customHeight="1">
      <c r="A133" s="45" t="s">
        <v>150</v>
      </c>
      <c r="B133" s="45" t="s">
        <v>84</v>
      </c>
      <c r="C133" s="46">
        <v>2011</v>
      </c>
      <c r="D133" s="45" t="s">
        <v>117</v>
      </c>
      <c r="E133" s="47">
        <v>2</v>
      </c>
      <c r="F133" s="48">
        <v>1577.11</v>
      </c>
      <c r="G133" s="48">
        <v>675.19799999999998</v>
      </c>
    </row>
    <row r="134" spans="1:7" ht="10.050000000000001" customHeight="1">
      <c r="A134" s="45" t="s">
        <v>150</v>
      </c>
      <c r="B134" s="45" t="s">
        <v>84</v>
      </c>
      <c r="C134" s="46">
        <v>2011</v>
      </c>
      <c r="D134" s="45" t="s">
        <v>117</v>
      </c>
      <c r="E134" s="47">
        <v>3</v>
      </c>
      <c r="F134" s="48">
        <v>1462.412</v>
      </c>
      <c r="G134" s="48">
        <v>682.55600000000004</v>
      </c>
    </row>
    <row r="135" spans="1:7" ht="10.050000000000001" customHeight="1">
      <c r="A135" s="45" t="s">
        <v>150</v>
      </c>
      <c r="B135" s="45" t="s">
        <v>84</v>
      </c>
      <c r="C135" s="46">
        <v>2011</v>
      </c>
      <c r="D135" s="45" t="s">
        <v>117</v>
      </c>
      <c r="E135" s="47">
        <v>4</v>
      </c>
      <c r="F135" s="48">
        <v>1087.1320000000001</v>
      </c>
      <c r="G135" s="48">
        <v>614.50199999999995</v>
      </c>
    </row>
    <row r="136" spans="1:7" ht="10.050000000000001" customHeight="1">
      <c r="A136" s="45" t="s">
        <v>150</v>
      </c>
      <c r="B136" s="45" t="s">
        <v>84</v>
      </c>
      <c r="C136" s="46">
        <v>2011</v>
      </c>
      <c r="D136" s="45" t="s">
        <v>117</v>
      </c>
      <c r="E136" s="47">
        <v>5</v>
      </c>
      <c r="F136" s="48">
        <v>973.85699999999997</v>
      </c>
      <c r="G136" s="48">
        <v>428.42700000000002</v>
      </c>
    </row>
    <row r="137" spans="1:7" ht="10.050000000000001" customHeight="1">
      <c r="A137" s="45" t="s">
        <v>150</v>
      </c>
      <c r="B137" s="45" t="s">
        <v>84</v>
      </c>
      <c r="C137" s="46">
        <v>2011</v>
      </c>
      <c r="D137" s="45" t="s">
        <v>117</v>
      </c>
      <c r="E137" s="47">
        <v>6</v>
      </c>
      <c r="F137" s="48">
        <v>895.18200000000002</v>
      </c>
      <c r="G137" s="48">
        <v>482.71100000000001</v>
      </c>
    </row>
    <row r="138" spans="1:7" ht="10.050000000000001" customHeight="1">
      <c r="A138" s="45" t="s">
        <v>150</v>
      </c>
      <c r="B138" s="45" t="s">
        <v>84</v>
      </c>
      <c r="C138" s="46">
        <v>2011</v>
      </c>
      <c r="D138" s="45" t="s">
        <v>118</v>
      </c>
      <c r="E138" s="47">
        <v>7</v>
      </c>
      <c r="F138" s="48">
        <v>1114.674</v>
      </c>
      <c r="G138" s="48">
        <v>515.59400000000005</v>
      </c>
    </row>
    <row r="139" spans="1:7" ht="10.050000000000001" customHeight="1">
      <c r="A139" s="45" t="s">
        <v>150</v>
      </c>
      <c r="B139" s="45" t="s">
        <v>84</v>
      </c>
      <c r="C139" s="46">
        <v>2011</v>
      </c>
      <c r="D139" s="45" t="s">
        <v>118</v>
      </c>
      <c r="E139" s="47">
        <v>8</v>
      </c>
      <c r="F139" s="48">
        <v>953.80399999999997</v>
      </c>
      <c r="G139" s="48">
        <v>380.46</v>
      </c>
    </row>
    <row r="140" spans="1:7" ht="10.050000000000001" customHeight="1">
      <c r="A140" s="45" t="s">
        <v>150</v>
      </c>
      <c r="B140" s="45" t="s">
        <v>84</v>
      </c>
      <c r="C140" s="46">
        <v>2011</v>
      </c>
      <c r="D140" s="45" t="s">
        <v>118</v>
      </c>
      <c r="E140" s="47">
        <v>9</v>
      </c>
      <c r="F140" s="48">
        <v>971.57899999999995</v>
      </c>
      <c r="G140" s="48">
        <v>493.39100000000002</v>
      </c>
    </row>
    <row r="141" spans="1:7" ht="10.050000000000001" customHeight="1">
      <c r="A141" s="45" t="s">
        <v>150</v>
      </c>
      <c r="B141" s="45" t="s">
        <v>84</v>
      </c>
      <c r="C141" s="46">
        <v>2011</v>
      </c>
      <c r="D141" s="45" t="s">
        <v>118</v>
      </c>
      <c r="E141" s="47">
        <v>10</v>
      </c>
      <c r="F141" s="48">
        <v>755.75300000000004</v>
      </c>
      <c r="G141" s="48">
        <v>634.59799999999996</v>
      </c>
    </row>
    <row r="142" spans="1:7" ht="10.050000000000001" customHeight="1">
      <c r="A142" s="45" t="s">
        <v>150</v>
      </c>
      <c r="B142" s="45" t="s">
        <v>84</v>
      </c>
      <c r="C142" s="46">
        <v>2011</v>
      </c>
      <c r="D142" s="45" t="s">
        <v>118</v>
      </c>
      <c r="E142" s="47">
        <v>11</v>
      </c>
      <c r="F142" s="48">
        <v>929.68299999999999</v>
      </c>
      <c r="G142" s="48">
        <v>449.18900000000002</v>
      </c>
    </row>
    <row r="143" spans="1:7" ht="10.050000000000001" customHeight="1">
      <c r="A143" s="45" t="s">
        <v>150</v>
      </c>
      <c r="B143" s="45" t="s">
        <v>84</v>
      </c>
      <c r="C143" s="46">
        <v>2011</v>
      </c>
      <c r="D143" s="45" t="s">
        <v>118</v>
      </c>
      <c r="E143" s="47">
        <v>12</v>
      </c>
      <c r="F143" s="48">
        <v>1033.6849999999999</v>
      </c>
      <c r="G143" s="48">
        <v>461.03899999999999</v>
      </c>
    </row>
    <row r="144" spans="1:7" ht="10.050000000000001" customHeight="1">
      <c r="A144" s="45" t="s">
        <v>150</v>
      </c>
      <c r="B144" s="45" t="s">
        <v>84</v>
      </c>
      <c r="C144" s="46">
        <v>2012</v>
      </c>
      <c r="D144" s="45" t="s">
        <v>118</v>
      </c>
      <c r="E144" s="47">
        <v>1</v>
      </c>
      <c r="F144" s="48">
        <v>1048.816</v>
      </c>
      <c r="G144" s="48">
        <v>466.68099999999998</v>
      </c>
    </row>
    <row r="145" spans="1:7" ht="10.050000000000001" customHeight="1">
      <c r="A145" s="45" t="s">
        <v>150</v>
      </c>
      <c r="B145" s="45" t="s">
        <v>84</v>
      </c>
      <c r="C145" s="46">
        <v>2012</v>
      </c>
      <c r="D145" s="45" t="s">
        <v>118</v>
      </c>
      <c r="E145" s="47">
        <v>2</v>
      </c>
      <c r="F145" s="48">
        <v>1123.7539999999999</v>
      </c>
      <c r="G145" s="48">
        <v>552.43600000000004</v>
      </c>
    </row>
    <row r="146" spans="1:7" ht="10.050000000000001" customHeight="1">
      <c r="A146" s="45" t="s">
        <v>150</v>
      </c>
      <c r="B146" s="45" t="s">
        <v>84</v>
      </c>
      <c r="C146" s="46">
        <v>2012</v>
      </c>
      <c r="D146" s="45" t="s">
        <v>118</v>
      </c>
      <c r="E146" s="47">
        <v>3</v>
      </c>
      <c r="F146" s="48">
        <v>1193.3610000000001</v>
      </c>
      <c r="G146" s="48">
        <v>594.47500000000002</v>
      </c>
    </row>
    <row r="147" spans="1:7" ht="10.050000000000001" customHeight="1">
      <c r="A147" s="45" t="s">
        <v>150</v>
      </c>
      <c r="B147" s="45" t="s">
        <v>84</v>
      </c>
      <c r="C147" s="46">
        <v>2012</v>
      </c>
      <c r="D147" s="45" t="s">
        <v>118</v>
      </c>
      <c r="E147" s="47">
        <v>4</v>
      </c>
      <c r="F147" s="48">
        <v>907.48</v>
      </c>
      <c r="G147" s="48">
        <v>439.928</v>
      </c>
    </row>
    <row r="148" spans="1:7" ht="10.050000000000001" customHeight="1">
      <c r="A148" s="45" t="s">
        <v>150</v>
      </c>
      <c r="B148" s="45" t="s">
        <v>84</v>
      </c>
      <c r="C148" s="46">
        <v>2012</v>
      </c>
      <c r="D148" s="45" t="s">
        <v>118</v>
      </c>
      <c r="E148" s="47">
        <v>5</v>
      </c>
      <c r="F148" s="48">
        <v>791.50699999999995</v>
      </c>
      <c r="G148" s="48">
        <v>565.00099999999998</v>
      </c>
    </row>
    <row r="149" spans="1:7" ht="10.050000000000001" customHeight="1">
      <c r="A149" s="45" t="s">
        <v>150</v>
      </c>
      <c r="B149" s="45" t="s">
        <v>84</v>
      </c>
      <c r="C149" s="46">
        <v>2012</v>
      </c>
      <c r="D149" s="45" t="s">
        <v>118</v>
      </c>
      <c r="E149" s="47">
        <v>6</v>
      </c>
      <c r="F149" s="48">
        <v>675.31100000000004</v>
      </c>
      <c r="G149" s="48">
        <v>648.33000000000004</v>
      </c>
    </row>
    <row r="150" spans="1:7" ht="10.050000000000001" customHeight="1">
      <c r="A150" s="45" t="s">
        <v>150</v>
      </c>
      <c r="B150" s="45" t="s">
        <v>84</v>
      </c>
      <c r="C150" s="46">
        <v>2012</v>
      </c>
      <c r="D150" s="45" t="s">
        <v>119</v>
      </c>
      <c r="E150" s="47">
        <v>7</v>
      </c>
      <c r="F150" s="48">
        <v>813.55200000000002</v>
      </c>
      <c r="G150" s="48">
        <v>572.96799999999996</v>
      </c>
    </row>
    <row r="151" spans="1:7" ht="10.050000000000001" customHeight="1">
      <c r="A151" s="45" t="s">
        <v>150</v>
      </c>
      <c r="B151" s="45" t="s">
        <v>84</v>
      </c>
      <c r="C151" s="46">
        <v>2012</v>
      </c>
      <c r="D151" s="45" t="s">
        <v>119</v>
      </c>
      <c r="E151" s="47">
        <v>8</v>
      </c>
      <c r="F151" s="48">
        <v>801.05899999999997</v>
      </c>
      <c r="G151" s="48">
        <v>550.97900000000004</v>
      </c>
    </row>
    <row r="152" spans="1:7" ht="10.050000000000001" customHeight="1">
      <c r="A152" s="45" t="s">
        <v>150</v>
      </c>
      <c r="B152" s="45" t="s">
        <v>84</v>
      </c>
      <c r="C152" s="46">
        <v>2012</v>
      </c>
      <c r="D152" s="45" t="s">
        <v>119</v>
      </c>
      <c r="E152" s="47">
        <v>9</v>
      </c>
      <c r="F152" s="48">
        <v>904.45600000000002</v>
      </c>
      <c r="G152" s="48">
        <v>428.84300000000002</v>
      </c>
    </row>
    <row r="153" spans="1:7" ht="10.050000000000001" customHeight="1">
      <c r="A153" s="45" t="s">
        <v>150</v>
      </c>
      <c r="B153" s="45" t="s">
        <v>84</v>
      </c>
      <c r="C153" s="46">
        <v>2012</v>
      </c>
      <c r="D153" s="45" t="s">
        <v>119</v>
      </c>
      <c r="E153" s="47">
        <v>10</v>
      </c>
      <c r="F153" s="48">
        <v>967.57299999999998</v>
      </c>
      <c r="G153" s="48">
        <v>428</v>
      </c>
    </row>
    <row r="154" spans="1:7" ht="10.050000000000001" customHeight="1">
      <c r="A154" s="45" t="s">
        <v>150</v>
      </c>
      <c r="B154" s="45" t="s">
        <v>84</v>
      </c>
      <c r="C154" s="46">
        <v>2012</v>
      </c>
      <c r="D154" s="45" t="s">
        <v>119</v>
      </c>
      <c r="E154" s="47">
        <v>11</v>
      </c>
      <c r="F154" s="48">
        <v>962.43899999999996</v>
      </c>
      <c r="G154" s="48">
        <v>441.774</v>
      </c>
    </row>
    <row r="155" spans="1:7" ht="10.050000000000001" customHeight="1">
      <c r="A155" s="45" t="s">
        <v>150</v>
      </c>
      <c r="B155" s="45" t="s">
        <v>84</v>
      </c>
      <c r="C155" s="46">
        <v>2012</v>
      </c>
      <c r="D155" s="45" t="s">
        <v>119</v>
      </c>
      <c r="E155" s="47">
        <v>12</v>
      </c>
      <c r="F155" s="48">
        <v>959.94100000000003</v>
      </c>
      <c r="G155" s="48">
        <v>353.94799999999998</v>
      </c>
    </row>
    <row r="156" spans="1:7" ht="10.050000000000001" customHeight="1">
      <c r="A156" s="45" t="s">
        <v>150</v>
      </c>
      <c r="B156" s="45" t="s">
        <v>84</v>
      </c>
      <c r="C156" s="46">
        <v>2013</v>
      </c>
      <c r="D156" s="45" t="s">
        <v>119</v>
      </c>
      <c r="E156" s="47">
        <v>1</v>
      </c>
      <c r="F156" s="48">
        <v>904.88900000000001</v>
      </c>
      <c r="G156" s="48">
        <v>321.779</v>
      </c>
    </row>
    <row r="157" spans="1:7" ht="10.050000000000001" customHeight="1">
      <c r="A157" s="45" t="s">
        <v>150</v>
      </c>
      <c r="B157" s="45" t="s">
        <v>84</v>
      </c>
      <c r="C157" s="46">
        <v>2013</v>
      </c>
      <c r="D157" s="45" t="s">
        <v>119</v>
      </c>
      <c r="E157" s="47">
        <v>2</v>
      </c>
      <c r="F157" s="48">
        <v>646.19899999999996</v>
      </c>
      <c r="G157" s="48">
        <v>313.74799999999999</v>
      </c>
    </row>
    <row r="158" spans="1:7" ht="10.050000000000001" customHeight="1">
      <c r="A158" s="45" t="s">
        <v>150</v>
      </c>
      <c r="B158" s="45" t="s">
        <v>84</v>
      </c>
      <c r="C158" s="46">
        <v>2013</v>
      </c>
      <c r="D158" s="45" t="s">
        <v>119</v>
      </c>
      <c r="E158" s="47">
        <v>3</v>
      </c>
      <c r="F158" s="48">
        <v>755.79399999999998</v>
      </c>
      <c r="G158" s="48">
        <v>219.47</v>
      </c>
    </row>
    <row r="159" spans="1:7" ht="10.050000000000001" customHeight="1">
      <c r="A159" s="45" t="s">
        <v>150</v>
      </c>
      <c r="B159" s="45" t="s">
        <v>84</v>
      </c>
      <c r="C159" s="46">
        <v>2013</v>
      </c>
      <c r="D159" s="45" t="s">
        <v>119</v>
      </c>
      <c r="E159" s="47">
        <v>4</v>
      </c>
      <c r="F159" s="48">
        <v>696.86</v>
      </c>
      <c r="G159" s="48">
        <v>274.67200000000003</v>
      </c>
    </row>
    <row r="160" spans="1:7" ht="10.050000000000001" customHeight="1">
      <c r="A160" s="45" t="s">
        <v>150</v>
      </c>
      <c r="B160" s="45" t="s">
        <v>84</v>
      </c>
      <c r="C160" s="46">
        <v>2013</v>
      </c>
      <c r="D160" s="45" t="s">
        <v>119</v>
      </c>
      <c r="E160" s="47">
        <v>5</v>
      </c>
      <c r="F160" s="48">
        <v>615.04300000000001</v>
      </c>
      <c r="G160" s="48">
        <v>228.96899999999999</v>
      </c>
    </row>
    <row r="161" spans="1:7" ht="10.050000000000001" customHeight="1">
      <c r="A161" s="45" t="s">
        <v>150</v>
      </c>
      <c r="B161" s="45" t="s">
        <v>84</v>
      </c>
      <c r="C161" s="46">
        <v>2013</v>
      </c>
      <c r="D161" s="45" t="s">
        <v>119</v>
      </c>
      <c r="E161" s="47">
        <v>6</v>
      </c>
      <c r="F161" s="48">
        <v>502.63799999999998</v>
      </c>
      <c r="G161" s="48">
        <v>232.05099999999999</v>
      </c>
    </row>
    <row r="162" spans="1:7" ht="10.050000000000001" customHeight="1">
      <c r="A162" s="45" t="s">
        <v>150</v>
      </c>
      <c r="B162" s="45" t="s">
        <v>84</v>
      </c>
      <c r="C162" s="46">
        <v>2013</v>
      </c>
      <c r="D162" s="45" t="s">
        <v>120</v>
      </c>
      <c r="E162" s="47">
        <v>7</v>
      </c>
      <c r="F162" s="48">
        <v>433.32299999999998</v>
      </c>
      <c r="G162" s="48">
        <v>605.68799999999999</v>
      </c>
    </row>
    <row r="163" spans="1:7" ht="10.050000000000001" customHeight="1">
      <c r="A163" s="45" t="s">
        <v>150</v>
      </c>
      <c r="B163" s="45" t="s">
        <v>84</v>
      </c>
      <c r="C163" s="46">
        <v>2013</v>
      </c>
      <c r="D163" s="45" t="s">
        <v>120</v>
      </c>
      <c r="E163" s="47">
        <v>8</v>
      </c>
      <c r="F163" s="48">
        <v>751.57299999999998</v>
      </c>
      <c r="G163" s="48">
        <v>594.83500000000004</v>
      </c>
    </row>
    <row r="164" spans="1:7" ht="10.050000000000001" customHeight="1">
      <c r="A164" s="45" t="s">
        <v>150</v>
      </c>
      <c r="B164" s="45" t="s">
        <v>84</v>
      </c>
      <c r="C164" s="46">
        <v>2013</v>
      </c>
      <c r="D164" s="45" t="s">
        <v>120</v>
      </c>
      <c r="E164" s="47">
        <v>9</v>
      </c>
      <c r="F164" s="48">
        <v>739.18799999999999</v>
      </c>
      <c r="G164" s="48">
        <v>710.15700000000004</v>
      </c>
    </row>
    <row r="165" spans="1:7" ht="10.050000000000001" customHeight="1">
      <c r="A165" s="45" t="s">
        <v>150</v>
      </c>
      <c r="B165" s="45" t="s">
        <v>84</v>
      </c>
      <c r="C165" s="46">
        <v>2013</v>
      </c>
      <c r="D165" s="45" t="s">
        <v>120</v>
      </c>
      <c r="E165" s="47">
        <v>10</v>
      </c>
      <c r="F165" s="48">
        <v>859.73400000000004</v>
      </c>
      <c r="G165" s="48">
        <v>597.26300000000003</v>
      </c>
    </row>
    <row r="166" spans="1:7" ht="10.050000000000001" customHeight="1">
      <c r="A166" s="45" t="s">
        <v>150</v>
      </c>
      <c r="B166" s="45" t="s">
        <v>84</v>
      </c>
      <c r="C166" s="46">
        <v>2013</v>
      </c>
      <c r="D166" s="45" t="s">
        <v>120</v>
      </c>
      <c r="E166" s="47">
        <v>11</v>
      </c>
      <c r="F166" s="48">
        <v>661.67200000000003</v>
      </c>
      <c r="G166" s="48">
        <v>663.40800000000002</v>
      </c>
    </row>
    <row r="167" spans="1:7" ht="10.050000000000001" customHeight="1">
      <c r="A167" s="45" t="s">
        <v>150</v>
      </c>
      <c r="B167" s="45" t="s">
        <v>84</v>
      </c>
      <c r="C167" s="46">
        <v>2013</v>
      </c>
      <c r="D167" s="45" t="s">
        <v>120</v>
      </c>
      <c r="E167" s="47">
        <v>12</v>
      </c>
      <c r="F167" s="48">
        <v>941.221</v>
      </c>
      <c r="G167" s="48">
        <v>684.30700000000002</v>
      </c>
    </row>
    <row r="168" spans="1:7" ht="10.050000000000001" customHeight="1">
      <c r="A168" s="45" t="s">
        <v>150</v>
      </c>
      <c r="B168" s="45" t="s">
        <v>84</v>
      </c>
      <c r="C168" s="46">
        <v>2014</v>
      </c>
      <c r="D168" s="45" t="s">
        <v>120</v>
      </c>
      <c r="E168" s="47">
        <v>1</v>
      </c>
      <c r="F168" s="48">
        <v>1005.366</v>
      </c>
      <c r="G168" s="48">
        <v>511.93099999999998</v>
      </c>
    </row>
    <row r="169" spans="1:7" ht="10.050000000000001" customHeight="1">
      <c r="A169" s="45" t="s">
        <v>150</v>
      </c>
      <c r="B169" s="45" t="s">
        <v>84</v>
      </c>
      <c r="C169" s="46">
        <v>2014</v>
      </c>
      <c r="D169" s="45" t="s">
        <v>120</v>
      </c>
      <c r="E169" s="47">
        <v>2</v>
      </c>
      <c r="F169" s="48">
        <v>853.32399999999996</v>
      </c>
      <c r="G169" s="48">
        <v>494.447</v>
      </c>
    </row>
    <row r="170" spans="1:7" ht="10.050000000000001" customHeight="1">
      <c r="A170" s="45" t="s">
        <v>150</v>
      </c>
      <c r="B170" s="45" t="s">
        <v>84</v>
      </c>
      <c r="C170" s="46">
        <v>2014</v>
      </c>
      <c r="D170" s="45" t="s">
        <v>120</v>
      </c>
      <c r="E170" s="47">
        <v>3</v>
      </c>
      <c r="F170" s="48">
        <v>971.66899999999998</v>
      </c>
      <c r="G170" s="48">
        <v>483.488</v>
      </c>
    </row>
    <row r="171" spans="1:7" ht="10.050000000000001" customHeight="1">
      <c r="A171" s="45" t="s">
        <v>150</v>
      </c>
      <c r="B171" s="45" t="s">
        <v>84</v>
      </c>
      <c r="C171" s="46">
        <v>2014</v>
      </c>
      <c r="D171" s="45" t="s">
        <v>120</v>
      </c>
      <c r="E171" s="47">
        <v>4</v>
      </c>
      <c r="F171" s="48">
        <v>1135.06</v>
      </c>
      <c r="G171" s="48">
        <v>481.31400000000002</v>
      </c>
    </row>
    <row r="172" spans="1:7" ht="10.050000000000001" customHeight="1">
      <c r="A172" s="45" t="s">
        <v>150</v>
      </c>
      <c r="B172" s="45" t="s">
        <v>84</v>
      </c>
      <c r="C172" s="46">
        <v>2014</v>
      </c>
      <c r="D172" s="45" t="s">
        <v>120</v>
      </c>
      <c r="E172" s="47">
        <v>5</v>
      </c>
      <c r="F172" s="48">
        <v>841.57500000000005</v>
      </c>
      <c r="G172" s="48">
        <v>500.959</v>
      </c>
    </row>
    <row r="173" spans="1:7" ht="10.050000000000001" customHeight="1">
      <c r="A173" s="45" t="s">
        <v>150</v>
      </c>
      <c r="B173" s="45" t="s">
        <v>84</v>
      </c>
      <c r="C173" s="46">
        <v>2014</v>
      </c>
      <c r="D173" s="45" t="s">
        <v>120</v>
      </c>
      <c r="E173" s="47">
        <v>6</v>
      </c>
      <c r="F173" s="48">
        <v>1025.7380000000001</v>
      </c>
      <c r="G173" s="48">
        <v>533.77099999999996</v>
      </c>
    </row>
    <row r="174" spans="1:7" ht="10.050000000000001" customHeight="1">
      <c r="A174" s="45" t="s">
        <v>150</v>
      </c>
      <c r="B174" s="45" t="s">
        <v>84</v>
      </c>
      <c r="C174" s="46">
        <v>2014</v>
      </c>
      <c r="D174" s="45" t="s">
        <v>121</v>
      </c>
      <c r="E174" s="47">
        <v>7</v>
      </c>
      <c r="F174" s="48">
        <v>1105.9459999999999</v>
      </c>
      <c r="G174" s="48">
        <v>721.38499999999999</v>
      </c>
    </row>
    <row r="175" spans="1:7" ht="10.050000000000001" customHeight="1">
      <c r="A175" s="45" t="s">
        <v>150</v>
      </c>
      <c r="B175" s="45" t="s">
        <v>84</v>
      </c>
      <c r="C175" s="46">
        <v>2014</v>
      </c>
      <c r="D175" s="45" t="s">
        <v>121</v>
      </c>
      <c r="E175" s="47">
        <v>8</v>
      </c>
      <c r="F175" s="48">
        <v>1137.9369999999999</v>
      </c>
      <c r="G175" s="48">
        <v>633.49800000000005</v>
      </c>
    </row>
    <row r="176" spans="1:7" ht="10.050000000000001" customHeight="1">
      <c r="A176" s="45" t="s">
        <v>150</v>
      </c>
      <c r="B176" s="45" t="s">
        <v>84</v>
      </c>
      <c r="C176" s="46">
        <v>2014</v>
      </c>
      <c r="D176" s="45" t="s">
        <v>121</v>
      </c>
      <c r="E176" s="47">
        <v>9</v>
      </c>
      <c r="F176" s="48">
        <v>1233.962</v>
      </c>
      <c r="G176" s="48">
        <v>756.11599999999999</v>
      </c>
    </row>
    <row r="177" spans="1:7" ht="10.050000000000001" customHeight="1">
      <c r="A177" s="45" t="s">
        <v>150</v>
      </c>
      <c r="B177" s="45" t="s">
        <v>84</v>
      </c>
      <c r="C177" s="46">
        <v>2014</v>
      </c>
      <c r="D177" s="45" t="s">
        <v>121</v>
      </c>
      <c r="E177" s="47">
        <v>10</v>
      </c>
      <c r="F177" s="48">
        <v>1294.232</v>
      </c>
      <c r="G177" s="48">
        <v>831.54399999999998</v>
      </c>
    </row>
    <row r="178" spans="1:7" ht="10.050000000000001" customHeight="1">
      <c r="A178" s="45" t="s">
        <v>150</v>
      </c>
      <c r="B178" s="45" t="s">
        <v>84</v>
      </c>
      <c r="C178" s="46">
        <v>2014</v>
      </c>
      <c r="D178" s="45" t="s">
        <v>121</v>
      </c>
      <c r="E178" s="47">
        <v>11</v>
      </c>
      <c r="F178" s="48">
        <v>1035.1579999999999</v>
      </c>
      <c r="G178" s="48">
        <v>978.19600000000003</v>
      </c>
    </row>
    <row r="179" spans="1:7" ht="10.050000000000001" customHeight="1">
      <c r="A179" s="45" t="s">
        <v>150</v>
      </c>
      <c r="B179" s="45" t="s">
        <v>84</v>
      </c>
      <c r="C179" s="46">
        <v>2014</v>
      </c>
      <c r="D179" s="45" t="s">
        <v>121</v>
      </c>
      <c r="E179" s="47">
        <v>12</v>
      </c>
      <c r="F179" s="48">
        <v>1191.508</v>
      </c>
      <c r="G179" s="48">
        <v>732.548</v>
      </c>
    </row>
    <row r="180" spans="1:7" ht="10.050000000000001" customHeight="1">
      <c r="A180" s="45" t="s">
        <v>150</v>
      </c>
      <c r="B180" s="45" t="s">
        <v>84</v>
      </c>
      <c r="C180" s="46">
        <v>2015</v>
      </c>
      <c r="D180" s="45" t="s">
        <v>121</v>
      </c>
      <c r="E180" s="47">
        <v>1</v>
      </c>
      <c r="F180" s="48">
        <v>1191.7439999999999</v>
      </c>
      <c r="G180" s="48">
        <v>689.80399999999997</v>
      </c>
    </row>
    <row r="181" spans="1:7" ht="10.050000000000001" customHeight="1">
      <c r="A181" s="45" t="s">
        <v>150</v>
      </c>
      <c r="B181" s="45" t="s">
        <v>84</v>
      </c>
      <c r="C181" s="46">
        <v>2015</v>
      </c>
      <c r="D181" s="45" t="s">
        <v>121</v>
      </c>
      <c r="E181" s="47">
        <v>2</v>
      </c>
      <c r="F181" s="48">
        <v>1194.319</v>
      </c>
      <c r="G181" s="48">
        <v>670.52499999999998</v>
      </c>
    </row>
    <row r="182" spans="1:7" ht="10.050000000000001" customHeight="1">
      <c r="A182" s="45" t="s">
        <v>150</v>
      </c>
      <c r="B182" s="45" t="s">
        <v>84</v>
      </c>
      <c r="C182" s="46">
        <v>2015</v>
      </c>
      <c r="D182" s="45" t="s">
        <v>121</v>
      </c>
      <c r="E182" s="47">
        <v>3</v>
      </c>
      <c r="F182" s="48">
        <v>1466.0730000000001</v>
      </c>
      <c r="G182" s="48">
        <v>578.03200000000004</v>
      </c>
    </row>
    <row r="183" spans="1:7" ht="10.050000000000001" customHeight="1">
      <c r="A183" s="45" t="s">
        <v>150</v>
      </c>
      <c r="B183" s="45" t="s">
        <v>84</v>
      </c>
      <c r="C183" s="46">
        <v>2015</v>
      </c>
      <c r="D183" s="45" t="s">
        <v>121</v>
      </c>
      <c r="E183" s="47">
        <v>4</v>
      </c>
      <c r="F183" s="48">
        <v>1275.3889999999999</v>
      </c>
      <c r="G183" s="48">
        <v>499.54300000000001</v>
      </c>
    </row>
    <row r="184" spans="1:7" ht="10.050000000000001" customHeight="1">
      <c r="A184" s="45" t="s">
        <v>150</v>
      </c>
      <c r="B184" s="45" t="s">
        <v>84</v>
      </c>
      <c r="C184" s="46">
        <v>2015</v>
      </c>
      <c r="D184" s="45" t="s">
        <v>121</v>
      </c>
      <c r="E184" s="47">
        <v>5</v>
      </c>
      <c r="F184" s="48">
        <v>990.077</v>
      </c>
      <c r="G184" s="48">
        <v>558.68600000000004</v>
      </c>
    </row>
    <row r="185" spans="1:7" ht="10.050000000000001" customHeight="1">
      <c r="A185" s="45" t="s">
        <v>150</v>
      </c>
      <c r="B185" s="45" t="s">
        <v>84</v>
      </c>
      <c r="C185" s="46">
        <v>2015</v>
      </c>
      <c r="D185" s="45" t="s">
        <v>121</v>
      </c>
      <c r="E185" s="47">
        <v>6</v>
      </c>
      <c r="F185" s="48">
        <v>834.25</v>
      </c>
      <c r="G185" s="48">
        <v>633.05100000000004</v>
      </c>
    </row>
    <row r="186" spans="1:7" ht="10.050000000000001" customHeight="1">
      <c r="A186" s="45" t="s">
        <v>150</v>
      </c>
      <c r="B186" s="45" t="s">
        <v>84</v>
      </c>
      <c r="C186" s="46">
        <v>2015</v>
      </c>
      <c r="D186" s="45" t="s">
        <v>122</v>
      </c>
      <c r="E186" s="47">
        <v>7</v>
      </c>
      <c r="F186" s="48">
        <v>779.09199999999998</v>
      </c>
      <c r="G186" s="48">
        <v>422.73899999999998</v>
      </c>
    </row>
    <row r="187" spans="1:7" ht="10.050000000000001" customHeight="1">
      <c r="A187" s="45" t="s">
        <v>150</v>
      </c>
      <c r="B187" s="45" t="s">
        <v>84</v>
      </c>
      <c r="C187" s="46">
        <v>2015</v>
      </c>
      <c r="D187" s="45" t="s">
        <v>122</v>
      </c>
      <c r="E187" s="47">
        <v>8</v>
      </c>
      <c r="F187" s="48">
        <v>807.89099999999996</v>
      </c>
      <c r="G187" s="48">
        <v>524.21799999999996</v>
      </c>
    </row>
    <row r="188" spans="1:7" ht="10.050000000000001" customHeight="1">
      <c r="A188" s="45" t="s">
        <v>150</v>
      </c>
      <c r="B188" s="45" t="s">
        <v>84</v>
      </c>
      <c r="C188" s="46">
        <v>2015</v>
      </c>
      <c r="D188" s="45" t="s">
        <v>122</v>
      </c>
      <c r="E188" s="47">
        <v>9</v>
      </c>
      <c r="F188" s="48">
        <v>1283.644</v>
      </c>
      <c r="G188" s="48">
        <v>693.26199999999994</v>
      </c>
    </row>
    <row r="189" spans="1:7" ht="10.050000000000001" customHeight="1">
      <c r="A189" s="45" t="s">
        <v>150</v>
      </c>
      <c r="B189" s="45" t="s">
        <v>84</v>
      </c>
      <c r="C189" s="46">
        <v>2015</v>
      </c>
      <c r="D189" s="45" t="s">
        <v>122</v>
      </c>
      <c r="E189" s="47">
        <v>10</v>
      </c>
      <c r="F189" s="48">
        <v>2075.5219999999999</v>
      </c>
      <c r="G189" s="48">
        <v>877.29200000000003</v>
      </c>
    </row>
    <row r="190" spans="1:7" ht="10.050000000000001" customHeight="1">
      <c r="A190" s="45" t="s">
        <v>150</v>
      </c>
      <c r="B190" s="45" t="s">
        <v>84</v>
      </c>
      <c r="C190" s="46">
        <v>2015</v>
      </c>
      <c r="D190" s="45" t="s">
        <v>122</v>
      </c>
      <c r="E190" s="47">
        <v>11</v>
      </c>
      <c r="F190" s="48">
        <v>2611.453</v>
      </c>
      <c r="G190" s="48">
        <v>1047.2629999999999</v>
      </c>
    </row>
    <row r="191" spans="1:7" ht="10.050000000000001" customHeight="1">
      <c r="A191" s="45" t="s">
        <v>150</v>
      </c>
      <c r="B191" s="45" t="s">
        <v>84</v>
      </c>
      <c r="C191" s="46">
        <v>2015</v>
      </c>
      <c r="D191" s="45" t="s">
        <v>122</v>
      </c>
      <c r="E191" s="47">
        <v>12</v>
      </c>
      <c r="F191" s="48">
        <v>3666.1390000000001</v>
      </c>
      <c r="G191" s="48">
        <v>1038.7370000000001</v>
      </c>
    </row>
    <row r="192" spans="1:7" ht="10.050000000000001" customHeight="1">
      <c r="A192" s="45" t="s">
        <v>150</v>
      </c>
      <c r="B192" s="45" t="s">
        <v>84</v>
      </c>
      <c r="C192" s="46">
        <v>2016</v>
      </c>
      <c r="D192" s="45" t="s">
        <v>122</v>
      </c>
      <c r="E192" s="47">
        <v>1</v>
      </c>
      <c r="F192" s="48">
        <v>2811.8429999999998</v>
      </c>
      <c r="G192" s="48">
        <v>1200.259</v>
      </c>
    </row>
    <row r="193" spans="1:7" ht="10.050000000000001" customHeight="1">
      <c r="A193" s="45" t="s">
        <v>150</v>
      </c>
      <c r="B193" s="45" t="s">
        <v>84</v>
      </c>
      <c r="C193" s="46">
        <v>2016</v>
      </c>
      <c r="D193" s="45" t="s">
        <v>122</v>
      </c>
      <c r="E193" s="47">
        <v>2</v>
      </c>
      <c r="F193" s="48">
        <v>2706.2260000000001</v>
      </c>
      <c r="G193" s="48">
        <v>875.31899999999996</v>
      </c>
    </row>
    <row r="194" spans="1:7" ht="10.050000000000001" customHeight="1">
      <c r="A194" s="45" t="s">
        <v>150</v>
      </c>
      <c r="B194" s="45" t="s">
        <v>84</v>
      </c>
      <c r="C194" s="46">
        <v>2016</v>
      </c>
      <c r="D194" s="45" t="s">
        <v>122</v>
      </c>
      <c r="E194" s="47">
        <v>3</v>
      </c>
      <c r="F194" s="48">
        <v>2586.1260000000002</v>
      </c>
      <c r="G194" s="48">
        <v>832.60599999999999</v>
      </c>
    </row>
    <row r="195" spans="1:7" ht="10.050000000000001" customHeight="1">
      <c r="A195" s="45" t="s">
        <v>150</v>
      </c>
      <c r="B195" s="45" t="s">
        <v>84</v>
      </c>
      <c r="C195" s="46">
        <v>2016</v>
      </c>
      <c r="D195" s="45" t="s">
        <v>122</v>
      </c>
      <c r="E195" s="47">
        <v>4</v>
      </c>
      <c r="F195" s="48">
        <v>2840.4780000000001</v>
      </c>
      <c r="G195" s="48">
        <v>849.47400000000005</v>
      </c>
    </row>
    <row r="196" spans="1:7" ht="10.050000000000001" customHeight="1">
      <c r="A196" s="45" t="s">
        <v>150</v>
      </c>
      <c r="B196" s="45" t="s">
        <v>84</v>
      </c>
      <c r="C196" s="46">
        <v>2016</v>
      </c>
      <c r="D196" s="45" t="s">
        <v>122</v>
      </c>
      <c r="E196" s="47">
        <v>5</v>
      </c>
      <c r="F196" s="48">
        <v>3953.7339999999999</v>
      </c>
      <c r="G196" s="48">
        <v>832.24800000000005</v>
      </c>
    </row>
    <row r="197" spans="1:7" ht="10.050000000000001" customHeight="1">
      <c r="A197" s="45" t="s">
        <v>150</v>
      </c>
      <c r="B197" s="45" t="s">
        <v>84</v>
      </c>
      <c r="C197" s="46">
        <v>2016</v>
      </c>
      <c r="D197" s="45" t="s">
        <v>122</v>
      </c>
      <c r="E197" s="47">
        <v>6</v>
      </c>
      <c r="F197" s="48">
        <v>3136.2069999999999</v>
      </c>
      <c r="G197" s="48">
        <v>1009.234</v>
      </c>
    </row>
    <row r="198" spans="1:7" ht="10.050000000000001" customHeight="1">
      <c r="A198" s="45" t="s">
        <v>150</v>
      </c>
      <c r="B198" s="45" t="s">
        <v>84</v>
      </c>
      <c r="C198" s="46">
        <v>2016</v>
      </c>
      <c r="D198" s="45" t="s">
        <v>123</v>
      </c>
      <c r="E198" s="47">
        <v>7</v>
      </c>
      <c r="F198" s="48">
        <v>3544.9479999999999</v>
      </c>
      <c r="G198" s="48">
        <v>1133.3109999999999</v>
      </c>
    </row>
    <row r="199" spans="1:7" ht="10.050000000000001" customHeight="1">
      <c r="A199" s="45" t="s">
        <v>150</v>
      </c>
      <c r="B199" s="45" t="s">
        <v>84</v>
      </c>
      <c r="C199" s="46">
        <v>2016</v>
      </c>
      <c r="D199" s="45" t="s">
        <v>123</v>
      </c>
      <c r="E199" s="47">
        <v>8</v>
      </c>
      <c r="F199" s="48">
        <v>3742.2820000000002</v>
      </c>
      <c r="G199" s="48">
        <v>892.76700000000005</v>
      </c>
    </row>
    <row r="200" spans="1:7" ht="10.050000000000001" customHeight="1">
      <c r="A200" s="45" t="s">
        <v>150</v>
      </c>
      <c r="B200" s="45" t="s">
        <v>84</v>
      </c>
      <c r="C200" s="46">
        <v>2016</v>
      </c>
      <c r="D200" s="45" t="s">
        <v>123</v>
      </c>
      <c r="E200" s="47">
        <v>9</v>
      </c>
      <c r="F200" s="48">
        <v>3276.6149999999998</v>
      </c>
      <c r="G200" s="48">
        <v>969.99599999999998</v>
      </c>
    </row>
    <row r="201" spans="1:7" ht="10.050000000000001" customHeight="1">
      <c r="A201" s="45" t="s">
        <v>150</v>
      </c>
      <c r="B201" s="45" t="s">
        <v>84</v>
      </c>
      <c r="C201" s="46">
        <v>2016</v>
      </c>
      <c r="D201" s="45" t="s">
        <v>123</v>
      </c>
      <c r="E201" s="47">
        <v>10</v>
      </c>
      <c r="F201" s="48">
        <v>2826.4630000000002</v>
      </c>
      <c r="G201" s="48">
        <v>1045.2329999999999</v>
      </c>
    </row>
    <row r="202" spans="1:7" ht="10.050000000000001" customHeight="1">
      <c r="A202" s="45" t="s">
        <v>150</v>
      </c>
      <c r="B202" s="45" t="s">
        <v>84</v>
      </c>
      <c r="C202" s="46">
        <v>2016</v>
      </c>
      <c r="D202" s="45" t="s">
        <v>123</v>
      </c>
      <c r="E202" s="47">
        <v>11</v>
      </c>
      <c r="F202" s="48">
        <v>3019.596</v>
      </c>
      <c r="G202" s="48">
        <v>1480.9670000000001</v>
      </c>
    </row>
    <row r="203" spans="1:7" ht="10.050000000000001" customHeight="1">
      <c r="A203" s="45" t="s">
        <v>150</v>
      </c>
      <c r="B203" s="45" t="s">
        <v>84</v>
      </c>
      <c r="C203" s="46">
        <v>2016</v>
      </c>
      <c r="D203" s="45" t="s">
        <v>123</v>
      </c>
      <c r="E203" s="47">
        <v>12</v>
      </c>
      <c r="F203" s="48">
        <v>3769.02</v>
      </c>
      <c r="G203" s="48">
        <v>1869.8969999999999</v>
      </c>
    </row>
    <row r="204" spans="1:7" ht="10.050000000000001" customHeight="1">
      <c r="A204" s="45" t="s">
        <v>150</v>
      </c>
      <c r="B204" s="45" t="s">
        <v>84</v>
      </c>
      <c r="C204" s="46">
        <v>2017</v>
      </c>
      <c r="D204" s="45" t="s">
        <v>123</v>
      </c>
      <c r="E204" s="47">
        <v>1</v>
      </c>
      <c r="F204" s="48">
        <v>3932.5250000000001</v>
      </c>
      <c r="G204" s="48">
        <v>1484.2919999999999</v>
      </c>
    </row>
    <row r="205" spans="1:7" ht="10.050000000000001" customHeight="1">
      <c r="A205" s="45" t="s">
        <v>150</v>
      </c>
      <c r="B205" s="45" t="s">
        <v>84</v>
      </c>
      <c r="C205" s="46">
        <v>2017</v>
      </c>
      <c r="D205" s="45" t="s">
        <v>123</v>
      </c>
      <c r="E205" s="47">
        <v>2</v>
      </c>
      <c r="F205" s="48">
        <v>3537.5709999999999</v>
      </c>
      <c r="G205" s="48">
        <v>1573.7940000000001</v>
      </c>
    </row>
    <row r="206" spans="1:7" ht="10.050000000000001" customHeight="1">
      <c r="A206" s="45" t="s">
        <v>150</v>
      </c>
      <c r="B206" s="45" t="s">
        <v>84</v>
      </c>
      <c r="C206" s="46">
        <v>2017</v>
      </c>
      <c r="D206" s="45" t="s">
        <v>123</v>
      </c>
      <c r="E206" s="47">
        <v>3</v>
      </c>
      <c r="F206" s="48">
        <v>4015.248</v>
      </c>
      <c r="G206" s="48">
        <v>2330.9319999999998</v>
      </c>
    </row>
    <row r="207" spans="1:7" ht="10.050000000000001" customHeight="1">
      <c r="A207" s="45" t="s">
        <v>150</v>
      </c>
      <c r="B207" s="45" t="s">
        <v>84</v>
      </c>
      <c r="C207" s="46">
        <v>2017</v>
      </c>
      <c r="D207" s="45" t="s">
        <v>123</v>
      </c>
      <c r="E207" s="47">
        <v>4</v>
      </c>
      <c r="F207" s="48">
        <v>3091.22</v>
      </c>
      <c r="G207" s="48">
        <v>1909.0640000000001</v>
      </c>
    </row>
    <row r="208" spans="1:7" ht="10.050000000000001" customHeight="1">
      <c r="A208" s="45" t="s">
        <v>150</v>
      </c>
      <c r="B208" s="45" t="s">
        <v>84</v>
      </c>
      <c r="C208" s="46">
        <v>2017</v>
      </c>
      <c r="D208" s="45" t="s">
        <v>123</v>
      </c>
      <c r="E208" s="47">
        <v>5</v>
      </c>
      <c r="F208" s="48">
        <v>2972.4079999999999</v>
      </c>
      <c r="G208" s="48">
        <v>2389.5369999999998</v>
      </c>
    </row>
    <row r="209" spans="1:7" ht="10.050000000000001" customHeight="1">
      <c r="A209" s="45" t="s">
        <v>150</v>
      </c>
      <c r="B209" s="45" t="s">
        <v>84</v>
      </c>
      <c r="C209" s="46">
        <v>2017</v>
      </c>
      <c r="D209" s="45" t="s">
        <v>123</v>
      </c>
      <c r="E209" s="47">
        <v>6</v>
      </c>
      <c r="F209" s="48">
        <v>2760.665</v>
      </c>
      <c r="G209" s="48">
        <v>2490.3409999999999</v>
      </c>
    </row>
    <row r="210" spans="1:7" ht="10.050000000000001" customHeight="1">
      <c r="A210" s="45" t="s">
        <v>150</v>
      </c>
      <c r="B210" s="45" t="s">
        <v>84</v>
      </c>
      <c r="C210" s="46">
        <v>2017</v>
      </c>
      <c r="D210" s="45" t="s">
        <v>124</v>
      </c>
      <c r="E210" s="47">
        <v>7</v>
      </c>
      <c r="F210" s="48">
        <v>1983.163</v>
      </c>
      <c r="G210" s="48">
        <v>2005.8340000000001</v>
      </c>
    </row>
    <row r="211" spans="1:7" ht="10.050000000000001" customHeight="1">
      <c r="A211" s="45" t="s">
        <v>150</v>
      </c>
      <c r="B211" s="45" t="s">
        <v>84</v>
      </c>
      <c r="C211" s="46">
        <v>2017</v>
      </c>
      <c r="D211" s="45" t="s">
        <v>124</v>
      </c>
      <c r="E211" s="47">
        <v>8</v>
      </c>
      <c r="F211" s="48">
        <v>2164.4589999999998</v>
      </c>
      <c r="G211" s="48">
        <v>1894.873</v>
      </c>
    </row>
    <row r="212" spans="1:7" ht="10.050000000000001" customHeight="1">
      <c r="A212" s="45" t="s">
        <v>150</v>
      </c>
      <c r="B212" s="45" t="s">
        <v>84</v>
      </c>
      <c r="C212" s="46">
        <v>2017</v>
      </c>
      <c r="D212" s="45" t="s">
        <v>124</v>
      </c>
      <c r="E212" s="47">
        <v>9</v>
      </c>
      <c r="F212" s="48">
        <v>2347.085</v>
      </c>
      <c r="G212" s="48">
        <v>2503.0830000000001</v>
      </c>
    </row>
    <row r="213" spans="1:7" ht="10.050000000000001" customHeight="1">
      <c r="A213" s="45" t="s">
        <v>150</v>
      </c>
      <c r="B213" s="45" t="s">
        <v>84</v>
      </c>
      <c r="C213" s="46">
        <v>2017</v>
      </c>
      <c r="D213" s="45" t="s">
        <v>124</v>
      </c>
      <c r="E213" s="47">
        <v>10</v>
      </c>
      <c r="F213" s="48">
        <v>2766.03</v>
      </c>
      <c r="G213" s="48">
        <v>2377.9009999999998</v>
      </c>
    </row>
    <row r="214" spans="1:7" ht="10.050000000000001" customHeight="1">
      <c r="A214" s="45" t="s">
        <v>150</v>
      </c>
      <c r="B214" s="45" t="s">
        <v>84</v>
      </c>
      <c r="C214" s="46">
        <v>2017</v>
      </c>
      <c r="D214" s="45" t="s">
        <v>124</v>
      </c>
      <c r="E214" s="47">
        <v>11</v>
      </c>
      <c r="F214" s="48">
        <v>2923.8</v>
      </c>
      <c r="G214" s="48">
        <v>2189.9059999999999</v>
      </c>
    </row>
    <row r="215" spans="1:7" ht="10.050000000000001" customHeight="1">
      <c r="A215" s="45" t="s">
        <v>150</v>
      </c>
      <c r="B215" s="45" t="s">
        <v>84</v>
      </c>
      <c r="C215" s="46">
        <v>2017</v>
      </c>
      <c r="D215" s="45" t="s">
        <v>124</v>
      </c>
      <c r="E215" s="47">
        <v>12</v>
      </c>
      <c r="F215" s="48">
        <v>2544.0039999999999</v>
      </c>
      <c r="G215" s="48">
        <v>2431.15</v>
      </c>
    </row>
    <row r="216" spans="1:7" ht="10.050000000000001" customHeight="1">
      <c r="A216" s="45" t="s">
        <v>150</v>
      </c>
      <c r="B216" s="45" t="s">
        <v>84</v>
      </c>
      <c r="C216" s="46">
        <v>2018</v>
      </c>
      <c r="D216" s="45" t="s">
        <v>124</v>
      </c>
      <c r="E216" s="47">
        <v>1</v>
      </c>
      <c r="F216" s="48">
        <v>2587.1770000000001</v>
      </c>
      <c r="G216" s="48">
        <v>2235.1179999999999</v>
      </c>
    </row>
    <row r="217" spans="1:7" ht="10.050000000000001" customHeight="1">
      <c r="A217" s="45" t="s">
        <v>150</v>
      </c>
      <c r="B217" s="45" t="s">
        <v>84</v>
      </c>
      <c r="C217" s="46">
        <v>2018</v>
      </c>
      <c r="D217" s="45" t="s">
        <v>124</v>
      </c>
      <c r="E217" s="47">
        <v>2</v>
      </c>
      <c r="F217" s="48">
        <v>2473.0140000000001</v>
      </c>
      <c r="G217" s="48">
        <v>2141.4009999999998</v>
      </c>
    </row>
    <row r="218" spans="1:7" ht="10.050000000000001" customHeight="1">
      <c r="A218" s="45" t="s">
        <v>150</v>
      </c>
      <c r="B218" s="45" t="s">
        <v>84</v>
      </c>
      <c r="C218" s="46">
        <v>2018</v>
      </c>
      <c r="D218" s="45" t="s">
        <v>124</v>
      </c>
      <c r="E218" s="47">
        <v>3</v>
      </c>
      <c r="F218" s="48">
        <v>2699.52</v>
      </c>
      <c r="G218" s="48">
        <v>2229.1170000000002</v>
      </c>
    </row>
    <row r="219" spans="1:7" ht="10.050000000000001" customHeight="1">
      <c r="A219" s="45" t="s">
        <v>150</v>
      </c>
      <c r="B219" s="45" t="s">
        <v>84</v>
      </c>
      <c r="C219" s="46">
        <v>2018</v>
      </c>
      <c r="D219" s="45" t="s">
        <v>124</v>
      </c>
      <c r="E219" s="47">
        <v>4</v>
      </c>
      <c r="F219" s="48">
        <v>2492.991</v>
      </c>
      <c r="G219" s="48">
        <v>2087.835</v>
      </c>
    </row>
    <row r="220" spans="1:7" ht="10.050000000000001" customHeight="1">
      <c r="A220" s="45" t="s">
        <v>150</v>
      </c>
      <c r="B220" s="45" t="s">
        <v>84</v>
      </c>
      <c r="C220" s="46">
        <v>2018</v>
      </c>
      <c r="D220" s="45" t="s">
        <v>124</v>
      </c>
      <c r="E220" s="47">
        <v>5</v>
      </c>
      <c r="F220" s="48">
        <v>2378.5720000000001</v>
      </c>
      <c r="G220" s="48">
        <v>1564.29</v>
      </c>
    </row>
    <row r="221" spans="1:7" ht="10.050000000000001" customHeight="1">
      <c r="A221" s="45" t="s">
        <v>150</v>
      </c>
      <c r="B221" s="45" t="s">
        <v>84</v>
      </c>
      <c r="C221" s="46">
        <v>2018</v>
      </c>
      <c r="D221" s="45" t="s">
        <v>124</v>
      </c>
      <c r="E221" s="47">
        <v>6</v>
      </c>
      <c r="F221" s="48">
        <v>2711.6610000000001</v>
      </c>
      <c r="G221" s="48">
        <v>1608.3209999999999</v>
      </c>
    </row>
    <row r="222" spans="1:7" ht="10.050000000000001" customHeight="1">
      <c r="A222" s="45" t="s">
        <v>150</v>
      </c>
      <c r="B222" s="45" t="s">
        <v>84</v>
      </c>
      <c r="C222" s="46">
        <v>2018</v>
      </c>
      <c r="D222" s="45" t="s">
        <v>125</v>
      </c>
      <c r="E222" s="47">
        <v>7</v>
      </c>
      <c r="F222" s="48">
        <v>1679.47</v>
      </c>
      <c r="G222" s="48">
        <v>1241.021</v>
      </c>
    </row>
    <row r="223" spans="1:7" ht="10.050000000000001" customHeight="1">
      <c r="A223" s="45" t="s">
        <v>150</v>
      </c>
      <c r="B223" s="45" t="s">
        <v>84</v>
      </c>
      <c r="C223" s="46">
        <v>2018</v>
      </c>
      <c r="D223" s="45" t="s">
        <v>125</v>
      </c>
      <c r="E223" s="47">
        <v>8</v>
      </c>
      <c r="F223" s="48">
        <v>1832.971</v>
      </c>
      <c r="G223" s="48">
        <v>1287.694</v>
      </c>
    </row>
    <row r="224" spans="1:7" ht="10.050000000000001" customHeight="1">
      <c r="A224" s="45" t="s">
        <v>150</v>
      </c>
      <c r="B224" s="45" t="s">
        <v>84</v>
      </c>
      <c r="C224" s="46">
        <v>2018</v>
      </c>
      <c r="D224" s="45" t="s">
        <v>125</v>
      </c>
      <c r="E224" s="47">
        <v>9</v>
      </c>
      <c r="F224" s="48">
        <v>1747.1289999999999</v>
      </c>
      <c r="G224" s="48">
        <v>1579.8879999999999</v>
      </c>
    </row>
    <row r="225" spans="1:7" ht="10.050000000000001" customHeight="1">
      <c r="A225" s="45" t="s">
        <v>150</v>
      </c>
      <c r="B225" s="45" t="s">
        <v>84</v>
      </c>
      <c r="C225" s="46">
        <v>2018</v>
      </c>
      <c r="D225" s="45" t="s">
        <v>125</v>
      </c>
      <c r="E225" s="47">
        <v>10</v>
      </c>
      <c r="F225" s="48">
        <v>1440.22</v>
      </c>
      <c r="G225" s="48">
        <v>1533.42</v>
      </c>
    </row>
    <row r="226" spans="1:7" ht="10.050000000000001" customHeight="1">
      <c r="A226" s="45" t="s">
        <v>150</v>
      </c>
      <c r="B226" s="45" t="s">
        <v>84</v>
      </c>
      <c r="C226" s="46">
        <v>2018</v>
      </c>
      <c r="D226" s="45" t="s">
        <v>125</v>
      </c>
      <c r="E226" s="47">
        <v>11</v>
      </c>
      <c r="F226" s="48">
        <v>1110.403</v>
      </c>
      <c r="G226" s="48">
        <v>1598.318</v>
      </c>
    </row>
    <row r="227" spans="1:7" ht="10.050000000000001" customHeight="1">
      <c r="A227" s="45" t="s">
        <v>150</v>
      </c>
      <c r="B227" s="45" t="s">
        <v>84</v>
      </c>
      <c r="C227" s="46">
        <v>2018</v>
      </c>
      <c r="D227" s="45" t="s">
        <v>125</v>
      </c>
      <c r="E227" s="47">
        <v>12</v>
      </c>
      <c r="F227" s="48">
        <v>1234.26</v>
      </c>
      <c r="G227" s="48">
        <v>1505.213</v>
      </c>
    </row>
    <row r="228" spans="1:7" ht="10.050000000000001" customHeight="1">
      <c r="A228" s="45" t="s">
        <v>150</v>
      </c>
      <c r="B228" s="45" t="s">
        <v>84</v>
      </c>
      <c r="C228" s="46">
        <v>2019</v>
      </c>
      <c r="D228" s="45" t="s">
        <v>125</v>
      </c>
      <c r="E228" s="47">
        <v>1</v>
      </c>
      <c r="F228" s="48">
        <v>1727.4269999999999</v>
      </c>
      <c r="G228" s="48">
        <v>1310.432</v>
      </c>
    </row>
    <row r="229" spans="1:7" ht="10.050000000000001" customHeight="1">
      <c r="A229" s="45" t="s">
        <v>150</v>
      </c>
      <c r="B229" s="45" t="s">
        <v>84</v>
      </c>
      <c r="C229" s="46">
        <v>2019</v>
      </c>
      <c r="D229" s="45" t="s">
        <v>125</v>
      </c>
      <c r="E229" s="47">
        <v>2</v>
      </c>
      <c r="F229" s="48">
        <v>1838.126</v>
      </c>
      <c r="G229" s="48">
        <v>1243.7750000000001</v>
      </c>
    </row>
    <row r="230" spans="1:7" ht="10.050000000000001" customHeight="1">
      <c r="A230" s="45" t="s">
        <v>150</v>
      </c>
      <c r="B230" s="45" t="s">
        <v>84</v>
      </c>
      <c r="C230" s="46">
        <v>2019</v>
      </c>
      <c r="D230" s="45" t="s">
        <v>125</v>
      </c>
      <c r="E230" s="47">
        <v>3</v>
      </c>
      <c r="F230" s="48">
        <v>1528.7529999999999</v>
      </c>
      <c r="G230" s="48">
        <v>951.87099999999998</v>
      </c>
    </row>
    <row r="231" spans="1:7" ht="10.050000000000001" customHeight="1">
      <c r="A231" s="45" t="s">
        <v>150</v>
      </c>
      <c r="B231" s="45" t="s">
        <v>84</v>
      </c>
      <c r="C231" s="46">
        <v>2019</v>
      </c>
      <c r="D231" s="45" t="s">
        <v>125</v>
      </c>
      <c r="E231" s="47">
        <v>4</v>
      </c>
      <c r="F231" s="48">
        <v>1506.152</v>
      </c>
      <c r="G231" s="48">
        <v>955.03700000000003</v>
      </c>
    </row>
    <row r="232" spans="1:7" ht="10.050000000000001" customHeight="1">
      <c r="A232" s="45" t="s">
        <v>150</v>
      </c>
      <c r="B232" s="45" t="s">
        <v>84</v>
      </c>
      <c r="C232" s="46">
        <v>2019</v>
      </c>
      <c r="D232" s="45" t="s">
        <v>125</v>
      </c>
      <c r="E232" s="47">
        <v>5</v>
      </c>
      <c r="F232" s="48">
        <v>1460.136</v>
      </c>
      <c r="G232" s="48">
        <v>879.89800000000002</v>
      </c>
    </row>
    <row r="233" spans="1:7" ht="10.050000000000001" customHeight="1">
      <c r="A233" s="45" t="s">
        <v>150</v>
      </c>
      <c r="B233" s="45" t="s">
        <v>84</v>
      </c>
      <c r="C233" s="46">
        <v>2019</v>
      </c>
      <c r="D233" s="45" t="s">
        <v>125</v>
      </c>
      <c r="E233" s="47">
        <v>6</v>
      </c>
      <c r="F233" s="48">
        <v>1348.7639999999999</v>
      </c>
      <c r="G233" s="48">
        <v>980.25</v>
      </c>
    </row>
    <row r="234" spans="1:7" ht="10.050000000000001" customHeight="1">
      <c r="A234" s="45" t="s">
        <v>150</v>
      </c>
      <c r="B234" s="45" t="s">
        <v>84</v>
      </c>
      <c r="C234" s="46">
        <v>2019</v>
      </c>
      <c r="D234" s="45" t="s">
        <v>126</v>
      </c>
      <c r="E234" s="47">
        <v>7</v>
      </c>
      <c r="F234" s="48">
        <v>1745.6089999999999</v>
      </c>
      <c r="G234" s="48">
        <v>1004.713</v>
      </c>
    </row>
    <row r="235" spans="1:7" ht="10.050000000000001" customHeight="1">
      <c r="A235" s="45" t="s">
        <v>150</v>
      </c>
      <c r="B235" s="45" t="s">
        <v>84</v>
      </c>
      <c r="C235" s="46">
        <v>2019</v>
      </c>
      <c r="D235" s="45" t="s">
        <v>126</v>
      </c>
      <c r="E235" s="47">
        <v>8</v>
      </c>
      <c r="F235" s="48">
        <v>1430.402</v>
      </c>
      <c r="G235" s="48">
        <v>1015.704</v>
      </c>
    </row>
    <row r="236" spans="1:7" ht="10.050000000000001" customHeight="1">
      <c r="A236" s="45" t="s">
        <v>150</v>
      </c>
      <c r="B236" s="45" t="s">
        <v>84</v>
      </c>
      <c r="C236" s="46">
        <v>2019</v>
      </c>
      <c r="D236" s="45" t="s">
        <v>126</v>
      </c>
      <c r="E236" s="47">
        <v>9</v>
      </c>
      <c r="F236" s="48">
        <v>1628.9580000000001</v>
      </c>
      <c r="G236" s="48">
        <v>1159.0619999999999</v>
      </c>
    </row>
    <row r="237" spans="1:7" ht="10.050000000000001" customHeight="1">
      <c r="A237" s="45" t="s">
        <v>150</v>
      </c>
      <c r="B237" s="45" t="s">
        <v>84</v>
      </c>
      <c r="C237" s="46">
        <v>2019</v>
      </c>
      <c r="D237" s="45" t="s">
        <v>126</v>
      </c>
      <c r="E237" s="47">
        <v>10</v>
      </c>
      <c r="F237" s="48">
        <v>2016.9390000000001</v>
      </c>
      <c r="G237" s="48">
        <v>1332.81</v>
      </c>
    </row>
    <row r="238" spans="1:7" ht="10.050000000000001" customHeight="1">
      <c r="A238" s="45" t="s">
        <v>150</v>
      </c>
      <c r="B238" s="45" t="s">
        <v>84</v>
      </c>
      <c r="C238" s="46">
        <v>2019</v>
      </c>
      <c r="D238" s="45" t="s">
        <v>126</v>
      </c>
      <c r="E238" s="47">
        <v>11</v>
      </c>
      <c r="F238" s="48">
        <v>1851.1679999999999</v>
      </c>
      <c r="G238" s="48">
        <v>1089.07</v>
      </c>
    </row>
    <row r="239" spans="1:7" ht="10.050000000000001" customHeight="1">
      <c r="A239" s="45" t="s">
        <v>150</v>
      </c>
      <c r="B239" s="45" t="s">
        <v>84</v>
      </c>
      <c r="C239" s="46">
        <v>2019</v>
      </c>
      <c r="D239" s="45" t="s">
        <v>126</v>
      </c>
      <c r="E239" s="47">
        <v>12</v>
      </c>
      <c r="F239" s="48">
        <v>1749.2</v>
      </c>
      <c r="G239" s="48">
        <v>1272.4369999999999</v>
      </c>
    </row>
    <row r="240" spans="1:7" ht="10.050000000000001" customHeight="1">
      <c r="A240" s="45" t="s">
        <v>150</v>
      </c>
      <c r="B240" s="45" t="s">
        <v>84</v>
      </c>
      <c r="C240" s="46">
        <v>2020</v>
      </c>
      <c r="D240" s="45" t="s">
        <v>126</v>
      </c>
      <c r="E240" s="47">
        <v>1</v>
      </c>
      <c r="F240" s="48">
        <v>2234.1529999999998</v>
      </c>
      <c r="G240" s="48">
        <v>1175.5519999999999</v>
      </c>
    </row>
    <row r="241" spans="1:7" ht="10.050000000000001" customHeight="1">
      <c r="A241" s="45" t="s">
        <v>150</v>
      </c>
      <c r="B241" s="45" t="s">
        <v>84</v>
      </c>
      <c r="C241" s="46">
        <v>2020</v>
      </c>
      <c r="D241" s="45" t="s">
        <v>126</v>
      </c>
      <c r="E241" s="47">
        <v>2</v>
      </c>
      <c r="F241" s="48">
        <v>2079.9720000000002</v>
      </c>
      <c r="G241" s="48">
        <v>795.26499999999999</v>
      </c>
    </row>
    <row r="242" spans="1:7" ht="10.050000000000001" customHeight="1">
      <c r="A242" s="45" t="s">
        <v>150</v>
      </c>
      <c r="B242" s="45" t="s">
        <v>84</v>
      </c>
      <c r="C242" s="46">
        <v>2020</v>
      </c>
      <c r="D242" s="45" t="s">
        <v>126</v>
      </c>
      <c r="E242" s="47">
        <v>3</v>
      </c>
      <c r="F242" s="48">
        <v>2246.5790000000002</v>
      </c>
      <c r="G242" s="48">
        <v>860.46500000000003</v>
      </c>
    </row>
    <row r="243" spans="1:7" ht="10.050000000000001" customHeight="1">
      <c r="A243" s="45" t="s">
        <v>150</v>
      </c>
      <c r="B243" s="45" t="s">
        <v>84</v>
      </c>
      <c r="C243" s="46">
        <v>2020</v>
      </c>
      <c r="D243" s="45" t="s">
        <v>126</v>
      </c>
      <c r="E243" s="47">
        <v>4</v>
      </c>
      <c r="F243" s="48">
        <v>1992.894</v>
      </c>
      <c r="G243" s="48">
        <v>1030.329</v>
      </c>
    </row>
    <row r="244" spans="1:7" ht="10.050000000000001" customHeight="1">
      <c r="A244" s="45" t="s">
        <v>150</v>
      </c>
      <c r="B244" s="45" t="s">
        <v>84</v>
      </c>
      <c r="C244" s="46">
        <v>2020</v>
      </c>
      <c r="D244" s="45" t="s">
        <v>126</v>
      </c>
      <c r="E244" s="47">
        <v>5</v>
      </c>
      <c r="F244" s="48">
        <v>1753.528</v>
      </c>
      <c r="G244" s="48">
        <v>955.68100000000004</v>
      </c>
    </row>
    <row r="245" spans="1:7" ht="10.050000000000001" customHeight="1">
      <c r="A245" s="45" t="s">
        <v>150</v>
      </c>
      <c r="B245" s="45" t="s">
        <v>84</v>
      </c>
      <c r="C245" s="46">
        <v>2020</v>
      </c>
      <c r="D245" s="45" t="s">
        <v>126</v>
      </c>
      <c r="E245" s="47">
        <v>6</v>
      </c>
      <c r="F245" s="48">
        <v>1550.779</v>
      </c>
      <c r="G245" s="48">
        <v>1181.9580000000001</v>
      </c>
    </row>
    <row r="246" spans="1:7" ht="10.050000000000001" customHeight="1">
      <c r="A246" s="45" t="s">
        <v>150</v>
      </c>
      <c r="B246" s="45" t="s">
        <v>84</v>
      </c>
      <c r="C246" s="46">
        <v>2020</v>
      </c>
      <c r="D246" s="45" t="s">
        <v>128</v>
      </c>
      <c r="E246" s="47">
        <v>7</v>
      </c>
      <c r="F246" s="48">
        <v>1681.229</v>
      </c>
      <c r="G246" s="48">
        <v>966.77800000000002</v>
      </c>
    </row>
    <row r="247" spans="1:7" ht="10.050000000000001" customHeight="1">
      <c r="A247" s="45" t="s">
        <v>150</v>
      </c>
      <c r="B247" s="45" t="s">
        <v>84</v>
      </c>
      <c r="C247" s="46">
        <v>2020</v>
      </c>
      <c r="D247" s="45" t="s">
        <v>128</v>
      </c>
      <c r="E247" s="47">
        <v>8</v>
      </c>
      <c r="F247" s="48">
        <v>1394.8810000000001</v>
      </c>
      <c r="G247" s="48">
        <v>908.476</v>
      </c>
    </row>
    <row r="248" spans="1:7" ht="10.050000000000001" customHeight="1">
      <c r="A248" s="45" t="s">
        <v>150</v>
      </c>
      <c r="B248" s="45" t="s">
        <v>84</v>
      </c>
      <c r="C248" s="46">
        <v>2020</v>
      </c>
      <c r="D248" s="45" t="s">
        <v>128</v>
      </c>
      <c r="E248" s="47">
        <v>9</v>
      </c>
      <c r="F248" s="48">
        <v>1768.873</v>
      </c>
      <c r="G248" s="48">
        <v>1100.6980000000001</v>
      </c>
    </row>
    <row r="249" spans="1:7" ht="10.050000000000001" customHeight="1">
      <c r="A249" s="45" t="s">
        <v>150</v>
      </c>
      <c r="B249" s="45" t="s">
        <v>84</v>
      </c>
      <c r="C249" s="46">
        <v>2020</v>
      </c>
      <c r="D249" s="45" t="s">
        <v>128</v>
      </c>
      <c r="E249" s="47">
        <v>10</v>
      </c>
      <c r="F249" s="48">
        <v>1463.471</v>
      </c>
      <c r="G249" s="48">
        <v>1342.52</v>
      </c>
    </row>
    <row r="250" spans="1:7" ht="10.050000000000001" customHeight="1">
      <c r="A250" s="45" t="s">
        <v>150</v>
      </c>
      <c r="B250" s="45" t="s">
        <v>84</v>
      </c>
      <c r="C250" s="46">
        <v>2020</v>
      </c>
      <c r="D250" s="45" t="s">
        <v>128</v>
      </c>
      <c r="E250" s="47">
        <v>11</v>
      </c>
      <c r="F250" s="48">
        <v>1422.8330000000001</v>
      </c>
      <c r="G250" s="48">
        <v>1516.99</v>
      </c>
    </row>
    <row r="251" spans="1:7" ht="10.050000000000001" customHeight="1">
      <c r="A251" s="45" t="s">
        <v>150</v>
      </c>
      <c r="B251" s="45" t="s">
        <v>84</v>
      </c>
      <c r="C251" s="46">
        <v>2020</v>
      </c>
      <c r="D251" s="45" t="s">
        <v>128</v>
      </c>
      <c r="E251" s="47">
        <v>12</v>
      </c>
      <c r="F251" s="48">
        <v>1431.1369999999999</v>
      </c>
      <c r="G251" s="48">
        <v>1413.941</v>
      </c>
    </row>
    <row r="252" spans="1:7" ht="10.050000000000001" customHeight="1">
      <c r="A252" s="45" t="s">
        <v>150</v>
      </c>
      <c r="B252" s="45" t="s">
        <v>84</v>
      </c>
      <c r="C252" s="46">
        <v>2021</v>
      </c>
      <c r="D252" s="45" t="s">
        <v>128</v>
      </c>
      <c r="E252" s="47">
        <v>1</v>
      </c>
      <c r="F252" s="48">
        <v>1612.8330000000001</v>
      </c>
      <c r="G252" s="48">
        <v>1283.7619999999999</v>
      </c>
    </row>
    <row r="253" spans="1:7" ht="10.050000000000001" customHeight="1">
      <c r="A253" s="45" t="s">
        <v>150</v>
      </c>
      <c r="B253" s="45" t="s">
        <v>84</v>
      </c>
      <c r="C253" s="46">
        <v>2021</v>
      </c>
      <c r="D253" s="45" t="s">
        <v>128</v>
      </c>
      <c r="E253" s="47">
        <v>2</v>
      </c>
      <c r="F253" s="48">
        <v>1495.6030000000001</v>
      </c>
      <c r="G253" s="48">
        <v>1151.104</v>
      </c>
    </row>
    <row r="254" spans="1:7" ht="10.050000000000001" customHeight="1">
      <c r="A254" s="45" t="s">
        <v>150</v>
      </c>
      <c r="B254" s="45" t="s">
        <v>84</v>
      </c>
      <c r="C254" s="46">
        <v>2021</v>
      </c>
      <c r="D254" s="45" t="s">
        <v>128</v>
      </c>
      <c r="E254" s="47">
        <v>3</v>
      </c>
      <c r="F254" s="48">
        <v>1808.19</v>
      </c>
      <c r="G254" s="48">
        <v>939.87</v>
      </c>
    </row>
    <row r="255" spans="1:7" ht="10.050000000000001" customHeight="1">
      <c r="A255" s="45" t="s">
        <v>150</v>
      </c>
      <c r="B255" s="45" t="s">
        <v>84</v>
      </c>
      <c r="C255" s="46">
        <v>2021</v>
      </c>
      <c r="D255" s="45" t="s">
        <v>128</v>
      </c>
      <c r="E255" s="47">
        <v>4</v>
      </c>
      <c r="F255" s="48">
        <v>1930.7539999999999</v>
      </c>
      <c r="G255" s="48">
        <v>1157.4000000000001</v>
      </c>
    </row>
    <row r="256" spans="1:7" ht="10.050000000000001" customHeight="1">
      <c r="A256" s="45" t="s">
        <v>150</v>
      </c>
      <c r="B256" s="45" t="s">
        <v>84</v>
      </c>
      <c r="C256" s="46">
        <v>2021</v>
      </c>
      <c r="D256" s="45" t="s">
        <v>128</v>
      </c>
      <c r="E256" s="47">
        <v>5</v>
      </c>
      <c r="F256" s="48">
        <v>1696.2</v>
      </c>
      <c r="G256" s="48">
        <v>984.47400000000005</v>
      </c>
    </row>
    <row r="257" spans="1:7" ht="10.050000000000001" customHeight="1">
      <c r="A257" s="45" t="s">
        <v>150</v>
      </c>
      <c r="B257" s="45" t="s">
        <v>84</v>
      </c>
      <c r="C257" s="46">
        <v>2021</v>
      </c>
      <c r="D257" s="45" t="s">
        <v>128</v>
      </c>
      <c r="E257" s="47">
        <v>6</v>
      </c>
      <c r="F257" s="48">
        <v>1614.1010000000001</v>
      </c>
      <c r="G257" s="48">
        <v>1406.912</v>
      </c>
    </row>
    <row r="258" spans="1:7" ht="10.050000000000001" customHeight="1">
      <c r="A258" s="45" t="s">
        <v>150</v>
      </c>
      <c r="B258" s="45" t="s">
        <v>84</v>
      </c>
      <c r="C258" s="46">
        <v>2021</v>
      </c>
      <c r="D258" s="45" t="s">
        <v>129</v>
      </c>
      <c r="E258" s="47">
        <v>7</v>
      </c>
      <c r="F258" s="48">
        <v>1380.865</v>
      </c>
      <c r="G258" s="48">
        <v>1348.3579999999999</v>
      </c>
    </row>
    <row r="259" spans="1:7" ht="10.050000000000001" customHeight="1">
      <c r="A259" s="45" t="s">
        <v>150</v>
      </c>
      <c r="B259" s="45" t="s">
        <v>84</v>
      </c>
      <c r="C259" s="46">
        <v>2021</v>
      </c>
      <c r="D259" s="45" t="s">
        <v>129</v>
      </c>
      <c r="E259" s="47">
        <v>8</v>
      </c>
      <c r="F259" s="48">
        <v>1465.5340000000001</v>
      </c>
      <c r="G259" s="48">
        <v>1022.466</v>
      </c>
    </row>
    <row r="260" spans="1:7" ht="10.050000000000001" customHeight="1">
      <c r="A260" s="45" t="s">
        <v>150</v>
      </c>
      <c r="B260" s="45" t="s">
        <v>84</v>
      </c>
      <c r="C260" s="46">
        <v>2021</v>
      </c>
      <c r="D260" s="45" t="s">
        <v>129</v>
      </c>
      <c r="E260" s="47">
        <v>9</v>
      </c>
      <c r="F260" s="48">
        <v>1801.07</v>
      </c>
      <c r="G260" s="48">
        <v>1198.046</v>
      </c>
    </row>
    <row r="261" spans="1:7" ht="10.050000000000001" customHeight="1">
      <c r="A261" s="45" t="s">
        <v>150</v>
      </c>
      <c r="B261" s="45" t="s">
        <v>84</v>
      </c>
      <c r="C261" s="46">
        <v>2021</v>
      </c>
      <c r="D261" s="45" t="s">
        <v>129</v>
      </c>
      <c r="E261" s="47">
        <v>10</v>
      </c>
      <c r="F261" s="48">
        <v>2138.6190000000001</v>
      </c>
      <c r="G261" s="48">
        <v>1234.81</v>
      </c>
    </row>
    <row r="262" spans="1:7" ht="10.050000000000001" customHeight="1">
      <c r="A262" s="45" t="s">
        <v>150</v>
      </c>
      <c r="B262" s="45" t="s">
        <v>84</v>
      </c>
      <c r="C262" s="46">
        <v>2021</v>
      </c>
      <c r="D262" s="45" t="s">
        <v>129</v>
      </c>
      <c r="E262" s="47">
        <v>11</v>
      </c>
      <c r="F262" s="48">
        <v>2705.4279999999999</v>
      </c>
      <c r="G262" s="48">
        <v>1332.3320000000001</v>
      </c>
    </row>
    <row r="263" spans="1:7" ht="10.050000000000001" customHeight="1">
      <c r="A263" s="45" t="s">
        <v>150</v>
      </c>
      <c r="B263" s="45" t="s">
        <v>84</v>
      </c>
      <c r="C263" s="46">
        <v>2021</v>
      </c>
      <c r="D263" s="45" t="s">
        <v>129</v>
      </c>
      <c r="E263" s="47">
        <v>12</v>
      </c>
      <c r="F263" s="48">
        <v>2510.2890000000002</v>
      </c>
      <c r="G263" s="48">
        <v>1320.952</v>
      </c>
    </row>
    <row r="264" spans="1:7" ht="10.050000000000001" customHeight="1">
      <c r="A264" s="45" t="s">
        <v>150</v>
      </c>
      <c r="B264" s="45" t="s">
        <v>84</v>
      </c>
      <c r="C264" s="46">
        <v>2022</v>
      </c>
      <c r="D264" s="45" t="s">
        <v>129</v>
      </c>
      <c r="E264" s="47">
        <v>1</v>
      </c>
      <c r="F264" s="48">
        <v>1962.8579999999999</v>
      </c>
      <c r="G264" s="48">
        <v>1195.7570000000001</v>
      </c>
    </row>
    <row r="265" spans="1:7" ht="10.050000000000001" customHeight="1">
      <c r="A265" s="45" t="s">
        <v>150</v>
      </c>
      <c r="B265" s="45" t="s">
        <v>84</v>
      </c>
      <c r="C265" s="46">
        <v>2022</v>
      </c>
      <c r="D265" s="45" t="s">
        <v>129</v>
      </c>
      <c r="E265" s="47">
        <v>2</v>
      </c>
      <c r="F265" s="48">
        <v>1730.6510000000001</v>
      </c>
      <c r="G265" s="48">
        <v>1269.432</v>
      </c>
    </row>
    <row r="266" spans="1:7" ht="10.050000000000001" customHeight="1">
      <c r="A266" s="45" t="s">
        <v>150</v>
      </c>
      <c r="B266" s="45" t="s">
        <v>84</v>
      </c>
      <c r="C266" s="46">
        <v>2022</v>
      </c>
      <c r="D266" s="45" t="s">
        <v>129</v>
      </c>
      <c r="E266" s="47">
        <v>3</v>
      </c>
      <c r="F266" s="48">
        <v>2158.4670000000001</v>
      </c>
      <c r="G266" s="48">
        <v>1260.162</v>
      </c>
    </row>
    <row r="267" spans="1:7" ht="10.050000000000001" customHeight="1">
      <c r="A267" s="45" t="s">
        <v>150</v>
      </c>
      <c r="B267" s="45" t="s">
        <v>84</v>
      </c>
      <c r="C267" s="46">
        <v>2022</v>
      </c>
      <c r="D267" s="45" t="s">
        <v>129</v>
      </c>
      <c r="E267" s="47">
        <v>4</v>
      </c>
      <c r="F267" s="48">
        <v>1545.6949999999999</v>
      </c>
      <c r="G267" s="48">
        <v>1199.4359999999999</v>
      </c>
    </row>
    <row r="268" spans="1:7" ht="10.050000000000001" customHeight="1">
      <c r="A268" s="45" t="s">
        <v>150</v>
      </c>
      <c r="B268" s="45" t="s">
        <v>84</v>
      </c>
      <c r="C268" s="46">
        <v>2022</v>
      </c>
      <c r="D268" s="45" t="s">
        <v>129</v>
      </c>
      <c r="E268" s="47">
        <v>5</v>
      </c>
      <c r="F268" s="48">
        <v>1442.7439999999999</v>
      </c>
      <c r="G268" s="48">
        <v>1267.4459999999999</v>
      </c>
    </row>
    <row r="269" spans="1:7" ht="10.050000000000001" customHeight="1">
      <c r="A269" s="45" t="s">
        <v>150</v>
      </c>
      <c r="B269" s="45" t="s">
        <v>84</v>
      </c>
      <c r="C269" s="46">
        <v>2022</v>
      </c>
      <c r="D269" s="45" t="s">
        <v>129</v>
      </c>
      <c r="E269" s="47">
        <v>6</v>
      </c>
      <c r="F269" s="48">
        <v>1701.2860000000001</v>
      </c>
      <c r="G269" s="48">
        <v>1686.9090000000001</v>
      </c>
    </row>
    <row r="270" spans="1:7" ht="10.050000000000001" customHeight="1">
      <c r="A270" s="45" t="s">
        <v>150</v>
      </c>
      <c r="B270" s="45" t="s">
        <v>84</v>
      </c>
      <c r="C270" s="46">
        <v>2022</v>
      </c>
      <c r="D270" s="45" t="s">
        <v>130</v>
      </c>
      <c r="E270" s="47">
        <v>7</v>
      </c>
      <c r="F270" s="48">
        <v>1652.011</v>
      </c>
      <c r="G270" s="48">
        <v>1516.3630000000001</v>
      </c>
    </row>
    <row r="271" spans="1:7" ht="10.050000000000001" customHeight="1">
      <c r="A271" s="45" t="s">
        <v>150</v>
      </c>
      <c r="B271" s="45" t="s">
        <v>84</v>
      </c>
      <c r="C271" s="46">
        <v>2022</v>
      </c>
      <c r="D271" s="45" t="s">
        <v>130</v>
      </c>
      <c r="E271" s="47">
        <v>8</v>
      </c>
      <c r="F271" s="48">
        <v>2172.4520000000002</v>
      </c>
      <c r="G271" s="48">
        <v>1360.63</v>
      </c>
    </row>
    <row r="272" spans="1:7" ht="10.050000000000001" customHeight="1">
      <c r="A272" s="45" t="s">
        <v>150</v>
      </c>
      <c r="B272" s="45" t="s">
        <v>84</v>
      </c>
      <c r="C272" s="46">
        <v>2022</v>
      </c>
      <c r="D272" s="45" t="s">
        <v>130</v>
      </c>
      <c r="E272" s="47">
        <v>9</v>
      </c>
      <c r="F272" s="48">
        <v>2126.587</v>
      </c>
      <c r="G272" s="48">
        <v>1383.674</v>
      </c>
    </row>
    <row r="273" spans="1:7" ht="10.050000000000001" customHeight="1">
      <c r="A273" s="45" t="s">
        <v>150</v>
      </c>
      <c r="B273" s="45" t="s">
        <v>84</v>
      </c>
      <c r="C273" s="46">
        <v>2022</v>
      </c>
      <c r="D273" s="45" t="s">
        <v>130</v>
      </c>
      <c r="E273" s="47">
        <v>10</v>
      </c>
      <c r="F273" s="48">
        <v>2257.8490000000002</v>
      </c>
      <c r="G273" s="48">
        <v>1183.742</v>
      </c>
    </row>
    <row r="274" spans="1:7" ht="10.050000000000001" customHeight="1">
      <c r="A274" s="45" t="s">
        <v>150</v>
      </c>
      <c r="B274" s="45" t="s">
        <v>84</v>
      </c>
      <c r="C274" s="46">
        <v>2022</v>
      </c>
      <c r="D274" s="45" t="s">
        <v>130</v>
      </c>
      <c r="E274" s="47">
        <v>11</v>
      </c>
      <c r="F274" s="48">
        <v>2847.5970000000002</v>
      </c>
      <c r="G274" s="48">
        <v>1474.047</v>
      </c>
    </row>
    <row r="275" spans="1:7" ht="10.050000000000001" customHeight="1">
      <c r="A275" s="45" t="s">
        <v>150</v>
      </c>
      <c r="B275" s="45" t="s">
        <v>84</v>
      </c>
      <c r="C275" s="46">
        <v>2022</v>
      </c>
      <c r="D275" s="45" t="s">
        <v>130</v>
      </c>
      <c r="E275" s="47">
        <v>12</v>
      </c>
      <c r="F275" s="48">
        <v>2309.3609999999999</v>
      </c>
      <c r="G275" s="48">
        <v>1611.6780000000001</v>
      </c>
    </row>
    <row r="276" spans="1:7" ht="10.050000000000001" customHeight="1">
      <c r="A276" s="45" t="s">
        <v>150</v>
      </c>
      <c r="B276" s="45" t="s">
        <v>84</v>
      </c>
      <c r="C276" s="46">
        <v>2023</v>
      </c>
      <c r="D276" s="45" t="s">
        <v>130</v>
      </c>
      <c r="E276" s="47">
        <v>1</v>
      </c>
      <c r="F276" s="48">
        <v>2431.056</v>
      </c>
      <c r="G276" s="48">
        <v>1438.9390000000001</v>
      </c>
    </row>
    <row r="277" spans="1:7" ht="10.050000000000001" customHeight="1">
      <c r="A277" s="45" t="s">
        <v>150</v>
      </c>
      <c r="B277" s="45" t="s">
        <v>84</v>
      </c>
      <c r="C277" s="46">
        <v>2023</v>
      </c>
      <c r="D277" s="45" t="s">
        <v>130</v>
      </c>
      <c r="E277" s="47">
        <v>2</v>
      </c>
      <c r="F277" s="48">
        <v>2490.3560000000002</v>
      </c>
      <c r="G277" s="48">
        <v>1482.9179999999999</v>
      </c>
    </row>
    <row r="278" spans="1:7" ht="10.050000000000001" customHeight="1">
      <c r="A278" s="45" t="s">
        <v>150</v>
      </c>
      <c r="B278" s="45" t="s">
        <v>84</v>
      </c>
      <c r="C278" s="46">
        <v>2023</v>
      </c>
      <c r="D278" s="45" t="s">
        <v>130</v>
      </c>
      <c r="E278" s="47">
        <v>3</v>
      </c>
      <c r="F278" s="48">
        <v>3078.3670000000002</v>
      </c>
      <c r="G278" s="48">
        <v>1665.0909999999999</v>
      </c>
    </row>
    <row r="279" spans="1:7" ht="10.050000000000001" customHeight="1">
      <c r="A279" s="45" t="s">
        <v>150</v>
      </c>
      <c r="B279" s="45" t="s">
        <v>84</v>
      </c>
      <c r="C279" s="46">
        <v>2023</v>
      </c>
      <c r="D279" s="45" t="s">
        <v>130</v>
      </c>
      <c r="E279" s="47">
        <v>4</v>
      </c>
      <c r="F279" s="48">
        <v>2572.0039999999999</v>
      </c>
      <c r="G279" s="48">
        <v>1822.94</v>
      </c>
    </row>
    <row r="280" spans="1:7" ht="10.050000000000001" customHeight="1">
      <c r="A280" s="45" t="s">
        <v>150</v>
      </c>
      <c r="B280" s="45" t="s">
        <v>84</v>
      </c>
      <c r="C280" s="46">
        <v>2023</v>
      </c>
      <c r="D280" s="45" t="s">
        <v>130</v>
      </c>
      <c r="E280" s="47">
        <v>5</v>
      </c>
      <c r="F280" s="48">
        <v>2698.0749999999998</v>
      </c>
      <c r="G280" s="48">
        <v>1627.9280000000001</v>
      </c>
    </row>
    <row r="281" spans="1:7" ht="10.050000000000001" customHeight="1">
      <c r="A281" s="45" t="s">
        <v>150</v>
      </c>
      <c r="B281" s="45" t="s">
        <v>84</v>
      </c>
      <c r="C281" s="46">
        <v>2023</v>
      </c>
      <c r="D281" s="45" t="s">
        <v>130</v>
      </c>
      <c r="E281" s="47">
        <v>6</v>
      </c>
      <c r="F281" s="48">
        <v>2501.0920000000001</v>
      </c>
      <c r="G281" s="48">
        <v>1842.5989999999999</v>
      </c>
    </row>
    <row r="282" spans="1:7" ht="10.050000000000001" customHeight="1">
      <c r="A282" s="45" t="s">
        <v>150</v>
      </c>
      <c r="B282" s="45" t="s">
        <v>84</v>
      </c>
      <c r="C282" s="46">
        <v>2023</v>
      </c>
      <c r="D282" s="45" t="s">
        <v>131</v>
      </c>
      <c r="E282" s="47">
        <v>7</v>
      </c>
      <c r="F282" s="48">
        <v>2575.5909999999999</v>
      </c>
      <c r="G282" s="48">
        <v>1549.1869999999999</v>
      </c>
    </row>
    <row r="283" spans="1:7" ht="10.050000000000001" customHeight="1">
      <c r="A283" s="45" t="s">
        <v>150</v>
      </c>
      <c r="B283" s="45" t="s">
        <v>84</v>
      </c>
      <c r="C283" s="46">
        <v>2023</v>
      </c>
      <c r="D283" s="45" t="s">
        <v>131</v>
      </c>
      <c r="E283" s="47">
        <v>8</v>
      </c>
      <c r="F283" s="48">
        <v>2202.319</v>
      </c>
      <c r="G283" s="48">
        <v>1551.771</v>
      </c>
    </row>
    <row r="284" spans="1:7" ht="10.050000000000001" customHeight="1">
      <c r="A284" s="45" t="s">
        <v>150</v>
      </c>
      <c r="B284" s="45" t="s">
        <v>84</v>
      </c>
      <c r="C284" s="46">
        <v>2023</v>
      </c>
      <c r="D284" s="45" t="s">
        <v>131</v>
      </c>
      <c r="E284" s="47">
        <v>9</v>
      </c>
      <c r="F284" s="48">
        <v>2576.4090000000001</v>
      </c>
      <c r="G284" s="48">
        <v>1481.6469999999999</v>
      </c>
    </row>
    <row r="285" spans="1:7" ht="10.050000000000001" customHeight="1">
      <c r="A285" s="45" t="s">
        <v>150</v>
      </c>
      <c r="B285" s="45" t="s">
        <v>84</v>
      </c>
      <c r="C285" s="46">
        <v>2023</v>
      </c>
      <c r="D285" s="45" t="s">
        <v>131</v>
      </c>
      <c r="E285" s="47">
        <v>10</v>
      </c>
      <c r="F285" s="48">
        <v>2234.9789999999998</v>
      </c>
      <c r="G285" s="48">
        <v>1508.0920000000001</v>
      </c>
    </row>
    <row r="286" spans="1:7" ht="10.050000000000001" customHeight="1">
      <c r="A286" s="45" t="s">
        <v>150</v>
      </c>
      <c r="B286" s="45" t="s">
        <v>84</v>
      </c>
      <c r="C286" s="46">
        <v>2023</v>
      </c>
      <c r="D286" s="45" t="s">
        <v>131</v>
      </c>
      <c r="E286" s="47">
        <v>11</v>
      </c>
      <c r="F286" s="48">
        <v>3183.4949999999999</v>
      </c>
      <c r="G286" s="48">
        <v>1621.95</v>
      </c>
    </row>
    <row r="287" spans="1:7" ht="10.050000000000001" customHeight="1">
      <c r="A287" s="45" t="s">
        <v>150</v>
      </c>
      <c r="B287" s="45" t="s">
        <v>84</v>
      </c>
      <c r="C287" s="46">
        <v>2023</v>
      </c>
      <c r="D287" s="45" t="s">
        <v>131</v>
      </c>
      <c r="E287" s="47">
        <v>12</v>
      </c>
      <c r="F287" s="48">
        <v>3345.64</v>
      </c>
      <c r="G287" s="48">
        <v>1515.2829999999999</v>
      </c>
    </row>
    <row r="288" spans="1:7" ht="10.050000000000001" customHeight="1">
      <c r="A288" s="45" t="s">
        <v>150</v>
      </c>
      <c r="B288" s="45" t="s">
        <v>84</v>
      </c>
      <c r="C288" s="46">
        <v>2024</v>
      </c>
      <c r="D288" s="45" t="s">
        <v>131</v>
      </c>
      <c r="E288" s="47">
        <v>1</v>
      </c>
      <c r="F288" s="48">
        <v>4241.8909999999996</v>
      </c>
      <c r="G288" s="48">
        <v>1709.279</v>
      </c>
    </row>
    <row r="289" spans="1:7" ht="10.050000000000001" customHeight="1">
      <c r="A289" s="45" t="s">
        <v>150</v>
      </c>
      <c r="B289" s="45" t="s">
        <v>84</v>
      </c>
      <c r="C289" s="46">
        <v>2024</v>
      </c>
      <c r="D289" s="45" t="s">
        <v>131</v>
      </c>
      <c r="E289" s="47">
        <v>2</v>
      </c>
      <c r="F289" s="48">
        <v>3021.125</v>
      </c>
      <c r="G289" s="48">
        <v>2019.7349999999999</v>
      </c>
    </row>
    <row r="290" spans="1:7" ht="10.050000000000001" customHeight="1">
      <c r="A290" s="45" t="s">
        <v>150</v>
      </c>
      <c r="B290" s="45" t="s">
        <v>84</v>
      </c>
      <c r="C290" s="46">
        <v>2024</v>
      </c>
      <c r="D290" s="45" t="s">
        <v>131</v>
      </c>
      <c r="E290" s="47">
        <v>3</v>
      </c>
      <c r="F290" s="48">
        <v>2837.1590000000001</v>
      </c>
      <c r="G290" s="48">
        <v>1942.172</v>
      </c>
    </row>
    <row r="291" spans="1:7" ht="10.050000000000001" customHeight="1">
      <c r="A291" s="45" t="s">
        <v>150</v>
      </c>
      <c r="B291" s="45" t="s">
        <v>84</v>
      </c>
      <c r="C291" s="46">
        <v>2024</v>
      </c>
      <c r="D291" s="45" t="s">
        <v>131</v>
      </c>
      <c r="E291" s="47">
        <v>4</v>
      </c>
      <c r="F291" s="48">
        <v>2412.9699999999998</v>
      </c>
      <c r="G291" s="48">
        <v>1897.7080000000001</v>
      </c>
    </row>
    <row r="292" spans="1:7" ht="10.050000000000001" customHeight="1">
      <c r="A292" s="45" t="s">
        <v>150</v>
      </c>
      <c r="B292" s="45" t="s">
        <v>84</v>
      </c>
      <c r="C292" s="46">
        <v>2024</v>
      </c>
      <c r="D292" s="45" t="s">
        <v>131</v>
      </c>
      <c r="E292" s="47">
        <v>5</v>
      </c>
      <c r="F292" s="48">
        <v>2226.2139999999999</v>
      </c>
      <c r="G292" s="48">
        <v>1817.942</v>
      </c>
    </row>
    <row r="293" spans="1:7" ht="10.050000000000001" customHeight="1">
      <c r="A293" s="45" t="s">
        <v>150</v>
      </c>
      <c r="B293" s="45" t="s">
        <v>84</v>
      </c>
      <c r="C293" s="46">
        <v>2024</v>
      </c>
      <c r="D293" s="45" t="s">
        <v>131</v>
      </c>
      <c r="E293" s="47">
        <v>6</v>
      </c>
      <c r="F293" s="48">
        <v>2094.7669999999998</v>
      </c>
      <c r="G293" s="48">
        <v>1634.3209999999999</v>
      </c>
    </row>
    <row r="294" spans="1:7" ht="10.050000000000001" customHeight="1">
      <c r="A294" s="45" t="s">
        <v>150</v>
      </c>
      <c r="B294" s="45" t="s">
        <v>84</v>
      </c>
      <c r="C294" s="46">
        <v>2024</v>
      </c>
      <c r="D294" s="45" t="s">
        <v>132</v>
      </c>
      <c r="E294" s="47">
        <v>7</v>
      </c>
      <c r="F294" s="48">
        <v>2015.2329999999999</v>
      </c>
      <c r="G294" s="48">
        <v>1525.3409999999999</v>
      </c>
    </row>
    <row r="295" spans="1:7" ht="10.050000000000001" customHeight="1">
      <c r="A295" s="45" t="s">
        <v>150</v>
      </c>
      <c r="B295" s="45" t="s">
        <v>84</v>
      </c>
      <c r="C295" s="46">
        <v>2024</v>
      </c>
      <c r="D295" s="45" t="s">
        <v>132</v>
      </c>
      <c r="E295" s="47">
        <v>8</v>
      </c>
      <c r="F295" s="48">
        <v>1840.336</v>
      </c>
      <c r="G295" s="48">
        <v>1645.096</v>
      </c>
    </row>
    <row r="296" spans="1:7" ht="10.050000000000001" customHeight="1">
      <c r="A296" s="45" t="s">
        <v>150</v>
      </c>
      <c r="B296" s="45" t="s">
        <v>84</v>
      </c>
      <c r="C296" s="46">
        <v>2024</v>
      </c>
      <c r="D296" s="45" t="s">
        <v>132</v>
      </c>
      <c r="E296" s="47">
        <v>9</v>
      </c>
      <c r="F296" s="48">
        <v>2227.6999999999998</v>
      </c>
      <c r="G296" s="48">
        <v>1641.73</v>
      </c>
    </row>
    <row r="297" spans="1:7" ht="10.050000000000001" customHeight="1">
      <c r="A297" s="45" t="s">
        <v>150</v>
      </c>
      <c r="B297" s="45" t="s">
        <v>84</v>
      </c>
      <c r="C297" s="46">
        <v>2024</v>
      </c>
      <c r="D297" s="45" t="s">
        <v>132</v>
      </c>
      <c r="E297" s="47">
        <v>10</v>
      </c>
      <c r="F297" s="48">
        <v>2641.0540000000001</v>
      </c>
      <c r="G297" s="48">
        <v>2004.8779999999999</v>
      </c>
    </row>
    <row r="298" spans="1:7" ht="10.050000000000001" customHeight="1">
      <c r="A298" s="45" t="s">
        <v>150</v>
      </c>
      <c r="B298" s="45" t="s">
        <v>84</v>
      </c>
      <c r="C298" s="46">
        <v>2024</v>
      </c>
      <c r="D298" s="45" t="s">
        <v>132</v>
      </c>
      <c r="E298" s="47">
        <v>11</v>
      </c>
      <c r="F298" s="48">
        <v>2521.489</v>
      </c>
      <c r="G298" s="48">
        <v>2306.3380000000002</v>
      </c>
    </row>
    <row r="299" spans="1:7" ht="10.050000000000001" customHeight="1">
      <c r="A299" s="45" t="s">
        <v>150</v>
      </c>
      <c r="B299" s="45" t="s">
        <v>84</v>
      </c>
      <c r="C299" s="46">
        <v>2024</v>
      </c>
      <c r="D299" s="45" t="s">
        <v>132</v>
      </c>
      <c r="E299" s="47">
        <v>12</v>
      </c>
      <c r="F299" s="48">
        <v>3036.2069999999999</v>
      </c>
      <c r="G299" s="48">
        <v>2075.9189999999999</v>
      </c>
    </row>
    <row r="300" spans="1:7" ht="10.050000000000001" customHeight="1">
      <c r="A300" s="45" t="s">
        <v>150</v>
      </c>
      <c r="B300" s="45" t="s">
        <v>86</v>
      </c>
      <c r="C300" s="46">
        <v>2010</v>
      </c>
      <c r="D300" s="45" t="s">
        <v>117</v>
      </c>
      <c r="E300" s="47">
        <v>7</v>
      </c>
      <c r="F300" s="48">
        <v>0.2</v>
      </c>
      <c r="G300" s="48">
        <v>13.9</v>
      </c>
    </row>
    <row r="301" spans="1:7" ht="10.050000000000001" customHeight="1">
      <c r="A301" s="45" t="s">
        <v>150</v>
      </c>
      <c r="B301" s="45" t="s">
        <v>86</v>
      </c>
      <c r="C301" s="46">
        <v>2010</v>
      </c>
      <c r="D301" s="45" t="s">
        <v>117</v>
      </c>
      <c r="E301" s="47">
        <v>8</v>
      </c>
      <c r="F301" s="48">
        <v>0</v>
      </c>
      <c r="G301" s="48">
        <v>3.5</v>
      </c>
    </row>
    <row r="302" spans="1:7" ht="10.050000000000001" customHeight="1">
      <c r="A302" s="45" t="s">
        <v>150</v>
      </c>
      <c r="B302" s="45" t="s">
        <v>86</v>
      </c>
      <c r="C302" s="46">
        <v>2010</v>
      </c>
      <c r="D302" s="45" t="s">
        <v>117</v>
      </c>
      <c r="E302" s="47">
        <v>9</v>
      </c>
      <c r="F302" s="48">
        <v>0.8</v>
      </c>
      <c r="G302" s="48">
        <v>1.9</v>
      </c>
    </row>
    <row r="303" spans="1:7" ht="10.050000000000001" customHeight="1">
      <c r="A303" s="45" t="s">
        <v>150</v>
      </c>
      <c r="B303" s="45" t="s">
        <v>86</v>
      </c>
      <c r="C303" s="46">
        <v>2010</v>
      </c>
      <c r="D303" s="45" t="s">
        <v>117</v>
      </c>
      <c r="E303" s="47">
        <v>10</v>
      </c>
      <c r="F303" s="48">
        <v>0</v>
      </c>
      <c r="G303" s="48">
        <v>18.7</v>
      </c>
    </row>
    <row r="304" spans="1:7" ht="10.050000000000001" customHeight="1">
      <c r="A304" s="45" t="s">
        <v>150</v>
      </c>
      <c r="B304" s="45" t="s">
        <v>86</v>
      </c>
      <c r="C304" s="46">
        <v>2010</v>
      </c>
      <c r="D304" s="45" t="s">
        <v>117</v>
      </c>
      <c r="E304" s="47">
        <v>11</v>
      </c>
      <c r="F304" s="48">
        <v>2.2999999999999998</v>
      </c>
      <c r="G304" s="48">
        <v>16.399999999999999</v>
      </c>
    </row>
    <row r="305" spans="1:7" ht="10.050000000000001" customHeight="1">
      <c r="A305" s="45" t="s">
        <v>150</v>
      </c>
      <c r="B305" s="45" t="s">
        <v>86</v>
      </c>
      <c r="C305" s="46">
        <v>2010</v>
      </c>
      <c r="D305" s="45" t="s">
        <v>117</v>
      </c>
      <c r="E305" s="47">
        <v>12</v>
      </c>
      <c r="F305" s="48">
        <v>0</v>
      </c>
      <c r="G305" s="48">
        <v>11.3</v>
      </c>
    </row>
    <row r="306" spans="1:7" ht="10.050000000000001" customHeight="1">
      <c r="A306" s="45" t="s">
        <v>150</v>
      </c>
      <c r="B306" s="45" t="s">
        <v>86</v>
      </c>
      <c r="C306" s="46">
        <v>2011</v>
      </c>
      <c r="D306" s="45" t="s">
        <v>117</v>
      </c>
      <c r="E306" s="47">
        <v>1</v>
      </c>
      <c r="F306" s="48">
        <v>3.1</v>
      </c>
      <c r="G306" s="48">
        <v>8.1999999999999993</v>
      </c>
    </row>
    <row r="307" spans="1:7" ht="10.050000000000001" customHeight="1">
      <c r="A307" s="45" t="s">
        <v>150</v>
      </c>
      <c r="B307" s="45" t="s">
        <v>86</v>
      </c>
      <c r="C307" s="46">
        <v>2011</v>
      </c>
      <c r="D307" s="45" t="s">
        <v>117</v>
      </c>
      <c r="E307" s="47">
        <v>2</v>
      </c>
      <c r="F307" s="48">
        <v>0</v>
      </c>
      <c r="G307" s="48">
        <v>8.1999999999999993</v>
      </c>
    </row>
    <row r="308" spans="1:7" ht="10.050000000000001" customHeight="1">
      <c r="A308" s="45" t="s">
        <v>150</v>
      </c>
      <c r="B308" s="45" t="s">
        <v>86</v>
      </c>
      <c r="C308" s="46">
        <v>2011</v>
      </c>
      <c r="D308" s="45" t="s">
        <v>117</v>
      </c>
      <c r="E308" s="47">
        <v>3</v>
      </c>
      <c r="F308" s="48">
        <v>8.3000000000000007</v>
      </c>
      <c r="G308" s="48">
        <v>23.7</v>
      </c>
    </row>
    <row r="309" spans="1:7" ht="10.050000000000001" customHeight="1">
      <c r="A309" s="45" t="s">
        <v>150</v>
      </c>
      <c r="B309" s="45" t="s">
        <v>86</v>
      </c>
      <c r="C309" s="46">
        <v>2011</v>
      </c>
      <c r="D309" s="45" t="s">
        <v>117</v>
      </c>
      <c r="E309" s="47">
        <v>4</v>
      </c>
      <c r="F309" s="48">
        <v>0</v>
      </c>
      <c r="G309" s="48">
        <v>23.7</v>
      </c>
    </row>
    <row r="310" spans="1:7" ht="10.050000000000001" customHeight="1">
      <c r="A310" s="45" t="s">
        <v>150</v>
      </c>
      <c r="B310" s="45" t="s">
        <v>86</v>
      </c>
      <c r="C310" s="46">
        <v>2011</v>
      </c>
      <c r="D310" s="45" t="s">
        <v>117</v>
      </c>
      <c r="E310" s="47">
        <v>5</v>
      </c>
      <c r="F310" s="48">
        <v>3.8</v>
      </c>
      <c r="G310" s="48">
        <v>19.899999999999999</v>
      </c>
    </row>
    <row r="311" spans="1:7" ht="10.050000000000001" customHeight="1">
      <c r="A311" s="45" t="s">
        <v>150</v>
      </c>
      <c r="B311" s="45" t="s">
        <v>86</v>
      </c>
      <c r="C311" s="46">
        <v>2011</v>
      </c>
      <c r="D311" s="45" t="s">
        <v>117</v>
      </c>
      <c r="E311" s="47">
        <v>6</v>
      </c>
      <c r="F311" s="48">
        <v>4.5999999999999996</v>
      </c>
      <c r="G311" s="48">
        <v>15.3</v>
      </c>
    </row>
    <row r="312" spans="1:7" ht="10.050000000000001" customHeight="1">
      <c r="A312" s="45" t="s">
        <v>150</v>
      </c>
      <c r="B312" s="45" t="s">
        <v>86</v>
      </c>
      <c r="C312" s="46">
        <v>2011</v>
      </c>
      <c r="D312" s="45" t="s">
        <v>118</v>
      </c>
      <c r="E312" s="47">
        <v>7</v>
      </c>
      <c r="F312" s="48">
        <v>0</v>
      </c>
      <c r="G312" s="48">
        <v>12.97</v>
      </c>
    </row>
    <row r="313" spans="1:7" ht="10.050000000000001" customHeight="1">
      <c r="A313" s="45" t="s">
        <v>150</v>
      </c>
      <c r="B313" s="45" t="s">
        <v>86</v>
      </c>
      <c r="C313" s="46">
        <v>2011</v>
      </c>
      <c r="D313" s="45" t="s">
        <v>118</v>
      </c>
      <c r="E313" s="47">
        <v>8</v>
      </c>
      <c r="F313" s="48">
        <v>0</v>
      </c>
      <c r="G313" s="48">
        <v>36.774000000000001</v>
      </c>
    </row>
    <row r="314" spans="1:7" ht="10.050000000000001" customHeight="1">
      <c r="A314" s="45" t="s">
        <v>150</v>
      </c>
      <c r="B314" s="45" t="s">
        <v>86</v>
      </c>
      <c r="C314" s="46">
        <v>2011</v>
      </c>
      <c r="D314" s="45" t="s">
        <v>118</v>
      </c>
      <c r="E314" s="47">
        <v>9</v>
      </c>
      <c r="F314" s="48">
        <v>0</v>
      </c>
      <c r="G314" s="48">
        <v>27.594000000000001</v>
      </c>
    </row>
    <row r="315" spans="1:7" ht="10.050000000000001" customHeight="1">
      <c r="A315" s="45" t="s">
        <v>150</v>
      </c>
      <c r="B315" s="45" t="s">
        <v>86</v>
      </c>
      <c r="C315" s="46">
        <v>2011</v>
      </c>
      <c r="D315" s="45" t="s">
        <v>118</v>
      </c>
      <c r="E315" s="47">
        <v>10</v>
      </c>
      <c r="F315" s="48">
        <v>0</v>
      </c>
      <c r="G315" s="48">
        <v>27.594000000000001</v>
      </c>
    </row>
    <row r="316" spans="1:7" ht="10.050000000000001" customHeight="1">
      <c r="A316" s="45" t="s">
        <v>150</v>
      </c>
      <c r="B316" s="45" t="s">
        <v>86</v>
      </c>
      <c r="C316" s="46">
        <v>2011</v>
      </c>
      <c r="D316" s="45" t="s">
        <v>118</v>
      </c>
      <c r="E316" s="47">
        <v>11</v>
      </c>
      <c r="F316" s="48">
        <v>0</v>
      </c>
      <c r="G316" s="48">
        <v>27.594000000000001</v>
      </c>
    </row>
    <row r="317" spans="1:7" ht="10.050000000000001" customHeight="1">
      <c r="A317" s="45" t="s">
        <v>150</v>
      </c>
      <c r="B317" s="45" t="s">
        <v>86</v>
      </c>
      <c r="C317" s="46">
        <v>2011</v>
      </c>
      <c r="D317" s="45" t="s">
        <v>118</v>
      </c>
      <c r="E317" s="47">
        <v>12</v>
      </c>
      <c r="F317" s="48">
        <v>0</v>
      </c>
      <c r="G317" s="48">
        <v>18.873999999999999</v>
      </c>
    </row>
    <row r="318" spans="1:7" ht="10.050000000000001" customHeight="1">
      <c r="A318" s="45" t="s">
        <v>150</v>
      </c>
      <c r="B318" s="45" t="s">
        <v>86</v>
      </c>
      <c r="C318" s="46">
        <v>2012</v>
      </c>
      <c r="D318" s="45" t="s">
        <v>118</v>
      </c>
      <c r="E318" s="47">
        <v>1</v>
      </c>
      <c r="F318" s="48">
        <v>0</v>
      </c>
      <c r="G318" s="48">
        <v>15.874000000000001</v>
      </c>
    </row>
    <row r="319" spans="1:7" ht="10.050000000000001" customHeight="1">
      <c r="A319" s="45" t="s">
        <v>150</v>
      </c>
      <c r="B319" s="45" t="s">
        <v>86</v>
      </c>
      <c r="C319" s="46">
        <v>2012</v>
      </c>
      <c r="D319" s="45" t="s">
        <v>118</v>
      </c>
      <c r="E319" s="47">
        <v>2</v>
      </c>
      <c r="F319" s="48">
        <v>0</v>
      </c>
      <c r="G319" s="48">
        <v>15.874000000000001</v>
      </c>
    </row>
    <row r="320" spans="1:7" ht="10.050000000000001" customHeight="1">
      <c r="A320" s="45" t="s">
        <v>150</v>
      </c>
      <c r="B320" s="45" t="s">
        <v>86</v>
      </c>
      <c r="C320" s="46">
        <v>2012</v>
      </c>
      <c r="D320" s="45" t="s">
        <v>118</v>
      </c>
      <c r="E320" s="47">
        <v>3</v>
      </c>
      <c r="F320" s="48">
        <v>0</v>
      </c>
      <c r="G320" s="48">
        <v>7.0940000000000003</v>
      </c>
    </row>
    <row r="321" spans="1:7" ht="10.050000000000001" customHeight="1">
      <c r="A321" s="45" t="s">
        <v>150</v>
      </c>
      <c r="B321" s="45" t="s">
        <v>86</v>
      </c>
      <c r="C321" s="46">
        <v>2012</v>
      </c>
      <c r="D321" s="45" t="s">
        <v>118</v>
      </c>
      <c r="E321" s="47">
        <v>4</v>
      </c>
      <c r="F321" s="48">
        <v>0</v>
      </c>
      <c r="G321" s="48">
        <v>4.5540000000000003</v>
      </c>
    </row>
    <row r="322" spans="1:7" ht="10.050000000000001" customHeight="1">
      <c r="A322" s="45" t="s">
        <v>150</v>
      </c>
      <c r="B322" s="45" t="s">
        <v>86</v>
      </c>
      <c r="C322" s="46">
        <v>2012</v>
      </c>
      <c r="D322" s="45" t="s">
        <v>119</v>
      </c>
      <c r="E322" s="47">
        <v>7</v>
      </c>
      <c r="F322" s="48">
        <v>0</v>
      </c>
      <c r="G322" s="48">
        <v>0.54</v>
      </c>
    </row>
    <row r="323" spans="1:7" ht="10.050000000000001" customHeight="1">
      <c r="A323" s="45" t="s">
        <v>150</v>
      </c>
      <c r="B323" s="45" t="s">
        <v>86</v>
      </c>
      <c r="C323" s="46">
        <v>2012</v>
      </c>
      <c r="D323" s="45" t="s">
        <v>119</v>
      </c>
      <c r="E323" s="47">
        <v>8</v>
      </c>
      <c r="F323" s="48">
        <v>0</v>
      </c>
      <c r="G323" s="48">
        <v>0.54</v>
      </c>
    </row>
    <row r="324" spans="1:7" ht="10.050000000000001" customHeight="1">
      <c r="A324" s="45" t="s">
        <v>150</v>
      </c>
      <c r="B324" s="45" t="s">
        <v>86</v>
      </c>
      <c r="C324" s="46">
        <v>2012</v>
      </c>
      <c r="D324" s="45" t="s">
        <v>119</v>
      </c>
      <c r="E324" s="47">
        <v>9</v>
      </c>
      <c r="F324" s="48">
        <v>0</v>
      </c>
      <c r="G324" s="48">
        <v>0.54</v>
      </c>
    </row>
    <row r="325" spans="1:7" ht="10.050000000000001" customHeight="1">
      <c r="A325" s="45" t="s">
        <v>150</v>
      </c>
      <c r="B325" s="45" t="s">
        <v>86</v>
      </c>
      <c r="C325" s="46">
        <v>2012</v>
      </c>
      <c r="D325" s="45" t="s">
        <v>119</v>
      </c>
      <c r="E325" s="47">
        <v>10</v>
      </c>
      <c r="F325" s="48">
        <v>0</v>
      </c>
      <c r="G325" s="48">
        <v>4.8499999999999996</v>
      </c>
    </row>
    <row r="326" spans="1:7" ht="10.050000000000001" customHeight="1">
      <c r="A326" s="45" t="s">
        <v>150</v>
      </c>
      <c r="B326" s="45" t="s">
        <v>86</v>
      </c>
      <c r="C326" s="46">
        <v>2012</v>
      </c>
      <c r="D326" s="45" t="s">
        <v>119</v>
      </c>
      <c r="E326" s="47">
        <v>11</v>
      </c>
      <c r="F326" s="48">
        <v>0</v>
      </c>
      <c r="G326" s="48">
        <v>20.172999999999998</v>
      </c>
    </row>
    <row r="327" spans="1:7" ht="10.050000000000001" customHeight="1">
      <c r="A327" s="45" t="s">
        <v>150</v>
      </c>
      <c r="B327" s="45" t="s">
        <v>86</v>
      </c>
      <c r="C327" s="46">
        <v>2012</v>
      </c>
      <c r="D327" s="45" t="s">
        <v>119</v>
      </c>
      <c r="E327" s="47">
        <v>12</v>
      </c>
      <c r="F327" s="48">
        <v>0</v>
      </c>
      <c r="G327" s="48">
        <v>14.952999999999999</v>
      </c>
    </row>
    <row r="328" spans="1:7" ht="10.050000000000001" customHeight="1">
      <c r="A328" s="45" t="s">
        <v>150</v>
      </c>
      <c r="B328" s="45" t="s">
        <v>86</v>
      </c>
      <c r="C328" s="46">
        <v>2013</v>
      </c>
      <c r="D328" s="45" t="s">
        <v>119</v>
      </c>
      <c r="E328" s="47">
        <v>1</v>
      </c>
      <c r="F328" s="48">
        <v>0</v>
      </c>
      <c r="G328" s="48">
        <v>5.4429999999999996</v>
      </c>
    </row>
    <row r="329" spans="1:7" ht="10.050000000000001" customHeight="1">
      <c r="A329" s="45" t="s">
        <v>150</v>
      </c>
      <c r="B329" s="45" t="s">
        <v>86</v>
      </c>
      <c r="C329" s="46">
        <v>2013</v>
      </c>
      <c r="D329" s="45" t="s">
        <v>119</v>
      </c>
      <c r="E329" s="47">
        <v>2</v>
      </c>
      <c r="F329" s="48">
        <v>0</v>
      </c>
      <c r="G329" s="48">
        <v>5.4429999999999996</v>
      </c>
    </row>
    <row r="330" spans="1:7" ht="10.050000000000001" customHeight="1">
      <c r="A330" s="45" t="s">
        <v>150</v>
      </c>
      <c r="B330" s="45" t="s">
        <v>86</v>
      </c>
      <c r="C330" s="46">
        <v>2013</v>
      </c>
      <c r="D330" s="45" t="s">
        <v>119</v>
      </c>
      <c r="E330" s="47">
        <v>3</v>
      </c>
      <c r="F330" s="48">
        <v>0</v>
      </c>
      <c r="G330" s="48">
        <v>5.4429999999999996</v>
      </c>
    </row>
    <row r="331" spans="1:7" ht="10.050000000000001" customHeight="1">
      <c r="A331" s="45" t="s">
        <v>150</v>
      </c>
      <c r="B331" s="45" t="s">
        <v>86</v>
      </c>
      <c r="C331" s="46">
        <v>2013</v>
      </c>
      <c r="D331" s="45" t="s">
        <v>119</v>
      </c>
      <c r="E331" s="47">
        <v>4</v>
      </c>
      <c r="F331" s="48">
        <v>9.93</v>
      </c>
      <c r="G331" s="48">
        <v>6.423</v>
      </c>
    </row>
    <row r="332" spans="1:7" ht="10.050000000000001" customHeight="1">
      <c r="A332" s="45" t="s">
        <v>150</v>
      </c>
      <c r="B332" s="45" t="s">
        <v>86</v>
      </c>
      <c r="C332" s="46">
        <v>2013</v>
      </c>
      <c r="D332" s="45" t="s">
        <v>119</v>
      </c>
      <c r="E332" s="47">
        <v>5</v>
      </c>
      <c r="F332" s="48">
        <v>1.2</v>
      </c>
      <c r="G332" s="48">
        <v>31.303000000000001</v>
      </c>
    </row>
    <row r="333" spans="1:7" ht="10.050000000000001" customHeight="1">
      <c r="A333" s="45" t="s">
        <v>150</v>
      </c>
      <c r="B333" s="45" t="s">
        <v>86</v>
      </c>
      <c r="C333" s="46">
        <v>2013</v>
      </c>
      <c r="D333" s="45" t="s">
        <v>119</v>
      </c>
      <c r="E333" s="47">
        <v>6</v>
      </c>
      <c r="F333" s="48">
        <v>14.067</v>
      </c>
      <c r="G333" s="48">
        <v>35.235999999999997</v>
      </c>
    </row>
    <row r="334" spans="1:7" ht="10.050000000000001" customHeight="1">
      <c r="A334" s="45" t="s">
        <v>150</v>
      </c>
      <c r="B334" s="45" t="s">
        <v>86</v>
      </c>
      <c r="C334" s="46">
        <v>2013</v>
      </c>
      <c r="D334" s="45" t="s">
        <v>120</v>
      </c>
      <c r="E334" s="47">
        <v>7</v>
      </c>
      <c r="F334" s="48">
        <v>0</v>
      </c>
      <c r="G334" s="48">
        <v>30.696000000000002</v>
      </c>
    </row>
    <row r="335" spans="1:7" ht="10.050000000000001" customHeight="1">
      <c r="A335" s="45" t="s">
        <v>150</v>
      </c>
      <c r="B335" s="45" t="s">
        <v>86</v>
      </c>
      <c r="C335" s="46">
        <v>2013</v>
      </c>
      <c r="D335" s="45" t="s">
        <v>120</v>
      </c>
      <c r="E335" s="47">
        <v>8</v>
      </c>
      <c r="F335" s="48">
        <v>10.750999999999999</v>
      </c>
      <c r="G335" s="48">
        <v>19.798999999999999</v>
      </c>
    </row>
    <row r="336" spans="1:7" ht="10.050000000000001" customHeight="1">
      <c r="A336" s="45" t="s">
        <v>150</v>
      </c>
      <c r="B336" s="45" t="s">
        <v>86</v>
      </c>
      <c r="C336" s="46">
        <v>2013</v>
      </c>
      <c r="D336" s="45" t="s">
        <v>120</v>
      </c>
      <c r="E336" s="47">
        <v>9</v>
      </c>
      <c r="F336" s="48">
        <v>13.464</v>
      </c>
      <c r="G336" s="48">
        <v>0</v>
      </c>
    </row>
    <row r="337" spans="1:7" ht="10.050000000000001" customHeight="1">
      <c r="A337" s="45" t="s">
        <v>150</v>
      </c>
      <c r="B337" s="45" t="s">
        <v>86</v>
      </c>
      <c r="C337" s="46">
        <v>2014</v>
      </c>
      <c r="D337" s="45" t="s">
        <v>120</v>
      </c>
      <c r="E337" s="47">
        <v>4</v>
      </c>
      <c r="F337" s="48">
        <v>0</v>
      </c>
      <c r="G337" s="48">
        <v>24.83</v>
      </c>
    </row>
    <row r="338" spans="1:7" ht="10.050000000000001" customHeight="1">
      <c r="A338" s="45" t="s">
        <v>150</v>
      </c>
      <c r="B338" s="45" t="s">
        <v>86</v>
      </c>
      <c r="C338" s="46">
        <v>2014</v>
      </c>
      <c r="D338" s="45" t="s">
        <v>120</v>
      </c>
      <c r="E338" s="47">
        <v>5</v>
      </c>
      <c r="F338" s="48">
        <v>0</v>
      </c>
      <c r="G338" s="48">
        <v>24.83</v>
      </c>
    </row>
    <row r="339" spans="1:7" ht="10.050000000000001" customHeight="1">
      <c r="A339" s="45" t="s">
        <v>150</v>
      </c>
      <c r="B339" s="45" t="s">
        <v>86</v>
      </c>
      <c r="C339" s="46">
        <v>2014</v>
      </c>
      <c r="D339" s="45" t="s">
        <v>120</v>
      </c>
      <c r="E339" s="47">
        <v>6</v>
      </c>
      <c r="F339" s="48">
        <v>9.4700000000000006</v>
      </c>
      <c r="G339" s="48">
        <v>15.36</v>
      </c>
    </row>
    <row r="340" spans="1:7" ht="10.050000000000001" customHeight="1">
      <c r="A340" s="45" t="s">
        <v>150</v>
      </c>
      <c r="B340" s="45" t="s">
        <v>86</v>
      </c>
      <c r="C340" s="46">
        <v>2014</v>
      </c>
      <c r="D340" s="45" t="s">
        <v>121</v>
      </c>
      <c r="E340" s="47">
        <v>7</v>
      </c>
      <c r="F340" s="48">
        <v>15.36</v>
      </c>
      <c r="G340" s="48">
        <v>0</v>
      </c>
    </row>
    <row r="341" spans="1:7" ht="10.050000000000001" customHeight="1">
      <c r="A341" s="45" t="s">
        <v>150</v>
      </c>
      <c r="B341" s="45" t="s">
        <v>86</v>
      </c>
      <c r="C341" s="46">
        <v>2015</v>
      </c>
      <c r="D341" s="45" t="s">
        <v>121</v>
      </c>
      <c r="E341" s="47">
        <v>4</v>
      </c>
      <c r="F341" s="48">
        <v>1.25</v>
      </c>
      <c r="G341" s="48">
        <v>26.85</v>
      </c>
    </row>
    <row r="342" spans="1:7" ht="10.050000000000001" customHeight="1">
      <c r="A342" s="45" t="s">
        <v>150</v>
      </c>
      <c r="B342" s="45" t="s">
        <v>86</v>
      </c>
      <c r="C342" s="46">
        <v>2015</v>
      </c>
      <c r="D342" s="45" t="s">
        <v>121</v>
      </c>
      <c r="E342" s="47">
        <v>5</v>
      </c>
      <c r="F342" s="48">
        <v>6.86</v>
      </c>
      <c r="G342" s="48">
        <v>19.98</v>
      </c>
    </row>
    <row r="343" spans="1:7" ht="10.050000000000001" customHeight="1">
      <c r="A343" s="45" t="s">
        <v>150</v>
      </c>
      <c r="B343" s="45" t="s">
        <v>86</v>
      </c>
      <c r="C343" s="46">
        <v>2015</v>
      </c>
      <c r="D343" s="45" t="s">
        <v>121</v>
      </c>
      <c r="E343" s="47">
        <v>6</v>
      </c>
      <c r="F343" s="48">
        <v>13.22</v>
      </c>
      <c r="G343" s="48">
        <v>6.76</v>
      </c>
    </row>
    <row r="344" spans="1:7" ht="10.050000000000001" customHeight="1">
      <c r="A344" s="45" t="s">
        <v>150</v>
      </c>
      <c r="B344" s="45" t="s">
        <v>86</v>
      </c>
      <c r="C344" s="46">
        <v>2015</v>
      </c>
      <c r="D344" s="45" t="s">
        <v>122</v>
      </c>
      <c r="E344" s="47">
        <v>7</v>
      </c>
      <c r="F344" s="48">
        <v>8.25</v>
      </c>
      <c r="G344" s="48">
        <v>18.41</v>
      </c>
    </row>
    <row r="345" spans="1:7" ht="10.050000000000001" customHeight="1">
      <c r="A345" s="45" t="s">
        <v>150</v>
      </c>
      <c r="B345" s="45" t="s">
        <v>86</v>
      </c>
      <c r="C345" s="46">
        <v>2015</v>
      </c>
      <c r="D345" s="45" t="s">
        <v>122</v>
      </c>
      <c r="E345" s="47">
        <v>8</v>
      </c>
      <c r="F345" s="48">
        <v>2.54</v>
      </c>
      <c r="G345" s="48">
        <v>15.87</v>
      </c>
    </row>
    <row r="346" spans="1:7" ht="10.050000000000001" customHeight="1">
      <c r="A346" s="45" t="s">
        <v>150</v>
      </c>
      <c r="B346" s="45" t="s">
        <v>86</v>
      </c>
      <c r="C346" s="46">
        <v>2015</v>
      </c>
      <c r="D346" s="45" t="s">
        <v>122</v>
      </c>
      <c r="E346" s="47">
        <v>9</v>
      </c>
      <c r="F346" s="48">
        <v>1.19</v>
      </c>
      <c r="G346" s="48">
        <v>14.68</v>
      </c>
    </row>
    <row r="347" spans="1:7" ht="10.050000000000001" customHeight="1">
      <c r="A347" s="45" t="s">
        <v>150</v>
      </c>
      <c r="B347" s="45" t="s">
        <v>86</v>
      </c>
      <c r="C347" s="46">
        <v>2015</v>
      </c>
      <c r="D347" s="45" t="s">
        <v>122</v>
      </c>
      <c r="E347" s="47">
        <v>10</v>
      </c>
      <c r="F347" s="48">
        <v>1.19</v>
      </c>
      <c r="G347" s="48">
        <v>13.49</v>
      </c>
    </row>
    <row r="348" spans="1:7" ht="10.050000000000001" customHeight="1">
      <c r="A348" s="45" t="s">
        <v>150</v>
      </c>
      <c r="B348" s="45" t="s">
        <v>86</v>
      </c>
      <c r="C348" s="46">
        <v>2015</v>
      </c>
      <c r="D348" s="45" t="s">
        <v>122</v>
      </c>
      <c r="E348" s="47">
        <v>11</v>
      </c>
      <c r="F348" s="48">
        <v>13.49</v>
      </c>
      <c r="G348" s="48">
        <v>0</v>
      </c>
    </row>
    <row r="349" spans="1:7" ht="10.050000000000001" customHeight="1">
      <c r="A349" s="45" t="s">
        <v>150</v>
      </c>
      <c r="B349" s="45" t="s">
        <v>86</v>
      </c>
      <c r="C349" s="46">
        <v>2016</v>
      </c>
      <c r="D349" s="45" t="s">
        <v>122</v>
      </c>
      <c r="E349" s="47">
        <v>4</v>
      </c>
      <c r="F349" s="48">
        <v>23.16</v>
      </c>
      <c r="G349" s="48">
        <v>32.718000000000004</v>
      </c>
    </row>
    <row r="350" spans="1:7" ht="10.050000000000001" customHeight="1">
      <c r="A350" s="45" t="s">
        <v>150</v>
      </c>
      <c r="B350" s="45" t="s">
        <v>86</v>
      </c>
      <c r="C350" s="46">
        <v>2016</v>
      </c>
      <c r="D350" s="45" t="s">
        <v>122</v>
      </c>
      <c r="E350" s="47">
        <v>5</v>
      </c>
      <c r="F350" s="48">
        <v>24.779</v>
      </c>
      <c r="G350" s="48">
        <v>25.838999999999999</v>
      </c>
    </row>
    <row r="351" spans="1:7" ht="10.050000000000001" customHeight="1">
      <c r="A351" s="45" t="s">
        <v>150</v>
      </c>
      <c r="B351" s="45" t="s">
        <v>86</v>
      </c>
      <c r="C351" s="46">
        <v>2016</v>
      </c>
      <c r="D351" s="45" t="s">
        <v>122</v>
      </c>
      <c r="E351" s="47">
        <v>6</v>
      </c>
      <c r="F351" s="48">
        <v>33.545999999999999</v>
      </c>
      <c r="G351" s="48">
        <v>21.213000000000001</v>
      </c>
    </row>
    <row r="352" spans="1:7" ht="10.050000000000001" customHeight="1">
      <c r="A352" s="45" t="s">
        <v>150</v>
      </c>
      <c r="B352" s="45" t="s">
        <v>86</v>
      </c>
      <c r="C352" s="46">
        <v>2016</v>
      </c>
      <c r="D352" s="45" t="s">
        <v>123</v>
      </c>
      <c r="E352" s="47">
        <v>7</v>
      </c>
      <c r="F352" s="48">
        <v>22.773</v>
      </c>
      <c r="G352" s="48">
        <v>0</v>
      </c>
    </row>
    <row r="353" spans="1:7" ht="10.050000000000001" customHeight="1">
      <c r="A353" s="45" t="s">
        <v>150</v>
      </c>
      <c r="B353" s="45" t="s">
        <v>86</v>
      </c>
      <c r="C353" s="46">
        <v>2017</v>
      </c>
      <c r="D353" s="45" t="s">
        <v>123</v>
      </c>
      <c r="E353" s="47">
        <v>6</v>
      </c>
      <c r="F353" s="48">
        <v>37.630000000000003</v>
      </c>
      <c r="G353" s="48">
        <v>3.2589999999999999</v>
      </c>
    </row>
    <row r="354" spans="1:7" ht="10.050000000000001" customHeight="1">
      <c r="A354" s="45" t="s">
        <v>150</v>
      </c>
      <c r="B354" s="45" t="s">
        <v>86</v>
      </c>
      <c r="C354" s="46">
        <v>2017</v>
      </c>
      <c r="D354" s="45" t="s">
        <v>124</v>
      </c>
      <c r="E354" s="47">
        <v>7</v>
      </c>
      <c r="F354" s="48">
        <v>0</v>
      </c>
      <c r="G354" s="48">
        <v>3.2589999999999999</v>
      </c>
    </row>
    <row r="355" spans="1:7" ht="10.050000000000001" customHeight="1">
      <c r="A355" s="45" t="s">
        <v>150</v>
      </c>
      <c r="B355" s="45" t="s">
        <v>86</v>
      </c>
      <c r="C355" s="46">
        <v>2017</v>
      </c>
      <c r="D355" s="45" t="s">
        <v>124</v>
      </c>
      <c r="E355" s="47">
        <v>8</v>
      </c>
      <c r="F355" s="48">
        <v>0</v>
      </c>
      <c r="G355" s="48">
        <v>3.2589999999999999</v>
      </c>
    </row>
    <row r="356" spans="1:7" ht="10.050000000000001" customHeight="1">
      <c r="A356" s="45" t="s">
        <v>150</v>
      </c>
      <c r="B356" s="45" t="s">
        <v>86</v>
      </c>
      <c r="C356" s="46">
        <v>2017</v>
      </c>
      <c r="D356" s="45" t="s">
        <v>124</v>
      </c>
      <c r="E356" s="47">
        <v>9</v>
      </c>
      <c r="F356" s="48">
        <v>0</v>
      </c>
      <c r="G356" s="48">
        <v>3.2589999999999999</v>
      </c>
    </row>
    <row r="357" spans="1:7" ht="10.050000000000001" customHeight="1">
      <c r="A357" s="45" t="s">
        <v>150</v>
      </c>
      <c r="B357" s="45" t="s">
        <v>86</v>
      </c>
      <c r="C357" s="46">
        <v>2017</v>
      </c>
      <c r="D357" s="45" t="s">
        <v>124</v>
      </c>
      <c r="E357" s="47">
        <v>10</v>
      </c>
      <c r="F357" s="48">
        <v>0</v>
      </c>
      <c r="G357" s="48">
        <v>3.2589999999999999</v>
      </c>
    </row>
    <row r="358" spans="1:7" ht="10.050000000000001" customHeight="1">
      <c r="A358" s="45" t="s">
        <v>150</v>
      </c>
      <c r="B358" s="45" t="s">
        <v>86</v>
      </c>
      <c r="C358" s="46">
        <v>2017</v>
      </c>
      <c r="D358" s="45" t="s">
        <v>124</v>
      </c>
      <c r="E358" s="47">
        <v>11</v>
      </c>
      <c r="F358" s="48">
        <v>0</v>
      </c>
      <c r="G358" s="48">
        <v>3.2589999999999999</v>
      </c>
    </row>
    <row r="359" spans="1:7" ht="10.050000000000001" customHeight="1">
      <c r="A359" s="45" t="s">
        <v>150</v>
      </c>
      <c r="B359" s="45" t="s">
        <v>86</v>
      </c>
      <c r="C359" s="46">
        <v>2017</v>
      </c>
      <c r="D359" s="45" t="s">
        <v>124</v>
      </c>
      <c r="E359" s="47">
        <v>12</v>
      </c>
      <c r="F359" s="48">
        <v>0</v>
      </c>
      <c r="G359" s="48">
        <v>3.2589999999999999</v>
      </c>
    </row>
    <row r="360" spans="1:7" ht="10.050000000000001" customHeight="1">
      <c r="A360" s="45" t="s">
        <v>150</v>
      </c>
      <c r="B360" s="45" t="s">
        <v>86</v>
      </c>
      <c r="C360" s="46">
        <v>2018</v>
      </c>
      <c r="D360" s="45" t="s">
        <v>124</v>
      </c>
      <c r="E360" s="47">
        <v>1</v>
      </c>
      <c r="F360" s="48">
        <v>0</v>
      </c>
      <c r="G360" s="48">
        <v>4.4790000000000001</v>
      </c>
    </row>
    <row r="361" spans="1:7" ht="10.050000000000001" customHeight="1">
      <c r="A361" s="45" t="s">
        <v>150</v>
      </c>
      <c r="B361" s="45" t="s">
        <v>86</v>
      </c>
      <c r="C361" s="46">
        <v>2018</v>
      </c>
      <c r="D361" s="45" t="s">
        <v>124</v>
      </c>
      <c r="E361" s="47">
        <v>2</v>
      </c>
      <c r="F361" s="48">
        <v>0</v>
      </c>
      <c r="G361" s="48">
        <v>4.4790000000000001</v>
      </c>
    </row>
    <row r="362" spans="1:7" ht="10.050000000000001" customHeight="1">
      <c r="A362" s="45" t="s">
        <v>150</v>
      </c>
      <c r="B362" s="45" t="s">
        <v>86</v>
      </c>
      <c r="C362" s="46">
        <v>2018</v>
      </c>
      <c r="D362" s="45" t="s">
        <v>124</v>
      </c>
      <c r="E362" s="47">
        <v>3</v>
      </c>
      <c r="F362" s="48">
        <v>0</v>
      </c>
      <c r="G362" s="48">
        <v>10.619</v>
      </c>
    </row>
    <row r="363" spans="1:7" ht="10.050000000000001" customHeight="1">
      <c r="A363" s="45" t="s">
        <v>150</v>
      </c>
      <c r="B363" s="45" t="s">
        <v>86</v>
      </c>
      <c r="C363" s="46">
        <v>2018</v>
      </c>
      <c r="D363" s="45" t="s">
        <v>124</v>
      </c>
      <c r="E363" s="47">
        <v>4</v>
      </c>
      <c r="F363" s="48">
        <v>0</v>
      </c>
      <c r="G363" s="48">
        <v>7.6189999999999998</v>
      </c>
    </row>
    <row r="364" spans="1:7" ht="10.050000000000001" customHeight="1">
      <c r="A364" s="45" t="s">
        <v>150</v>
      </c>
      <c r="B364" s="45" t="s">
        <v>86</v>
      </c>
      <c r="C364" s="46">
        <v>2018</v>
      </c>
      <c r="D364" s="45" t="s">
        <v>124</v>
      </c>
      <c r="E364" s="47">
        <v>5</v>
      </c>
      <c r="F364" s="48">
        <v>0</v>
      </c>
      <c r="G364" s="48">
        <v>7.6189999999999998</v>
      </c>
    </row>
    <row r="365" spans="1:7" ht="10.050000000000001" customHeight="1">
      <c r="A365" s="45" t="s">
        <v>150</v>
      </c>
      <c r="B365" s="45" t="s">
        <v>86</v>
      </c>
      <c r="C365" s="46">
        <v>2018</v>
      </c>
      <c r="D365" s="45" t="s">
        <v>124</v>
      </c>
      <c r="E365" s="47">
        <v>6</v>
      </c>
      <c r="F365" s="48">
        <v>29.44</v>
      </c>
      <c r="G365" s="48">
        <v>62.539000000000001</v>
      </c>
    </row>
    <row r="366" spans="1:7" ht="10.050000000000001" customHeight="1">
      <c r="A366" s="45" t="s">
        <v>150</v>
      </c>
      <c r="B366" s="45" t="s">
        <v>86</v>
      </c>
      <c r="C366" s="46">
        <v>2018</v>
      </c>
      <c r="D366" s="45" t="s">
        <v>125</v>
      </c>
      <c r="E366" s="47">
        <v>7</v>
      </c>
      <c r="F366" s="48">
        <v>74.387</v>
      </c>
      <c r="G366" s="48">
        <v>73.432000000000002</v>
      </c>
    </row>
    <row r="367" spans="1:7" ht="10.050000000000001" customHeight="1">
      <c r="A367" s="45" t="s">
        <v>150</v>
      </c>
      <c r="B367" s="45" t="s">
        <v>86</v>
      </c>
      <c r="C367" s="46">
        <v>2018</v>
      </c>
      <c r="D367" s="45" t="s">
        <v>125</v>
      </c>
      <c r="E367" s="47">
        <v>8</v>
      </c>
      <c r="F367" s="48">
        <v>65.328000000000003</v>
      </c>
      <c r="G367" s="48">
        <v>73.048000000000002</v>
      </c>
    </row>
    <row r="368" spans="1:7" ht="10.050000000000001" customHeight="1">
      <c r="A368" s="45" t="s">
        <v>150</v>
      </c>
      <c r="B368" s="45" t="s">
        <v>86</v>
      </c>
      <c r="C368" s="46">
        <v>2018</v>
      </c>
      <c r="D368" s="45" t="s">
        <v>125</v>
      </c>
      <c r="E368" s="47">
        <v>9</v>
      </c>
      <c r="F368" s="48">
        <v>73.908000000000001</v>
      </c>
      <c r="G368" s="48">
        <v>0</v>
      </c>
    </row>
    <row r="369" spans="1:7" ht="10.050000000000001" customHeight="1">
      <c r="A369" s="45" t="s">
        <v>150</v>
      </c>
      <c r="B369" s="45" t="s">
        <v>89</v>
      </c>
      <c r="C369" s="46">
        <v>2000</v>
      </c>
      <c r="D369" s="45" t="s">
        <v>107</v>
      </c>
      <c r="E369" s="47">
        <v>7</v>
      </c>
      <c r="F369" s="48">
        <v>11.2</v>
      </c>
      <c r="G369" s="48">
        <v>1.8</v>
      </c>
    </row>
    <row r="370" spans="1:7" ht="10.050000000000001" customHeight="1">
      <c r="A370" s="45" t="s">
        <v>150</v>
      </c>
      <c r="B370" s="45" t="s">
        <v>89</v>
      </c>
      <c r="C370" s="46">
        <v>2000</v>
      </c>
      <c r="D370" s="45" t="s">
        <v>107</v>
      </c>
      <c r="E370" s="47">
        <v>8</v>
      </c>
      <c r="F370" s="48">
        <v>0</v>
      </c>
      <c r="G370" s="48">
        <v>4.8</v>
      </c>
    </row>
    <row r="371" spans="1:7" ht="10.050000000000001" customHeight="1">
      <c r="A371" s="45" t="s">
        <v>150</v>
      </c>
      <c r="B371" s="45" t="s">
        <v>89</v>
      </c>
      <c r="C371" s="46">
        <v>2000</v>
      </c>
      <c r="D371" s="45" t="s">
        <v>107</v>
      </c>
      <c r="E371" s="47">
        <v>9</v>
      </c>
      <c r="F371" s="48">
        <v>0</v>
      </c>
      <c r="G371" s="48">
        <v>34.9</v>
      </c>
    </row>
    <row r="372" spans="1:7" ht="10.050000000000001" customHeight="1">
      <c r="A372" s="45" t="s">
        <v>150</v>
      </c>
      <c r="B372" s="45" t="s">
        <v>89</v>
      </c>
      <c r="C372" s="46">
        <v>2000</v>
      </c>
      <c r="D372" s="45" t="s">
        <v>107</v>
      </c>
      <c r="E372" s="47">
        <v>10</v>
      </c>
      <c r="F372" s="48">
        <v>19.5</v>
      </c>
      <c r="G372" s="48">
        <v>35</v>
      </c>
    </row>
    <row r="373" spans="1:7" ht="10.050000000000001" customHeight="1">
      <c r="A373" s="45" t="s">
        <v>150</v>
      </c>
      <c r="B373" s="45" t="s">
        <v>89</v>
      </c>
      <c r="C373" s="46">
        <v>2000</v>
      </c>
      <c r="D373" s="45" t="s">
        <v>107</v>
      </c>
      <c r="E373" s="47">
        <v>11</v>
      </c>
      <c r="F373" s="48">
        <v>44.3</v>
      </c>
      <c r="G373" s="48">
        <v>54.6</v>
      </c>
    </row>
    <row r="374" spans="1:7" ht="10.050000000000001" customHeight="1">
      <c r="A374" s="45" t="s">
        <v>150</v>
      </c>
      <c r="B374" s="45" t="s">
        <v>89</v>
      </c>
      <c r="C374" s="46">
        <v>2000</v>
      </c>
      <c r="D374" s="45" t="s">
        <v>107</v>
      </c>
      <c r="E374" s="47">
        <v>12</v>
      </c>
      <c r="F374" s="48">
        <v>59.5</v>
      </c>
      <c r="G374" s="48">
        <v>49.1</v>
      </c>
    </row>
    <row r="375" spans="1:7" ht="10.050000000000001" customHeight="1">
      <c r="A375" s="45" t="s">
        <v>150</v>
      </c>
      <c r="B375" s="45" t="s">
        <v>89</v>
      </c>
      <c r="C375" s="46">
        <v>2001</v>
      </c>
      <c r="D375" s="45" t="s">
        <v>107</v>
      </c>
      <c r="E375" s="47">
        <v>1</v>
      </c>
      <c r="F375" s="48">
        <v>75.099999999999994</v>
      </c>
      <c r="G375" s="48">
        <v>14.5</v>
      </c>
    </row>
    <row r="376" spans="1:7" ht="10.050000000000001" customHeight="1">
      <c r="A376" s="45" t="s">
        <v>150</v>
      </c>
      <c r="B376" s="45" t="s">
        <v>89</v>
      </c>
      <c r="C376" s="46">
        <v>2001</v>
      </c>
      <c r="D376" s="45" t="s">
        <v>107</v>
      </c>
      <c r="E376" s="47">
        <v>2</v>
      </c>
      <c r="F376" s="48">
        <v>49.8</v>
      </c>
      <c r="G376" s="48">
        <v>23.4</v>
      </c>
    </row>
    <row r="377" spans="1:7" ht="10.050000000000001" customHeight="1">
      <c r="A377" s="45" t="s">
        <v>150</v>
      </c>
      <c r="B377" s="45" t="s">
        <v>89</v>
      </c>
      <c r="C377" s="46">
        <v>2001</v>
      </c>
      <c r="D377" s="45" t="s">
        <v>107</v>
      </c>
      <c r="E377" s="47">
        <v>3</v>
      </c>
      <c r="F377" s="48">
        <v>32</v>
      </c>
      <c r="G377" s="48">
        <v>100</v>
      </c>
    </row>
    <row r="378" spans="1:7" ht="10.050000000000001" customHeight="1">
      <c r="A378" s="45" t="s">
        <v>150</v>
      </c>
      <c r="B378" s="45" t="s">
        <v>89</v>
      </c>
      <c r="C378" s="46">
        <v>2001</v>
      </c>
      <c r="D378" s="45" t="s">
        <v>107</v>
      </c>
      <c r="E378" s="47">
        <v>4</v>
      </c>
      <c r="F378" s="48">
        <v>49</v>
      </c>
      <c r="G378" s="48">
        <v>97.2</v>
      </c>
    </row>
    <row r="379" spans="1:7" ht="10.050000000000001" customHeight="1">
      <c r="A379" s="45" t="s">
        <v>150</v>
      </c>
      <c r="B379" s="45" t="s">
        <v>89</v>
      </c>
      <c r="C379" s="46">
        <v>2001</v>
      </c>
      <c r="D379" s="45" t="s">
        <v>107</v>
      </c>
      <c r="E379" s="47">
        <v>5</v>
      </c>
      <c r="F379" s="48">
        <v>66.900000000000006</v>
      </c>
      <c r="G379" s="48">
        <v>116.6</v>
      </c>
    </row>
    <row r="380" spans="1:7" ht="10.050000000000001" customHeight="1">
      <c r="A380" s="45" t="s">
        <v>150</v>
      </c>
      <c r="B380" s="45" t="s">
        <v>89</v>
      </c>
      <c r="C380" s="46">
        <v>2001</v>
      </c>
      <c r="D380" s="45" t="s">
        <v>107</v>
      </c>
      <c r="E380" s="47">
        <v>6</v>
      </c>
      <c r="F380" s="48">
        <v>57.8</v>
      </c>
      <c r="G380" s="48">
        <v>77.7</v>
      </c>
    </row>
    <row r="381" spans="1:7" ht="10.050000000000001" customHeight="1">
      <c r="A381" s="45" t="s">
        <v>150</v>
      </c>
      <c r="B381" s="45" t="s">
        <v>89</v>
      </c>
      <c r="C381" s="46">
        <v>2001</v>
      </c>
      <c r="D381" s="45" t="s">
        <v>110</v>
      </c>
      <c r="E381" s="47">
        <v>7</v>
      </c>
      <c r="F381" s="48">
        <v>53.3</v>
      </c>
      <c r="G381" s="48">
        <v>86.4</v>
      </c>
    </row>
    <row r="382" spans="1:7" ht="10.050000000000001" customHeight="1">
      <c r="A382" s="45" t="s">
        <v>150</v>
      </c>
      <c r="B382" s="45" t="s">
        <v>89</v>
      </c>
      <c r="C382" s="46">
        <v>2001</v>
      </c>
      <c r="D382" s="45" t="s">
        <v>110</v>
      </c>
      <c r="E382" s="47">
        <v>8</v>
      </c>
      <c r="F382" s="48">
        <v>73.900000000000006</v>
      </c>
      <c r="G382" s="48">
        <v>36.1</v>
      </c>
    </row>
    <row r="383" spans="1:7" ht="10.050000000000001" customHeight="1">
      <c r="A383" s="45" t="s">
        <v>150</v>
      </c>
      <c r="B383" s="45" t="s">
        <v>89</v>
      </c>
      <c r="C383" s="46">
        <v>2001</v>
      </c>
      <c r="D383" s="45" t="s">
        <v>110</v>
      </c>
      <c r="E383" s="47">
        <v>9</v>
      </c>
      <c r="F383" s="48">
        <v>63.9</v>
      </c>
      <c r="G383" s="48">
        <v>61.5</v>
      </c>
    </row>
    <row r="384" spans="1:7" ht="10.050000000000001" customHeight="1">
      <c r="A384" s="45" t="s">
        <v>150</v>
      </c>
      <c r="B384" s="45" t="s">
        <v>89</v>
      </c>
      <c r="C384" s="46">
        <v>2001</v>
      </c>
      <c r="D384" s="45" t="s">
        <v>110</v>
      </c>
      <c r="E384" s="47">
        <v>10</v>
      </c>
      <c r="F384" s="48">
        <v>76.7</v>
      </c>
      <c r="G384" s="48">
        <v>62.6</v>
      </c>
    </row>
    <row r="385" spans="1:7" ht="10.050000000000001" customHeight="1">
      <c r="A385" s="45" t="s">
        <v>150</v>
      </c>
      <c r="B385" s="45" t="s">
        <v>89</v>
      </c>
      <c r="C385" s="46">
        <v>2001</v>
      </c>
      <c r="D385" s="45" t="s">
        <v>110</v>
      </c>
      <c r="E385" s="47">
        <v>11</v>
      </c>
      <c r="F385" s="48">
        <v>88.8</v>
      </c>
      <c r="G385" s="48">
        <v>58.8</v>
      </c>
    </row>
    <row r="386" spans="1:7" ht="10.050000000000001" customHeight="1">
      <c r="A386" s="45" t="s">
        <v>150</v>
      </c>
      <c r="B386" s="45" t="s">
        <v>89</v>
      </c>
      <c r="C386" s="46">
        <v>2001</v>
      </c>
      <c r="D386" s="45" t="s">
        <v>110</v>
      </c>
      <c r="E386" s="47">
        <v>12</v>
      </c>
      <c r="F386" s="48">
        <v>65.5</v>
      </c>
      <c r="G386" s="48">
        <v>70.400000000000006</v>
      </c>
    </row>
    <row r="387" spans="1:7" ht="10.050000000000001" customHeight="1">
      <c r="A387" s="45" t="s">
        <v>150</v>
      </c>
      <c r="B387" s="45" t="s">
        <v>89</v>
      </c>
      <c r="C387" s="46">
        <v>2002</v>
      </c>
      <c r="D387" s="45" t="s">
        <v>110</v>
      </c>
      <c r="E387" s="47">
        <v>1</v>
      </c>
      <c r="F387" s="48">
        <v>74.3</v>
      </c>
      <c r="G387" s="48">
        <v>47.2</v>
      </c>
    </row>
    <row r="388" spans="1:7" ht="10.050000000000001" customHeight="1">
      <c r="A388" s="45" t="s">
        <v>150</v>
      </c>
      <c r="B388" s="45" t="s">
        <v>89</v>
      </c>
      <c r="C388" s="46">
        <v>2002</v>
      </c>
      <c r="D388" s="45" t="s">
        <v>110</v>
      </c>
      <c r="E388" s="47">
        <v>2</v>
      </c>
      <c r="F388" s="48">
        <v>50</v>
      </c>
      <c r="G388" s="48">
        <v>64.400000000000006</v>
      </c>
    </row>
    <row r="389" spans="1:7" ht="10.050000000000001" customHeight="1">
      <c r="A389" s="45" t="s">
        <v>150</v>
      </c>
      <c r="B389" s="45" t="s">
        <v>89</v>
      </c>
      <c r="C389" s="46">
        <v>2002</v>
      </c>
      <c r="D389" s="45" t="s">
        <v>110</v>
      </c>
      <c r="E389" s="47">
        <v>3</v>
      </c>
      <c r="F389" s="48">
        <v>22.9</v>
      </c>
      <c r="G389" s="48">
        <v>63.9</v>
      </c>
    </row>
    <row r="390" spans="1:7" ht="10.050000000000001" customHeight="1">
      <c r="A390" s="45" t="s">
        <v>150</v>
      </c>
      <c r="B390" s="45" t="s">
        <v>89</v>
      </c>
      <c r="C390" s="46">
        <v>2002</v>
      </c>
      <c r="D390" s="45" t="s">
        <v>110</v>
      </c>
      <c r="E390" s="47">
        <v>4</v>
      </c>
      <c r="F390" s="48">
        <v>42.3</v>
      </c>
      <c r="G390" s="48">
        <v>60.6</v>
      </c>
    </row>
    <row r="391" spans="1:7" ht="10.050000000000001" customHeight="1">
      <c r="A391" s="45" t="s">
        <v>150</v>
      </c>
      <c r="B391" s="45" t="s">
        <v>89</v>
      </c>
      <c r="C391" s="46">
        <v>2002</v>
      </c>
      <c r="D391" s="45" t="s">
        <v>110</v>
      </c>
      <c r="E391" s="47">
        <v>5</v>
      </c>
      <c r="F391" s="48">
        <v>68</v>
      </c>
      <c r="G391" s="48">
        <v>81.400000000000006</v>
      </c>
    </row>
    <row r="392" spans="1:7" ht="10.050000000000001" customHeight="1">
      <c r="A392" s="45" t="s">
        <v>150</v>
      </c>
      <c r="B392" s="45" t="s">
        <v>89</v>
      </c>
      <c r="C392" s="46">
        <v>2002</v>
      </c>
      <c r="D392" s="45" t="s">
        <v>110</v>
      </c>
      <c r="E392" s="47">
        <v>6</v>
      </c>
      <c r="F392" s="48">
        <v>146.69999999999999</v>
      </c>
      <c r="G392" s="48">
        <v>92.3</v>
      </c>
    </row>
    <row r="393" spans="1:7" ht="10.050000000000001" customHeight="1">
      <c r="A393" s="45" t="s">
        <v>150</v>
      </c>
      <c r="B393" s="45" t="s">
        <v>89</v>
      </c>
      <c r="C393" s="46">
        <v>2002</v>
      </c>
      <c r="D393" s="45" t="s">
        <v>111</v>
      </c>
      <c r="E393" s="47">
        <v>7</v>
      </c>
      <c r="F393" s="48">
        <v>18.899999999999999</v>
      </c>
      <c r="G393" s="48">
        <v>51.5</v>
      </c>
    </row>
    <row r="394" spans="1:7" ht="10.050000000000001" customHeight="1">
      <c r="A394" s="45" t="s">
        <v>150</v>
      </c>
      <c r="B394" s="45" t="s">
        <v>89</v>
      </c>
      <c r="C394" s="46">
        <v>2002</v>
      </c>
      <c r="D394" s="45" t="s">
        <v>111</v>
      </c>
      <c r="E394" s="47">
        <v>8</v>
      </c>
      <c r="F394" s="48">
        <v>20.399999999999999</v>
      </c>
      <c r="G394" s="48">
        <v>33.299999999999997</v>
      </c>
    </row>
    <row r="395" spans="1:7" ht="10.050000000000001" customHeight="1">
      <c r="A395" s="45" t="s">
        <v>150</v>
      </c>
      <c r="B395" s="45" t="s">
        <v>89</v>
      </c>
      <c r="C395" s="46">
        <v>2002</v>
      </c>
      <c r="D395" s="45" t="s">
        <v>111</v>
      </c>
      <c r="E395" s="47">
        <v>9</v>
      </c>
      <c r="F395" s="48">
        <v>18.2</v>
      </c>
      <c r="G395" s="48">
        <v>59</v>
      </c>
    </row>
    <row r="396" spans="1:7" ht="10.050000000000001" customHeight="1">
      <c r="A396" s="45" t="s">
        <v>150</v>
      </c>
      <c r="B396" s="45" t="s">
        <v>89</v>
      </c>
      <c r="C396" s="46">
        <v>2002</v>
      </c>
      <c r="D396" s="45" t="s">
        <v>111</v>
      </c>
      <c r="E396" s="47">
        <v>10</v>
      </c>
      <c r="F396" s="48">
        <v>31.6</v>
      </c>
      <c r="G396" s="48">
        <v>78.8</v>
      </c>
    </row>
    <row r="397" spans="1:7" ht="10.050000000000001" customHeight="1">
      <c r="A397" s="45" t="s">
        <v>150</v>
      </c>
      <c r="B397" s="45" t="s">
        <v>89</v>
      </c>
      <c r="C397" s="46">
        <v>2002</v>
      </c>
      <c r="D397" s="45" t="s">
        <v>111</v>
      </c>
      <c r="E397" s="47">
        <v>11</v>
      </c>
      <c r="F397" s="48">
        <v>39.4</v>
      </c>
      <c r="G397" s="48">
        <v>83.4</v>
      </c>
    </row>
    <row r="398" spans="1:7" ht="10.050000000000001" customHeight="1">
      <c r="A398" s="45" t="s">
        <v>150</v>
      </c>
      <c r="B398" s="45" t="s">
        <v>89</v>
      </c>
      <c r="C398" s="46">
        <v>2002</v>
      </c>
      <c r="D398" s="45" t="s">
        <v>111</v>
      </c>
      <c r="E398" s="47">
        <v>12</v>
      </c>
      <c r="F398" s="48">
        <v>42.9</v>
      </c>
      <c r="G398" s="48">
        <v>81.400000000000006</v>
      </c>
    </row>
    <row r="399" spans="1:7" ht="10.050000000000001" customHeight="1">
      <c r="A399" s="45" t="s">
        <v>150</v>
      </c>
      <c r="B399" s="45" t="s">
        <v>89</v>
      </c>
      <c r="C399" s="46">
        <v>2003</v>
      </c>
      <c r="D399" s="45" t="s">
        <v>111</v>
      </c>
      <c r="E399" s="47">
        <v>1</v>
      </c>
      <c r="F399" s="48">
        <v>46</v>
      </c>
      <c r="G399" s="48">
        <v>55.2</v>
      </c>
    </row>
    <row r="400" spans="1:7" ht="10.050000000000001" customHeight="1">
      <c r="A400" s="45" t="s">
        <v>150</v>
      </c>
      <c r="B400" s="45" t="s">
        <v>89</v>
      </c>
      <c r="C400" s="46">
        <v>2003</v>
      </c>
      <c r="D400" s="45" t="s">
        <v>111</v>
      </c>
      <c r="E400" s="47">
        <v>2</v>
      </c>
      <c r="F400" s="48">
        <v>27.3</v>
      </c>
      <c r="G400" s="48">
        <v>71</v>
      </c>
    </row>
    <row r="401" spans="1:7" ht="10.050000000000001" customHeight="1">
      <c r="A401" s="45" t="s">
        <v>150</v>
      </c>
      <c r="B401" s="45" t="s">
        <v>89</v>
      </c>
      <c r="C401" s="46">
        <v>2003</v>
      </c>
      <c r="D401" s="45" t="s">
        <v>111</v>
      </c>
      <c r="E401" s="47">
        <v>3</v>
      </c>
      <c r="F401" s="48">
        <v>23.4</v>
      </c>
      <c r="G401" s="48">
        <v>56.6</v>
      </c>
    </row>
    <row r="402" spans="1:7" ht="10.050000000000001" customHeight="1">
      <c r="A402" s="45" t="s">
        <v>150</v>
      </c>
      <c r="B402" s="45" t="s">
        <v>89</v>
      </c>
      <c r="C402" s="46">
        <v>2003</v>
      </c>
      <c r="D402" s="45" t="s">
        <v>111</v>
      </c>
      <c r="E402" s="47">
        <v>4</v>
      </c>
      <c r="F402" s="48">
        <v>32.1</v>
      </c>
      <c r="G402" s="48">
        <v>54.8</v>
      </c>
    </row>
    <row r="403" spans="1:7" ht="10.050000000000001" customHeight="1">
      <c r="A403" s="45" t="s">
        <v>150</v>
      </c>
      <c r="B403" s="45" t="s">
        <v>89</v>
      </c>
      <c r="C403" s="46">
        <v>2003</v>
      </c>
      <c r="D403" s="45" t="s">
        <v>111</v>
      </c>
      <c r="E403" s="47">
        <v>5</v>
      </c>
      <c r="F403" s="48">
        <v>51.1</v>
      </c>
      <c r="G403" s="48">
        <v>65.7</v>
      </c>
    </row>
    <row r="404" spans="1:7" ht="10.050000000000001" customHeight="1">
      <c r="A404" s="45" t="s">
        <v>150</v>
      </c>
      <c r="B404" s="45" t="s">
        <v>89</v>
      </c>
      <c r="C404" s="46">
        <v>2003</v>
      </c>
      <c r="D404" s="45" t="s">
        <v>111</v>
      </c>
      <c r="E404" s="47">
        <v>6</v>
      </c>
      <c r="F404" s="48">
        <v>49.9</v>
      </c>
      <c r="G404" s="48">
        <v>45.9</v>
      </c>
    </row>
    <row r="405" spans="1:7" ht="10.050000000000001" customHeight="1">
      <c r="A405" s="45" t="s">
        <v>150</v>
      </c>
      <c r="B405" s="45" t="s">
        <v>89</v>
      </c>
      <c r="C405" s="46">
        <v>2003</v>
      </c>
      <c r="D405" s="45" t="s">
        <v>108</v>
      </c>
      <c r="E405" s="47">
        <v>7</v>
      </c>
      <c r="F405" s="48">
        <v>63</v>
      </c>
      <c r="G405" s="48">
        <v>42.8</v>
      </c>
    </row>
    <row r="406" spans="1:7" ht="10.050000000000001" customHeight="1">
      <c r="A406" s="45" t="s">
        <v>150</v>
      </c>
      <c r="B406" s="45" t="s">
        <v>89</v>
      </c>
      <c r="C406" s="46">
        <v>2003</v>
      </c>
      <c r="D406" s="45" t="s">
        <v>108</v>
      </c>
      <c r="E406" s="47">
        <v>8</v>
      </c>
      <c r="F406" s="48">
        <v>47.6</v>
      </c>
      <c r="G406" s="48">
        <v>35.799999999999997</v>
      </c>
    </row>
    <row r="407" spans="1:7" ht="10.050000000000001" customHeight="1">
      <c r="A407" s="45" t="s">
        <v>150</v>
      </c>
      <c r="B407" s="45" t="s">
        <v>89</v>
      </c>
      <c r="C407" s="46">
        <v>2003</v>
      </c>
      <c r="D407" s="45" t="s">
        <v>108</v>
      </c>
      <c r="E407" s="47">
        <v>9</v>
      </c>
      <c r="F407" s="48">
        <v>67.599999999999994</v>
      </c>
      <c r="G407" s="48">
        <v>128.19999999999999</v>
      </c>
    </row>
    <row r="408" spans="1:7" ht="10.050000000000001" customHeight="1">
      <c r="A408" s="45" t="s">
        <v>150</v>
      </c>
      <c r="B408" s="45" t="s">
        <v>89</v>
      </c>
      <c r="C408" s="46">
        <v>2003</v>
      </c>
      <c r="D408" s="45" t="s">
        <v>108</v>
      </c>
      <c r="E408" s="47">
        <v>10</v>
      </c>
      <c r="F408" s="48">
        <v>53.1</v>
      </c>
      <c r="G408" s="48">
        <v>109.6</v>
      </c>
    </row>
    <row r="409" spans="1:7" ht="10.050000000000001" customHeight="1">
      <c r="A409" s="45" t="s">
        <v>150</v>
      </c>
      <c r="B409" s="45" t="s">
        <v>89</v>
      </c>
      <c r="C409" s="46">
        <v>2003</v>
      </c>
      <c r="D409" s="45" t="s">
        <v>108</v>
      </c>
      <c r="E409" s="47">
        <v>11</v>
      </c>
      <c r="F409" s="48">
        <v>43.1</v>
      </c>
      <c r="G409" s="48">
        <v>104.1</v>
      </c>
    </row>
    <row r="410" spans="1:7" ht="10.050000000000001" customHeight="1">
      <c r="A410" s="45" t="s">
        <v>150</v>
      </c>
      <c r="B410" s="45" t="s">
        <v>89</v>
      </c>
      <c r="C410" s="46">
        <v>2003</v>
      </c>
      <c r="D410" s="45" t="s">
        <v>108</v>
      </c>
      <c r="E410" s="47">
        <v>12</v>
      </c>
      <c r="F410" s="48">
        <v>32.799999999999997</v>
      </c>
      <c r="G410" s="48">
        <v>80.900000000000006</v>
      </c>
    </row>
    <row r="411" spans="1:7" ht="10.050000000000001" customHeight="1">
      <c r="A411" s="45" t="s">
        <v>150</v>
      </c>
      <c r="B411" s="45" t="s">
        <v>89</v>
      </c>
      <c r="C411" s="46">
        <v>2004</v>
      </c>
      <c r="D411" s="45" t="s">
        <v>108</v>
      </c>
      <c r="E411" s="47">
        <v>1</v>
      </c>
      <c r="F411" s="48">
        <v>25.7</v>
      </c>
      <c r="G411" s="48">
        <v>68.2</v>
      </c>
    </row>
    <row r="412" spans="1:7" ht="10.050000000000001" customHeight="1">
      <c r="A412" s="45" t="s">
        <v>150</v>
      </c>
      <c r="B412" s="45" t="s">
        <v>89</v>
      </c>
      <c r="C412" s="46">
        <v>2004</v>
      </c>
      <c r="D412" s="45" t="s">
        <v>108</v>
      </c>
      <c r="E412" s="47">
        <v>2</v>
      </c>
      <c r="F412" s="48">
        <v>9.4</v>
      </c>
      <c r="G412" s="48">
        <v>122.2</v>
      </c>
    </row>
    <row r="413" spans="1:7" ht="10.050000000000001" customHeight="1">
      <c r="A413" s="45" t="s">
        <v>150</v>
      </c>
      <c r="B413" s="45" t="s">
        <v>89</v>
      </c>
      <c r="C413" s="46">
        <v>2004</v>
      </c>
      <c r="D413" s="45" t="s">
        <v>108</v>
      </c>
      <c r="E413" s="47">
        <v>3</v>
      </c>
      <c r="F413" s="48">
        <v>18.2</v>
      </c>
      <c r="G413" s="48">
        <v>132.6</v>
      </c>
    </row>
    <row r="414" spans="1:7" ht="10.050000000000001" customHeight="1">
      <c r="A414" s="45" t="s">
        <v>150</v>
      </c>
      <c r="B414" s="45" t="s">
        <v>89</v>
      </c>
      <c r="C414" s="46">
        <v>2004</v>
      </c>
      <c r="D414" s="45" t="s">
        <v>108</v>
      </c>
      <c r="E414" s="47">
        <v>4</v>
      </c>
      <c r="F414" s="48">
        <v>17.2</v>
      </c>
      <c r="G414" s="48">
        <v>115.7</v>
      </c>
    </row>
    <row r="415" spans="1:7" ht="10.050000000000001" customHeight="1">
      <c r="A415" s="45" t="s">
        <v>150</v>
      </c>
      <c r="B415" s="45" t="s">
        <v>89</v>
      </c>
      <c r="C415" s="46">
        <v>2004</v>
      </c>
      <c r="D415" s="45" t="s">
        <v>108</v>
      </c>
      <c r="E415" s="47">
        <v>5</v>
      </c>
      <c r="F415" s="48">
        <v>9.6999999999999993</v>
      </c>
      <c r="G415" s="48">
        <v>106</v>
      </c>
    </row>
    <row r="416" spans="1:7" ht="10.050000000000001" customHeight="1">
      <c r="A416" s="45" t="s">
        <v>150</v>
      </c>
      <c r="B416" s="45" t="s">
        <v>89</v>
      </c>
      <c r="C416" s="46">
        <v>2004</v>
      </c>
      <c r="D416" s="45" t="s">
        <v>108</v>
      </c>
      <c r="E416" s="47">
        <v>6</v>
      </c>
      <c r="F416" s="48">
        <v>17.399999999999999</v>
      </c>
      <c r="G416" s="48">
        <v>88.6</v>
      </c>
    </row>
    <row r="417" spans="1:7" ht="10.050000000000001" customHeight="1">
      <c r="A417" s="45" t="s">
        <v>150</v>
      </c>
      <c r="B417" s="45" t="s">
        <v>89</v>
      </c>
      <c r="C417" s="46">
        <v>2004</v>
      </c>
      <c r="D417" s="45" t="s">
        <v>112</v>
      </c>
      <c r="E417" s="47">
        <v>7</v>
      </c>
      <c r="F417" s="48">
        <v>22.5</v>
      </c>
      <c r="G417" s="48">
        <v>66.099999999999994</v>
      </c>
    </row>
    <row r="418" spans="1:7" ht="10.050000000000001" customHeight="1">
      <c r="A418" s="45" t="s">
        <v>150</v>
      </c>
      <c r="B418" s="45" t="s">
        <v>89</v>
      </c>
      <c r="C418" s="46">
        <v>2004</v>
      </c>
      <c r="D418" s="45" t="s">
        <v>112</v>
      </c>
      <c r="E418" s="47">
        <v>8</v>
      </c>
      <c r="F418" s="48">
        <v>16.600000000000001</v>
      </c>
      <c r="G418" s="48">
        <v>50</v>
      </c>
    </row>
    <row r="419" spans="1:7" ht="10.050000000000001" customHeight="1">
      <c r="A419" s="45" t="s">
        <v>150</v>
      </c>
      <c r="B419" s="45" t="s">
        <v>89</v>
      </c>
      <c r="C419" s="46">
        <v>2004</v>
      </c>
      <c r="D419" s="45" t="s">
        <v>112</v>
      </c>
      <c r="E419" s="47">
        <v>9</v>
      </c>
      <c r="F419" s="48">
        <v>19.399999999999999</v>
      </c>
      <c r="G419" s="48">
        <v>77.7</v>
      </c>
    </row>
    <row r="420" spans="1:7" ht="10.050000000000001" customHeight="1">
      <c r="A420" s="45" t="s">
        <v>150</v>
      </c>
      <c r="B420" s="45" t="s">
        <v>89</v>
      </c>
      <c r="C420" s="46">
        <v>2004</v>
      </c>
      <c r="D420" s="45" t="s">
        <v>112</v>
      </c>
      <c r="E420" s="47">
        <v>10</v>
      </c>
      <c r="F420" s="48">
        <v>38.9</v>
      </c>
      <c r="G420" s="48">
        <v>188.8</v>
      </c>
    </row>
    <row r="421" spans="1:7" ht="10.050000000000001" customHeight="1">
      <c r="A421" s="45" t="s">
        <v>150</v>
      </c>
      <c r="B421" s="45" t="s">
        <v>89</v>
      </c>
      <c r="C421" s="46">
        <v>2004</v>
      </c>
      <c r="D421" s="45" t="s">
        <v>112</v>
      </c>
      <c r="E421" s="47">
        <v>11</v>
      </c>
      <c r="F421" s="48">
        <v>41.7</v>
      </c>
      <c r="G421" s="48">
        <v>202</v>
      </c>
    </row>
    <row r="422" spans="1:7" ht="10.050000000000001" customHeight="1">
      <c r="A422" s="45" t="s">
        <v>150</v>
      </c>
      <c r="B422" s="45" t="s">
        <v>89</v>
      </c>
      <c r="C422" s="46">
        <v>2004</v>
      </c>
      <c r="D422" s="45" t="s">
        <v>112</v>
      </c>
      <c r="E422" s="47">
        <v>12</v>
      </c>
      <c r="F422" s="48">
        <v>37.4</v>
      </c>
      <c r="G422" s="48">
        <v>195</v>
      </c>
    </row>
    <row r="423" spans="1:7" ht="10.050000000000001" customHeight="1">
      <c r="A423" s="45" t="s">
        <v>150</v>
      </c>
      <c r="B423" s="45" t="s">
        <v>89</v>
      </c>
      <c r="C423" s="46">
        <v>2005</v>
      </c>
      <c r="D423" s="45" t="s">
        <v>112</v>
      </c>
      <c r="E423" s="47">
        <v>1</v>
      </c>
      <c r="F423" s="48">
        <v>38.1</v>
      </c>
      <c r="G423" s="48">
        <v>160.80000000000001</v>
      </c>
    </row>
    <row r="424" spans="1:7" ht="10.050000000000001" customHeight="1">
      <c r="A424" s="45" t="s">
        <v>150</v>
      </c>
      <c r="B424" s="45" t="s">
        <v>89</v>
      </c>
      <c r="C424" s="46">
        <v>2005</v>
      </c>
      <c r="D424" s="45" t="s">
        <v>112</v>
      </c>
      <c r="E424" s="47">
        <v>2</v>
      </c>
      <c r="F424" s="48">
        <v>48.7</v>
      </c>
      <c r="G424" s="48">
        <v>116.7</v>
      </c>
    </row>
    <row r="425" spans="1:7" ht="10.050000000000001" customHeight="1">
      <c r="A425" s="45" t="s">
        <v>150</v>
      </c>
      <c r="B425" s="45" t="s">
        <v>89</v>
      </c>
      <c r="C425" s="46">
        <v>2005</v>
      </c>
      <c r="D425" s="45" t="s">
        <v>112</v>
      </c>
      <c r="E425" s="47">
        <v>3</v>
      </c>
      <c r="F425" s="48">
        <v>41.1</v>
      </c>
      <c r="G425" s="48">
        <v>134.9</v>
      </c>
    </row>
    <row r="426" spans="1:7" ht="10.050000000000001" customHeight="1">
      <c r="A426" s="45" t="s">
        <v>150</v>
      </c>
      <c r="B426" s="45" t="s">
        <v>89</v>
      </c>
      <c r="C426" s="46">
        <v>2005</v>
      </c>
      <c r="D426" s="45" t="s">
        <v>112</v>
      </c>
      <c r="E426" s="47">
        <v>4</v>
      </c>
      <c r="F426" s="48">
        <v>37.5</v>
      </c>
      <c r="G426" s="48">
        <v>105</v>
      </c>
    </row>
    <row r="427" spans="1:7" ht="10.050000000000001" customHeight="1">
      <c r="A427" s="45" t="s">
        <v>150</v>
      </c>
      <c r="B427" s="45" t="s">
        <v>89</v>
      </c>
      <c r="C427" s="46">
        <v>2005</v>
      </c>
      <c r="D427" s="45" t="s">
        <v>112</v>
      </c>
      <c r="E427" s="47">
        <v>5</v>
      </c>
      <c r="F427" s="48">
        <v>37.200000000000003</v>
      </c>
      <c r="G427" s="48">
        <v>125.7</v>
      </c>
    </row>
    <row r="428" spans="1:7" ht="10.050000000000001" customHeight="1">
      <c r="A428" s="45" t="s">
        <v>150</v>
      </c>
      <c r="B428" s="45" t="s">
        <v>89</v>
      </c>
      <c r="C428" s="46">
        <v>2005</v>
      </c>
      <c r="D428" s="45" t="s">
        <v>112</v>
      </c>
      <c r="E428" s="47">
        <v>6</v>
      </c>
      <c r="F428" s="48">
        <v>37.700000000000003</v>
      </c>
      <c r="G428" s="48">
        <v>189.7</v>
      </c>
    </row>
    <row r="429" spans="1:7" ht="10.050000000000001" customHeight="1">
      <c r="A429" s="45" t="s">
        <v>150</v>
      </c>
      <c r="B429" s="45" t="s">
        <v>89</v>
      </c>
      <c r="C429" s="46">
        <v>2005</v>
      </c>
      <c r="D429" s="45" t="s">
        <v>113</v>
      </c>
      <c r="E429" s="47">
        <v>7</v>
      </c>
      <c r="F429" s="48">
        <v>31.1</v>
      </c>
      <c r="G429" s="48">
        <v>163.69999999999999</v>
      </c>
    </row>
    <row r="430" spans="1:7" ht="10.050000000000001" customHeight="1">
      <c r="A430" s="45" t="s">
        <v>150</v>
      </c>
      <c r="B430" s="45" t="s">
        <v>89</v>
      </c>
      <c r="C430" s="46">
        <v>2005</v>
      </c>
      <c r="D430" s="45" t="s">
        <v>113</v>
      </c>
      <c r="E430" s="47">
        <v>8</v>
      </c>
      <c r="F430" s="48">
        <v>47.8</v>
      </c>
      <c r="G430" s="48">
        <v>142.6</v>
      </c>
    </row>
    <row r="431" spans="1:7" ht="10.050000000000001" customHeight="1">
      <c r="A431" s="45" t="s">
        <v>150</v>
      </c>
      <c r="B431" s="45" t="s">
        <v>89</v>
      </c>
      <c r="C431" s="46">
        <v>2005</v>
      </c>
      <c r="D431" s="45" t="s">
        <v>113</v>
      </c>
      <c r="E431" s="47">
        <v>9</v>
      </c>
      <c r="F431" s="48">
        <v>31.5</v>
      </c>
      <c r="G431" s="48">
        <v>135.6</v>
      </c>
    </row>
    <row r="432" spans="1:7" ht="10.050000000000001" customHeight="1">
      <c r="A432" s="45" t="s">
        <v>150</v>
      </c>
      <c r="B432" s="45" t="s">
        <v>89</v>
      </c>
      <c r="C432" s="46">
        <v>2005</v>
      </c>
      <c r="D432" s="45" t="s">
        <v>113</v>
      </c>
      <c r="E432" s="47">
        <v>10</v>
      </c>
      <c r="F432" s="48">
        <v>25.2</v>
      </c>
      <c r="G432" s="48">
        <v>207.6</v>
      </c>
    </row>
    <row r="433" spans="1:7" ht="10.050000000000001" customHeight="1">
      <c r="A433" s="45" t="s">
        <v>150</v>
      </c>
      <c r="B433" s="45" t="s">
        <v>89</v>
      </c>
      <c r="C433" s="46">
        <v>2005</v>
      </c>
      <c r="D433" s="45" t="s">
        <v>113</v>
      </c>
      <c r="E433" s="47">
        <v>11</v>
      </c>
      <c r="F433" s="48">
        <v>29.2</v>
      </c>
      <c r="G433" s="48">
        <v>182.4</v>
      </c>
    </row>
    <row r="434" spans="1:7" ht="10.050000000000001" customHeight="1">
      <c r="A434" s="45" t="s">
        <v>150</v>
      </c>
      <c r="B434" s="45" t="s">
        <v>89</v>
      </c>
      <c r="C434" s="46">
        <v>2005</v>
      </c>
      <c r="D434" s="45" t="s">
        <v>113</v>
      </c>
      <c r="E434" s="47">
        <v>12</v>
      </c>
      <c r="F434" s="48">
        <v>26.1</v>
      </c>
      <c r="G434" s="48">
        <v>161.19999999999999</v>
      </c>
    </row>
    <row r="435" spans="1:7" ht="10.050000000000001" customHeight="1">
      <c r="A435" s="45" t="s">
        <v>150</v>
      </c>
      <c r="B435" s="45" t="s">
        <v>89</v>
      </c>
      <c r="C435" s="46">
        <v>2006</v>
      </c>
      <c r="D435" s="45" t="s">
        <v>113</v>
      </c>
      <c r="E435" s="47">
        <v>1</v>
      </c>
      <c r="F435" s="48">
        <v>34</v>
      </c>
      <c r="G435" s="48">
        <v>158.30000000000001</v>
      </c>
    </row>
    <row r="436" spans="1:7" ht="10.050000000000001" customHeight="1">
      <c r="A436" s="45" t="s">
        <v>150</v>
      </c>
      <c r="B436" s="45" t="s">
        <v>89</v>
      </c>
      <c r="C436" s="46">
        <v>2006</v>
      </c>
      <c r="D436" s="45" t="s">
        <v>113</v>
      </c>
      <c r="E436" s="47">
        <v>2</v>
      </c>
      <c r="F436" s="48">
        <v>23.2</v>
      </c>
      <c r="G436" s="48">
        <v>165.7</v>
      </c>
    </row>
    <row r="437" spans="1:7" ht="10.050000000000001" customHeight="1">
      <c r="A437" s="45" t="s">
        <v>150</v>
      </c>
      <c r="B437" s="45" t="s">
        <v>89</v>
      </c>
      <c r="C437" s="46">
        <v>2006</v>
      </c>
      <c r="D437" s="45" t="s">
        <v>113</v>
      </c>
      <c r="E437" s="47">
        <v>3</v>
      </c>
      <c r="F437" s="48">
        <v>60.9</v>
      </c>
      <c r="G437" s="48">
        <v>161.5</v>
      </c>
    </row>
    <row r="438" spans="1:7" ht="10.050000000000001" customHeight="1">
      <c r="A438" s="45" t="s">
        <v>150</v>
      </c>
      <c r="B438" s="45" t="s">
        <v>89</v>
      </c>
      <c r="C438" s="46">
        <v>2006</v>
      </c>
      <c r="D438" s="45" t="s">
        <v>113</v>
      </c>
      <c r="E438" s="47">
        <v>4</v>
      </c>
      <c r="F438" s="48">
        <v>38.6</v>
      </c>
      <c r="G438" s="48">
        <v>142.1</v>
      </c>
    </row>
    <row r="439" spans="1:7" ht="10.050000000000001" customHeight="1">
      <c r="A439" s="45" t="s">
        <v>150</v>
      </c>
      <c r="B439" s="45" t="s">
        <v>89</v>
      </c>
      <c r="C439" s="46">
        <v>2006</v>
      </c>
      <c r="D439" s="45" t="s">
        <v>113</v>
      </c>
      <c r="E439" s="47">
        <v>5</v>
      </c>
      <c r="F439" s="48">
        <v>11.4</v>
      </c>
      <c r="G439" s="48">
        <v>136.9</v>
      </c>
    </row>
    <row r="440" spans="1:7" ht="10.050000000000001" customHeight="1">
      <c r="A440" s="45" t="s">
        <v>150</v>
      </c>
      <c r="B440" s="45" t="s">
        <v>89</v>
      </c>
      <c r="C440" s="46">
        <v>2006</v>
      </c>
      <c r="D440" s="45" t="s">
        <v>113</v>
      </c>
      <c r="E440" s="47">
        <v>6</v>
      </c>
      <c r="F440" s="48">
        <v>19.7</v>
      </c>
      <c r="G440" s="48">
        <v>117.7</v>
      </c>
    </row>
    <row r="441" spans="1:7" ht="10.050000000000001" customHeight="1">
      <c r="A441" s="45" t="s">
        <v>150</v>
      </c>
      <c r="B441" s="45" t="s">
        <v>89</v>
      </c>
      <c r="C441" s="46">
        <v>2006</v>
      </c>
      <c r="D441" s="45" t="s">
        <v>114</v>
      </c>
      <c r="E441" s="47">
        <v>7</v>
      </c>
      <c r="F441" s="48">
        <v>35.299999999999997</v>
      </c>
      <c r="G441" s="48">
        <v>63.2</v>
      </c>
    </row>
    <row r="442" spans="1:7" ht="10.050000000000001" customHeight="1">
      <c r="A442" s="45" t="s">
        <v>150</v>
      </c>
      <c r="B442" s="45" t="s">
        <v>89</v>
      </c>
      <c r="C442" s="46">
        <v>2006</v>
      </c>
      <c r="D442" s="45" t="s">
        <v>114</v>
      </c>
      <c r="E442" s="47">
        <v>8</v>
      </c>
      <c r="F442" s="48">
        <v>13</v>
      </c>
      <c r="G442" s="48">
        <v>60.4</v>
      </c>
    </row>
    <row r="443" spans="1:7" ht="10.050000000000001" customHeight="1">
      <c r="A443" s="45" t="s">
        <v>150</v>
      </c>
      <c r="B443" s="45" t="s">
        <v>89</v>
      </c>
      <c r="C443" s="46">
        <v>2006</v>
      </c>
      <c r="D443" s="45" t="s">
        <v>114</v>
      </c>
      <c r="E443" s="47">
        <v>9</v>
      </c>
      <c r="F443" s="48">
        <v>26.2</v>
      </c>
      <c r="G443" s="48">
        <v>68.900000000000006</v>
      </c>
    </row>
    <row r="444" spans="1:7" ht="10.050000000000001" customHeight="1">
      <c r="A444" s="45" t="s">
        <v>150</v>
      </c>
      <c r="B444" s="45" t="s">
        <v>89</v>
      </c>
      <c r="C444" s="46">
        <v>2006</v>
      </c>
      <c r="D444" s="45" t="s">
        <v>114</v>
      </c>
      <c r="E444" s="47">
        <v>10</v>
      </c>
      <c r="F444" s="48">
        <v>28.5</v>
      </c>
      <c r="G444" s="48">
        <v>59.4</v>
      </c>
    </row>
    <row r="445" spans="1:7" ht="10.050000000000001" customHeight="1">
      <c r="A445" s="45" t="s">
        <v>150</v>
      </c>
      <c r="B445" s="45" t="s">
        <v>89</v>
      </c>
      <c r="C445" s="46">
        <v>2006</v>
      </c>
      <c r="D445" s="45" t="s">
        <v>114</v>
      </c>
      <c r="E445" s="47">
        <v>11</v>
      </c>
      <c r="F445" s="48">
        <v>19.7</v>
      </c>
      <c r="G445" s="48">
        <v>60.6</v>
      </c>
    </row>
    <row r="446" spans="1:7" ht="10.050000000000001" customHeight="1">
      <c r="A446" s="45" t="s">
        <v>150</v>
      </c>
      <c r="B446" s="45" t="s">
        <v>89</v>
      </c>
      <c r="C446" s="46">
        <v>2006</v>
      </c>
      <c r="D446" s="45" t="s">
        <v>114</v>
      </c>
      <c r="E446" s="47">
        <v>12</v>
      </c>
      <c r="F446" s="48">
        <v>48</v>
      </c>
      <c r="G446" s="48">
        <v>51.5</v>
      </c>
    </row>
    <row r="447" spans="1:7" ht="10.050000000000001" customHeight="1">
      <c r="A447" s="45" t="s">
        <v>150</v>
      </c>
      <c r="B447" s="45" t="s">
        <v>89</v>
      </c>
      <c r="C447" s="46">
        <v>2007</v>
      </c>
      <c r="D447" s="45" t="s">
        <v>114</v>
      </c>
      <c r="E447" s="47">
        <v>1</v>
      </c>
      <c r="F447" s="48">
        <v>24.3</v>
      </c>
      <c r="G447" s="48">
        <v>24.4</v>
      </c>
    </row>
    <row r="448" spans="1:7" ht="10.050000000000001" customHeight="1">
      <c r="A448" s="45" t="s">
        <v>150</v>
      </c>
      <c r="B448" s="45" t="s">
        <v>89</v>
      </c>
      <c r="C448" s="46">
        <v>2007</v>
      </c>
      <c r="D448" s="45" t="s">
        <v>114</v>
      </c>
      <c r="E448" s="47">
        <v>2</v>
      </c>
      <c r="F448" s="48">
        <v>11.7</v>
      </c>
      <c r="G448" s="48">
        <v>15.9</v>
      </c>
    </row>
    <row r="449" spans="1:7" ht="10.050000000000001" customHeight="1">
      <c r="A449" s="45" t="s">
        <v>150</v>
      </c>
      <c r="B449" s="45" t="s">
        <v>89</v>
      </c>
      <c r="C449" s="46">
        <v>2007</v>
      </c>
      <c r="D449" s="45" t="s">
        <v>114</v>
      </c>
      <c r="E449" s="47">
        <v>3</v>
      </c>
      <c r="F449" s="48">
        <v>6.9</v>
      </c>
      <c r="G449" s="48">
        <v>69.7</v>
      </c>
    </row>
    <row r="450" spans="1:7" ht="10.050000000000001" customHeight="1">
      <c r="A450" s="45" t="s">
        <v>150</v>
      </c>
      <c r="B450" s="45" t="s">
        <v>89</v>
      </c>
      <c r="C450" s="46">
        <v>2007</v>
      </c>
      <c r="D450" s="45" t="s">
        <v>114</v>
      </c>
      <c r="E450" s="47">
        <v>4</v>
      </c>
      <c r="F450" s="48">
        <v>11.8</v>
      </c>
      <c r="G450" s="48">
        <v>57.9</v>
      </c>
    </row>
    <row r="451" spans="1:7" ht="10.050000000000001" customHeight="1">
      <c r="A451" s="45" t="s">
        <v>150</v>
      </c>
      <c r="B451" s="45" t="s">
        <v>89</v>
      </c>
      <c r="C451" s="46">
        <v>2007</v>
      </c>
      <c r="D451" s="45" t="s">
        <v>114</v>
      </c>
      <c r="E451" s="47">
        <v>5</v>
      </c>
      <c r="F451" s="48">
        <v>21.5</v>
      </c>
      <c r="G451" s="48">
        <v>36.4</v>
      </c>
    </row>
    <row r="452" spans="1:7" ht="10.050000000000001" customHeight="1">
      <c r="A452" s="45" t="s">
        <v>150</v>
      </c>
      <c r="B452" s="45" t="s">
        <v>89</v>
      </c>
      <c r="C452" s="46">
        <v>2007</v>
      </c>
      <c r="D452" s="45" t="s">
        <v>114</v>
      </c>
      <c r="E452" s="47">
        <v>6</v>
      </c>
      <c r="F452" s="48">
        <v>32.4</v>
      </c>
      <c r="G452" s="48">
        <v>85.1</v>
      </c>
    </row>
    <row r="453" spans="1:7" ht="10.050000000000001" customHeight="1">
      <c r="A453" s="45" t="s">
        <v>150</v>
      </c>
      <c r="B453" s="45" t="s">
        <v>89</v>
      </c>
      <c r="C453" s="46">
        <v>2007</v>
      </c>
      <c r="D453" s="45" t="s">
        <v>115</v>
      </c>
      <c r="E453" s="47">
        <v>7</v>
      </c>
      <c r="F453" s="48">
        <v>20.399999999999999</v>
      </c>
      <c r="G453" s="48">
        <v>75.7</v>
      </c>
    </row>
    <row r="454" spans="1:7" ht="10.050000000000001" customHeight="1">
      <c r="A454" s="45" t="s">
        <v>150</v>
      </c>
      <c r="B454" s="45" t="s">
        <v>89</v>
      </c>
      <c r="C454" s="46">
        <v>2007</v>
      </c>
      <c r="D454" s="45" t="s">
        <v>115</v>
      </c>
      <c r="E454" s="47">
        <v>8</v>
      </c>
      <c r="F454" s="48">
        <v>8.5</v>
      </c>
      <c r="G454" s="48">
        <v>67.2</v>
      </c>
    </row>
    <row r="455" spans="1:7" ht="10.050000000000001" customHeight="1">
      <c r="A455" s="45" t="s">
        <v>150</v>
      </c>
      <c r="B455" s="45" t="s">
        <v>89</v>
      </c>
      <c r="C455" s="46">
        <v>2007</v>
      </c>
      <c r="D455" s="45" t="s">
        <v>115</v>
      </c>
      <c r="E455" s="47">
        <v>9</v>
      </c>
      <c r="F455" s="48">
        <v>18</v>
      </c>
      <c r="G455" s="48">
        <v>61</v>
      </c>
    </row>
    <row r="456" spans="1:7" ht="10.050000000000001" customHeight="1">
      <c r="A456" s="45" t="s">
        <v>150</v>
      </c>
      <c r="B456" s="45" t="s">
        <v>89</v>
      </c>
      <c r="C456" s="46">
        <v>2007</v>
      </c>
      <c r="D456" s="45" t="s">
        <v>115</v>
      </c>
      <c r="E456" s="47">
        <v>10</v>
      </c>
      <c r="F456" s="48">
        <v>27.6</v>
      </c>
      <c r="G456" s="48">
        <v>33.4</v>
      </c>
    </row>
    <row r="457" spans="1:7" ht="10.050000000000001" customHeight="1">
      <c r="A457" s="45" t="s">
        <v>150</v>
      </c>
      <c r="B457" s="45" t="s">
        <v>89</v>
      </c>
      <c r="C457" s="46">
        <v>2007</v>
      </c>
      <c r="D457" s="45" t="s">
        <v>115</v>
      </c>
      <c r="E457" s="47">
        <v>11</v>
      </c>
      <c r="F457" s="48">
        <v>17.100000000000001</v>
      </c>
      <c r="G457" s="48">
        <v>5.3</v>
      </c>
    </row>
    <row r="458" spans="1:7" ht="10.050000000000001" customHeight="1">
      <c r="A458" s="45" t="s">
        <v>150</v>
      </c>
      <c r="B458" s="45" t="s">
        <v>89</v>
      </c>
      <c r="C458" s="46">
        <v>2007</v>
      </c>
      <c r="D458" s="45" t="s">
        <v>115</v>
      </c>
      <c r="E458" s="47">
        <v>12</v>
      </c>
      <c r="F458" s="48">
        <v>2.5</v>
      </c>
      <c r="G458" s="48">
        <v>2.8</v>
      </c>
    </row>
    <row r="459" spans="1:7" ht="10.050000000000001" customHeight="1">
      <c r="A459" s="45" t="s">
        <v>150</v>
      </c>
      <c r="B459" s="45" t="s">
        <v>89</v>
      </c>
      <c r="C459" s="46">
        <v>2008</v>
      </c>
      <c r="D459" s="45" t="s">
        <v>115</v>
      </c>
      <c r="E459" s="47">
        <v>1</v>
      </c>
      <c r="F459" s="48">
        <v>0.1</v>
      </c>
      <c r="G459" s="48">
        <v>2.7</v>
      </c>
    </row>
    <row r="460" spans="1:7" ht="10.050000000000001" customHeight="1">
      <c r="A460" s="45" t="s">
        <v>150</v>
      </c>
      <c r="B460" s="45" t="s">
        <v>89</v>
      </c>
      <c r="C460" s="46">
        <v>2008</v>
      </c>
      <c r="D460" s="45" t="s">
        <v>115</v>
      </c>
      <c r="E460" s="47">
        <v>2</v>
      </c>
      <c r="F460" s="48">
        <v>0</v>
      </c>
      <c r="G460" s="48">
        <v>23.4</v>
      </c>
    </row>
    <row r="461" spans="1:7" ht="10.050000000000001" customHeight="1">
      <c r="A461" s="45" t="s">
        <v>150</v>
      </c>
      <c r="B461" s="45" t="s">
        <v>89</v>
      </c>
      <c r="C461" s="46">
        <v>2008</v>
      </c>
      <c r="D461" s="45" t="s">
        <v>115</v>
      </c>
      <c r="E461" s="47">
        <v>3</v>
      </c>
      <c r="F461" s="48">
        <v>8.6999999999999993</v>
      </c>
      <c r="G461" s="48">
        <v>15.7</v>
      </c>
    </row>
    <row r="462" spans="1:7" ht="10.050000000000001" customHeight="1">
      <c r="A462" s="45" t="s">
        <v>150</v>
      </c>
      <c r="B462" s="45" t="s">
        <v>89</v>
      </c>
      <c r="C462" s="46">
        <v>2008</v>
      </c>
      <c r="D462" s="45" t="s">
        <v>115</v>
      </c>
      <c r="E462" s="47">
        <v>4</v>
      </c>
      <c r="F462" s="48">
        <v>10.8</v>
      </c>
      <c r="G462" s="48">
        <v>5</v>
      </c>
    </row>
    <row r="463" spans="1:7" ht="10.050000000000001" customHeight="1">
      <c r="A463" s="45" t="s">
        <v>150</v>
      </c>
      <c r="B463" s="45" t="s">
        <v>89</v>
      </c>
      <c r="C463" s="46">
        <v>2008</v>
      </c>
      <c r="D463" s="45" t="s">
        <v>115</v>
      </c>
      <c r="E463" s="47">
        <v>5</v>
      </c>
      <c r="F463" s="48">
        <v>1.3</v>
      </c>
      <c r="G463" s="48">
        <v>1.7</v>
      </c>
    </row>
    <row r="464" spans="1:7" ht="10.050000000000001" customHeight="1">
      <c r="A464" s="45" t="s">
        <v>150</v>
      </c>
      <c r="B464" s="45" t="s">
        <v>89</v>
      </c>
      <c r="C464" s="46">
        <v>2008</v>
      </c>
      <c r="D464" s="45" t="s">
        <v>115</v>
      </c>
      <c r="E464" s="47">
        <v>6</v>
      </c>
      <c r="F464" s="48">
        <v>0</v>
      </c>
      <c r="G464" s="48">
        <v>1.7</v>
      </c>
    </row>
    <row r="465" spans="1:7" ht="10.050000000000001" customHeight="1">
      <c r="A465" s="45" t="s">
        <v>150</v>
      </c>
      <c r="B465" s="45" t="s">
        <v>89</v>
      </c>
      <c r="C465" s="46">
        <v>2008</v>
      </c>
      <c r="D465" s="45" t="s">
        <v>109</v>
      </c>
      <c r="E465" s="47">
        <v>7</v>
      </c>
      <c r="F465" s="48">
        <v>0</v>
      </c>
      <c r="G465" s="48">
        <v>1.7</v>
      </c>
    </row>
    <row r="466" spans="1:7" ht="10.050000000000001" customHeight="1">
      <c r="A466" s="45" t="s">
        <v>150</v>
      </c>
      <c r="B466" s="45" t="s">
        <v>89</v>
      </c>
      <c r="C466" s="46">
        <v>2008</v>
      </c>
      <c r="D466" s="45" t="s">
        <v>109</v>
      </c>
      <c r="E466" s="47">
        <v>8</v>
      </c>
      <c r="F466" s="48">
        <v>0</v>
      </c>
      <c r="G466" s="48">
        <v>1.7</v>
      </c>
    </row>
    <row r="467" spans="1:7" ht="10.050000000000001" customHeight="1">
      <c r="A467" s="45" t="s">
        <v>150</v>
      </c>
      <c r="B467" s="45" t="s">
        <v>89</v>
      </c>
      <c r="C467" s="46">
        <v>2008</v>
      </c>
      <c r="D467" s="45" t="s">
        <v>109</v>
      </c>
      <c r="E467" s="47">
        <v>9</v>
      </c>
      <c r="F467" s="48">
        <v>0</v>
      </c>
      <c r="G467" s="48">
        <v>12.3</v>
      </c>
    </row>
    <row r="468" spans="1:7" ht="10.050000000000001" customHeight="1">
      <c r="A468" s="45" t="s">
        <v>150</v>
      </c>
      <c r="B468" s="45" t="s">
        <v>89</v>
      </c>
      <c r="C468" s="46">
        <v>2008</v>
      </c>
      <c r="D468" s="45" t="s">
        <v>109</v>
      </c>
      <c r="E468" s="47">
        <v>10</v>
      </c>
      <c r="F468" s="48">
        <v>0</v>
      </c>
      <c r="G468" s="48">
        <v>12.3</v>
      </c>
    </row>
    <row r="469" spans="1:7" ht="10.050000000000001" customHeight="1">
      <c r="A469" s="45" t="s">
        <v>150</v>
      </c>
      <c r="B469" s="45" t="s">
        <v>89</v>
      </c>
      <c r="C469" s="46">
        <v>2008</v>
      </c>
      <c r="D469" s="45" t="s">
        <v>109</v>
      </c>
      <c r="E469" s="47">
        <v>11</v>
      </c>
      <c r="F469" s="48">
        <v>10.6</v>
      </c>
      <c r="G469" s="48">
        <v>1.7</v>
      </c>
    </row>
    <row r="470" spans="1:7" ht="10.050000000000001" customHeight="1">
      <c r="A470" s="45" t="s">
        <v>150</v>
      </c>
      <c r="B470" s="45" t="s">
        <v>89</v>
      </c>
      <c r="C470" s="46">
        <v>2008</v>
      </c>
      <c r="D470" s="45" t="s">
        <v>109</v>
      </c>
      <c r="E470" s="47">
        <v>12</v>
      </c>
      <c r="F470" s="48">
        <v>0</v>
      </c>
      <c r="G470" s="48">
        <v>2.2999999999999998</v>
      </c>
    </row>
    <row r="471" spans="1:7" ht="10.050000000000001" customHeight="1">
      <c r="A471" s="45" t="s">
        <v>150</v>
      </c>
      <c r="B471" s="45" t="s">
        <v>89</v>
      </c>
      <c r="C471" s="46">
        <v>2009</v>
      </c>
      <c r="D471" s="45" t="s">
        <v>109</v>
      </c>
      <c r="E471" s="47">
        <v>1</v>
      </c>
      <c r="F471" s="48">
        <v>1.5</v>
      </c>
      <c r="G471" s="48">
        <v>13.4</v>
      </c>
    </row>
    <row r="472" spans="1:7" ht="10.050000000000001" customHeight="1">
      <c r="A472" s="45" t="s">
        <v>150</v>
      </c>
      <c r="B472" s="45" t="s">
        <v>89</v>
      </c>
      <c r="C472" s="46">
        <v>2009</v>
      </c>
      <c r="D472" s="45" t="s">
        <v>109</v>
      </c>
      <c r="E472" s="47">
        <v>2</v>
      </c>
      <c r="F472" s="48">
        <v>0.5</v>
      </c>
      <c r="G472" s="48">
        <v>38.799999999999997</v>
      </c>
    </row>
    <row r="473" spans="1:7" ht="10.050000000000001" customHeight="1">
      <c r="A473" s="45" t="s">
        <v>150</v>
      </c>
      <c r="B473" s="45" t="s">
        <v>89</v>
      </c>
      <c r="C473" s="46">
        <v>2009</v>
      </c>
      <c r="D473" s="45" t="s">
        <v>109</v>
      </c>
      <c r="E473" s="47">
        <v>3</v>
      </c>
      <c r="F473" s="48">
        <v>11.3</v>
      </c>
      <c r="G473" s="48">
        <v>54.5</v>
      </c>
    </row>
    <row r="474" spans="1:7" ht="10.050000000000001" customHeight="1">
      <c r="A474" s="45" t="s">
        <v>150</v>
      </c>
      <c r="B474" s="45" t="s">
        <v>89</v>
      </c>
      <c r="C474" s="46">
        <v>2009</v>
      </c>
      <c r="D474" s="45" t="s">
        <v>109</v>
      </c>
      <c r="E474" s="47">
        <v>4</v>
      </c>
      <c r="F474" s="48">
        <v>19.5</v>
      </c>
      <c r="G474" s="48">
        <v>35.299999999999997</v>
      </c>
    </row>
    <row r="475" spans="1:7" ht="10.050000000000001" customHeight="1">
      <c r="A475" s="45" t="s">
        <v>150</v>
      </c>
      <c r="B475" s="45" t="s">
        <v>89</v>
      </c>
      <c r="C475" s="46">
        <v>2009</v>
      </c>
      <c r="D475" s="45" t="s">
        <v>109</v>
      </c>
      <c r="E475" s="47">
        <v>5</v>
      </c>
      <c r="F475" s="48">
        <v>25.4</v>
      </c>
      <c r="G475" s="48">
        <v>31.9</v>
      </c>
    </row>
    <row r="476" spans="1:7" ht="10.050000000000001" customHeight="1">
      <c r="A476" s="45" t="s">
        <v>150</v>
      </c>
      <c r="B476" s="45" t="s">
        <v>89</v>
      </c>
      <c r="C476" s="46">
        <v>2009</v>
      </c>
      <c r="D476" s="45" t="s">
        <v>109</v>
      </c>
      <c r="E476" s="47">
        <v>6</v>
      </c>
      <c r="F476" s="48">
        <v>13.7</v>
      </c>
      <c r="G476" s="48">
        <v>18.2</v>
      </c>
    </row>
    <row r="477" spans="1:7" ht="10.050000000000001" customHeight="1">
      <c r="A477" s="45" t="s">
        <v>150</v>
      </c>
      <c r="B477" s="45" t="s">
        <v>89</v>
      </c>
      <c r="C477" s="46">
        <v>2009</v>
      </c>
      <c r="D477" s="45" t="s">
        <v>116</v>
      </c>
      <c r="E477" s="47">
        <v>7</v>
      </c>
      <c r="F477" s="48">
        <v>4.5</v>
      </c>
      <c r="G477" s="48">
        <v>13.7</v>
      </c>
    </row>
    <row r="478" spans="1:7" ht="10.050000000000001" customHeight="1">
      <c r="A478" s="45" t="s">
        <v>150</v>
      </c>
      <c r="B478" s="45" t="s">
        <v>89</v>
      </c>
      <c r="C478" s="46">
        <v>2009</v>
      </c>
      <c r="D478" s="45" t="s">
        <v>116</v>
      </c>
      <c r="E478" s="47">
        <v>8</v>
      </c>
      <c r="F478" s="48">
        <v>2.1</v>
      </c>
      <c r="G478" s="48">
        <v>11.6</v>
      </c>
    </row>
    <row r="479" spans="1:7" ht="10.050000000000001" customHeight="1">
      <c r="A479" s="45" t="s">
        <v>150</v>
      </c>
      <c r="B479" s="45" t="s">
        <v>89</v>
      </c>
      <c r="C479" s="46">
        <v>2009</v>
      </c>
      <c r="D479" s="45" t="s">
        <v>116</v>
      </c>
      <c r="E479" s="47">
        <v>9</v>
      </c>
      <c r="F479" s="48">
        <v>10.5</v>
      </c>
      <c r="G479" s="48">
        <v>25.2</v>
      </c>
    </row>
    <row r="480" spans="1:7" ht="10.050000000000001" customHeight="1">
      <c r="A480" s="45" t="s">
        <v>150</v>
      </c>
      <c r="B480" s="45" t="s">
        <v>89</v>
      </c>
      <c r="C480" s="46">
        <v>2009</v>
      </c>
      <c r="D480" s="45" t="s">
        <v>116</v>
      </c>
      <c r="E480" s="47">
        <v>10</v>
      </c>
      <c r="F480" s="48">
        <v>17.100000000000001</v>
      </c>
      <c r="G480" s="48">
        <v>8.1</v>
      </c>
    </row>
    <row r="481" spans="1:7" ht="10.050000000000001" customHeight="1">
      <c r="A481" s="45" t="s">
        <v>150</v>
      </c>
      <c r="B481" s="45" t="s">
        <v>89</v>
      </c>
      <c r="C481" s="46">
        <v>2009</v>
      </c>
      <c r="D481" s="45" t="s">
        <v>116</v>
      </c>
      <c r="E481" s="47">
        <v>11</v>
      </c>
      <c r="F481" s="48">
        <v>32.299999999999997</v>
      </c>
      <c r="G481" s="48">
        <v>15.3</v>
      </c>
    </row>
    <row r="482" spans="1:7" ht="10.050000000000001" customHeight="1">
      <c r="A482" s="45" t="s">
        <v>150</v>
      </c>
      <c r="B482" s="45" t="s">
        <v>89</v>
      </c>
      <c r="C482" s="46">
        <v>2009</v>
      </c>
      <c r="D482" s="45" t="s">
        <v>116</v>
      </c>
      <c r="E482" s="47">
        <v>12</v>
      </c>
      <c r="F482" s="48">
        <v>19.600000000000001</v>
      </c>
      <c r="G482" s="48">
        <v>21</v>
      </c>
    </row>
    <row r="483" spans="1:7" ht="10.050000000000001" customHeight="1">
      <c r="A483" s="45" t="s">
        <v>150</v>
      </c>
      <c r="B483" s="45" t="s">
        <v>89</v>
      </c>
      <c r="C483" s="46">
        <v>2010</v>
      </c>
      <c r="D483" s="45" t="s">
        <v>116</v>
      </c>
      <c r="E483" s="47">
        <v>1</v>
      </c>
      <c r="F483" s="48">
        <v>28.8</v>
      </c>
      <c r="G483" s="48">
        <v>18.5</v>
      </c>
    </row>
    <row r="484" spans="1:7" ht="10.050000000000001" customHeight="1">
      <c r="A484" s="45" t="s">
        <v>150</v>
      </c>
      <c r="B484" s="45" t="s">
        <v>89</v>
      </c>
      <c r="C484" s="46">
        <v>2010</v>
      </c>
      <c r="D484" s="45" t="s">
        <v>116</v>
      </c>
      <c r="E484" s="47">
        <v>2</v>
      </c>
      <c r="F484" s="48">
        <v>27</v>
      </c>
      <c r="G484" s="48">
        <v>15.7</v>
      </c>
    </row>
    <row r="485" spans="1:7" ht="10.050000000000001" customHeight="1">
      <c r="A485" s="45" t="s">
        <v>150</v>
      </c>
      <c r="B485" s="45" t="s">
        <v>89</v>
      </c>
      <c r="C485" s="46">
        <v>2010</v>
      </c>
      <c r="D485" s="45" t="s">
        <v>116</v>
      </c>
      <c r="E485" s="47">
        <v>3</v>
      </c>
      <c r="F485" s="48">
        <v>39.5</v>
      </c>
      <c r="G485" s="48">
        <v>25.7</v>
      </c>
    </row>
    <row r="486" spans="1:7" ht="10.050000000000001" customHeight="1">
      <c r="A486" s="45" t="s">
        <v>150</v>
      </c>
      <c r="B486" s="45" t="s">
        <v>89</v>
      </c>
      <c r="C486" s="46">
        <v>2010</v>
      </c>
      <c r="D486" s="45" t="s">
        <v>116</v>
      </c>
      <c r="E486" s="47">
        <v>4</v>
      </c>
      <c r="F486" s="48">
        <v>24.5</v>
      </c>
      <c r="G486" s="48">
        <v>25.2</v>
      </c>
    </row>
    <row r="487" spans="1:7" ht="10.050000000000001" customHeight="1">
      <c r="A487" s="45" t="s">
        <v>150</v>
      </c>
      <c r="B487" s="45" t="s">
        <v>89</v>
      </c>
      <c r="C487" s="46">
        <v>2010</v>
      </c>
      <c r="D487" s="45" t="s">
        <v>116</v>
      </c>
      <c r="E487" s="47">
        <v>5</v>
      </c>
      <c r="F487" s="48">
        <v>16.2</v>
      </c>
      <c r="G487" s="48">
        <v>9</v>
      </c>
    </row>
    <row r="488" spans="1:7" ht="10.050000000000001" customHeight="1">
      <c r="A488" s="45" t="s">
        <v>150</v>
      </c>
      <c r="B488" s="45" t="s">
        <v>89</v>
      </c>
      <c r="C488" s="46">
        <v>2010</v>
      </c>
      <c r="D488" s="45" t="s">
        <v>116</v>
      </c>
      <c r="E488" s="47">
        <v>6</v>
      </c>
      <c r="F488" s="48">
        <v>26.5</v>
      </c>
      <c r="G488" s="48">
        <v>7.4</v>
      </c>
    </row>
    <row r="489" spans="1:7" ht="10.050000000000001" customHeight="1">
      <c r="A489" s="45" t="s">
        <v>150</v>
      </c>
      <c r="B489" s="45" t="s">
        <v>89</v>
      </c>
      <c r="C489" s="46">
        <v>2010</v>
      </c>
      <c r="D489" s="45" t="s">
        <v>117</v>
      </c>
      <c r="E489" s="47">
        <v>7</v>
      </c>
      <c r="F489" s="48">
        <v>4.8</v>
      </c>
      <c r="G489" s="48">
        <v>43.9</v>
      </c>
    </row>
    <row r="490" spans="1:7" ht="10.050000000000001" customHeight="1">
      <c r="A490" s="45" t="s">
        <v>150</v>
      </c>
      <c r="B490" s="45" t="s">
        <v>89</v>
      </c>
      <c r="C490" s="46">
        <v>2010</v>
      </c>
      <c r="D490" s="45" t="s">
        <v>117</v>
      </c>
      <c r="E490" s="47">
        <v>8</v>
      </c>
      <c r="F490" s="48">
        <v>1.4</v>
      </c>
      <c r="G490" s="48">
        <v>42.5</v>
      </c>
    </row>
    <row r="491" spans="1:7" ht="10.050000000000001" customHeight="1">
      <c r="A491" s="45" t="s">
        <v>150</v>
      </c>
      <c r="B491" s="45" t="s">
        <v>89</v>
      </c>
      <c r="C491" s="46">
        <v>2010</v>
      </c>
      <c r="D491" s="45" t="s">
        <v>117</v>
      </c>
      <c r="E491" s="47">
        <v>9</v>
      </c>
      <c r="F491" s="48">
        <v>16.3</v>
      </c>
      <c r="G491" s="48">
        <v>50.9</v>
      </c>
    </row>
    <row r="492" spans="1:7" ht="10.050000000000001" customHeight="1">
      <c r="A492" s="45" t="s">
        <v>150</v>
      </c>
      <c r="B492" s="45" t="s">
        <v>89</v>
      </c>
      <c r="C492" s="46">
        <v>2010</v>
      </c>
      <c r="D492" s="45" t="s">
        <v>117</v>
      </c>
      <c r="E492" s="47">
        <v>10</v>
      </c>
      <c r="F492" s="48">
        <v>9.5</v>
      </c>
      <c r="G492" s="48">
        <v>66.7</v>
      </c>
    </row>
    <row r="493" spans="1:7" ht="10.050000000000001" customHeight="1">
      <c r="A493" s="45" t="s">
        <v>150</v>
      </c>
      <c r="B493" s="45" t="s">
        <v>89</v>
      </c>
      <c r="C493" s="46">
        <v>2010</v>
      </c>
      <c r="D493" s="45" t="s">
        <v>117</v>
      </c>
      <c r="E493" s="47">
        <v>11</v>
      </c>
      <c r="F493" s="48">
        <v>45.7</v>
      </c>
      <c r="G493" s="48">
        <v>24.8</v>
      </c>
    </row>
    <row r="494" spans="1:7" ht="10.050000000000001" customHeight="1">
      <c r="A494" s="45" t="s">
        <v>150</v>
      </c>
      <c r="B494" s="45" t="s">
        <v>89</v>
      </c>
      <c r="C494" s="46">
        <v>2010</v>
      </c>
      <c r="D494" s="45" t="s">
        <v>117</v>
      </c>
      <c r="E494" s="47">
        <v>12</v>
      </c>
      <c r="F494" s="48">
        <v>15.3</v>
      </c>
      <c r="G494" s="48">
        <v>60.6</v>
      </c>
    </row>
    <row r="495" spans="1:7" ht="10.050000000000001" customHeight="1">
      <c r="A495" s="45" t="s">
        <v>150</v>
      </c>
      <c r="B495" s="45" t="s">
        <v>89</v>
      </c>
      <c r="C495" s="46">
        <v>2011</v>
      </c>
      <c r="D495" s="45" t="s">
        <v>117</v>
      </c>
      <c r="E495" s="47">
        <v>1</v>
      </c>
      <c r="F495" s="48">
        <v>3.3</v>
      </c>
      <c r="G495" s="48">
        <v>57.3</v>
      </c>
    </row>
    <row r="496" spans="1:7" ht="10.050000000000001" customHeight="1">
      <c r="A496" s="45" t="s">
        <v>150</v>
      </c>
      <c r="B496" s="45" t="s">
        <v>89</v>
      </c>
      <c r="C496" s="46">
        <v>2011</v>
      </c>
      <c r="D496" s="45" t="s">
        <v>117</v>
      </c>
      <c r="E496" s="47">
        <v>2</v>
      </c>
      <c r="F496" s="48">
        <v>7</v>
      </c>
      <c r="G496" s="48">
        <v>50.3</v>
      </c>
    </row>
    <row r="497" spans="1:7" ht="10.050000000000001" customHeight="1">
      <c r="A497" s="45" t="s">
        <v>150</v>
      </c>
      <c r="B497" s="45" t="s">
        <v>89</v>
      </c>
      <c r="C497" s="46">
        <v>2011</v>
      </c>
      <c r="D497" s="45" t="s">
        <v>117</v>
      </c>
      <c r="E497" s="47">
        <v>3</v>
      </c>
      <c r="F497" s="48">
        <v>0.4</v>
      </c>
      <c r="G497" s="48">
        <v>49.9</v>
      </c>
    </row>
    <row r="498" spans="1:7" ht="10.050000000000001" customHeight="1">
      <c r="A498" s="45" t="s">
        <v>150</v>
      </c>
      <c r="B498" s="45" t="s">
        <v>89</v>
      </c>
      <c r="C498" s="46">
        <v>2011</v>
      </c>
      <c r="D498" s="45" t="s">
        <v>117</v>
      </c>
      <c r="E498" s="47">
        <v>4</v>
      </c>
      <c r="F498" s="48">
        <v>3.5</v>
      </c>
      <c r="G498" s="48">
        <v>46.4</v>
      </c>
    </row>
    <row r="499" spans="1:7" ht="10.050000000000001" customHeight="1">
      <c r="A499" s="45" t="s">
        <v>150</v>
      </c>
      <c r="B499" s="45" t="s">
        <v>89</v>
      </c>
      <c r="C499" s="46">
        <v>2011</v>
      </c>
      <c r="D499" s="45" t="s">
        <v>117</v>
      </c>
      <c r="E499" s="47">
        <v>5</v>
      </c>
      <c r="F499" s="48">
        <v>1.1000000000000001</v>
      </c>
      <c r="G499" s="48">
        <v>45.3</v>
      </c>
    </row>
    <row r="500" spans="1:7" ht="10.050000000000001" customHeight="1">
      <c r="A500" s="45" t="s">
        <v>150</v>
      </c>
      <c r="B500" s="45" t="s">
        <v>89</v>
      </c>
      <c r="C500" s="46">
        <v>2011</v>
      </c>
      <c r="D500" s="45" t="s">
        <v>117</v>
      </c>
      <c r="E500" s="47">
        <v>6</v>
      </c>
      <c r="F500" s="48">
        <v>2.6</v>
      </c>
      <c r="G500" s="48">
        <v>42.7</v>
      </c>
    </row>
    <row r="501" spans="1:7" ht="10.050000000000001" customHeight="1">
      <c r="A501" s="45" t="s">
        <v>150</v>
      </c>
      <c r="B501" s="45" t="s">
        <v>89</v>
      </c>
      <c r="C501" s="46">
        <v>2011</v>
      </c>
      <c r="D501" s="45" t="s">
        <v>118</v>
      </c>
      <c r="E501" s="47">
        <v>7</v>
      </c>
      <c r="F501" s="48">
        <v>4.4000000000000004</v>
      </c>
      <c r="G501" s="48">
        <v>38.299999999999997</v>
      </c>
    </row>
    <row r="502" spans="1:7" ht="10.050000000000001" customHeight="1">
      <c r="A502" s="45" t="s">
        <v>150</v>
      </c>
      <c r="B502" s="45" t="s">
        <v>89</v>
      </c>
      <c r="C502" s="46">
        <v>2011</v>
      </c>
      <c r="D502" s="45" t="s">
        <v>118</v>
      </c>
      <c r="E502" s="47">
        <v>8</v>
      </c>
      <c r="F502" s="48">
        <v>2.5</v>
      </c>
      <c r="G502" s="48">
        <v>35.799999999999997</v>
      </c>
    </row>
    <row r="503" spans="1:7" ht="10.050000000000001" customHeight="1">
      <c r="A503" s="45" t="s">
        <v>150</v>
      </c>
      <c r="B503" s="45" t="s">
        <v>89</v>
      </c>
      <c r="C503" s="46">
        <v>2011</v>
      </c>
      <c r="D503" s="45" t="s">
        <v>118</v>
      </c>
      <c r="E503" s="47">
        <v>9</v>
      </c>
      <c r="F503" s="48">
        <v>3.5</v>
      </c>
      <c r="G503" s="48">
        <v>32.299999999999997</v>
      </c>
    </row>
    <row r="504" spans="1:7" ht="10.050000000000001" customHeight="1">
      <c r="A504" s="45" t="s">
        <v>150</v>
      </c>
      <c r="B504" s="45" t="s">
        <v>89</v>
      </c>
      <c r="C504" s="46">
        <v>2011</v>
      </c>
      <c r="D504" s="45" t="s">
        <v>118</v>
      </c>
      <c r="E504" s="47">
        <v>10</v>
      </c>
      <c r="F504" s="48">
        <v>6.4</v>
      </c>
      <c r="G504" s="48">
        <v>105.7</v>
      </c>
    </row>
    <row r="505" spans="1:7" ht="10.050000000000001" customHeight="1">
      <c r="A505" s="45" t="s">
        <v>150</v>
      </c>
      <c r="B505" s="45" t="s">
        <v>89</v>
      </c>
      <c r="C505" s="46">
        <v>2011</v>
      </c>
      <c r="D505" s="45" t="s">
        <v>118</v>
      </c>
      <c r="E505" s="47">
        <v>11</v>
      </c>
      <c r="F505" s="48">
        <v>10.4</v>
      </c>
      <c r="G505" s="48">
        <v>165.4</v>
      </c>
    </row>
    <row r="506" spans="1:7" ht="10.050000000000001" customHeight="1">
      <c r="A506" s="45" t="s">
        <v>150</v>
      </c>
      <c r="B506" s="45" t="s">
        <v>89</v>
      </c>
      <c r="C506" s="46">
        <v>2011</v>
      </c>
      <c r="D506" s="45" t="s">
        <v>118</v>
      </c>
      <c r="E506" s="47">
        <v>12</v>
      </c>
      <c r="F506" s="48">
        <v>11.5</v>
      </c>
      <c r="G506" s="48">
        <v>153.9</v>
      </c>
    </row>
    <row r="507" spans="1:7" ht="10.050000000000001" customHeight="1">
      <c r="A507" s="45" t="s">
        <v>150</v>
      </c>
      <c r="B507" s="45" t="s">
        <v>89</v>
      </c>
      <c r="C507" s="46">
        <v>2012</v>
      </c>
      <c r="D507" s="45" t="s">
        <v>118</v>
      </c>
      <c r="E507" s="47">
        <v>1</v>
      </c>
      <c r="F507" s="48">
        <v>17.100000000000001</v>
      </c>
      <c r="G507" s="48">
        <v>136.80000000000001</v>
      </c>
    </row>
    <row r="508" spans="1:7" ht="10.050000000000001" customHeight="1">
      <c r="A508" s="45" t="s">
        <v>150</v>
      </c>
      <c r="B508" s="45" t="s">
        <v>89</v>
      </c>
      <c r="C508" s="46">
        <v>2012</v>
      </c>
      <c r="D508" s="45" t="s">
        <v>118</v>
      </c>
      <c r="E508" s="47">
        <v>2</v>
      </c>
      <c r="F508" s="48">
        <v>19.100000000000001</v>
      </c>
      <c r="G508" s="48">
        <v>142</v>
      </c>
    </row>
    <row r="509" spans="1:7" ht="10.050000000000001" customHeight="1">
      <c r="A509" s="45" t="s">
        <v>150</v>
      </c>
      <c r="B509" s="45" t="s">
        <v>89</v>
      </c>
      <c r="C509" s="46">
        <v>2012</v>
      </c>
      <c r="D509" s="45" t="s">
        <v>118</v>
      </c>
      <c r="E509" s="47">
        <v>3</v>
      </c>
      <c r="F509" s="48">
        <v>4.5999999999999996</v>
      </c>
      <c r="G509" s="48">
        <v>137.4</v>
      </c>
    </row>
    <row r="510" spans="1:7" ht="10.050000000000001" customHeight="1">
      <c r="A510" s="45" t="s">
        <v>150</v>
      </c>
      <c r="B510" s="45" t="s">
        <v>89</v>
      </c>
      <c r="C510" s="46">
        <v>2012</v>
      </c>
      <c r="D510" s="45" t="s">
        <v>118</v>
      </c>
      <c r="E510" s="47">
        <v>4</v>
      </c>
      <c r="F510" s="48">
        <v>7.8</v>
      </c>
      <c r="G510" s="48">
        <v>129.6</v>
      </c>
    </row>
    <row r="511" spans="1:7" ht="10.050000000000001" customHeight="1">
      <c r="A511" s="45" t="s">
        <v>150</v>
      </c>
      <c r="B511" s="45" t="s">
        <v>89</v>
      </c>
      <c r="C511" s="46">
        <v>2012</v>
      </c>
      <c r="D511" s="45" t="s">
        <v>118</v>
      </c>
      <c r="E511" s="47">
        <v>5</v>
      </c>
      <c r="F511" s="48">
        <v>8.4</v>
      </c>
      <c r="G511" s="48">
        <v>121.2</v>
      </c>
    </row>
    <row r="512" spans="1:7" ht="10.050000000000001" customHeight="1">
      <c r="A512" s="45" t="s">
        <v>150</v>
      </c>
      <c r="B512" s="45" t="s">
        <v>89</v>
      </c>
      <c r="C512" s="46">
        <v>2012</v>
      </c>
      <c r="D512" s="45" t="s">
        <v>118</v>
      </c>
      <c r="E512" s="47">
        <v>6</v>
      </c>
      <c r="F512" s="48">
        <v>5</v>
      </c>
      <c r="G512" s="48">
        <v>116.2</v>
      </c>
    </row>
    <row r="513" spans="1:7" ht="10.050000000000001" customHeight="1">
      <c r="A513" s="45" t="s">
        <v>150</v>
      </c>
      <c r="B513" s="45" t="s">
        <v>89</v>
      </c>
      <c r="C513" s="46">
        <v>2012</v>
      </c>
      <c r="D513" s="45" t="s">
        <v>119</v>
      </c>
      <c r="E513" s="47">
        <v>7</v>
      </c>
      <c r="F513" s="48">
        <v>9.4</v>
      </c>
      <c r="G513" s="48">
        <v>106.8</v>
      </c>
    </row>
    <row r="514" spans="1:7" ht="10.050000000000001" customHeight="1">
      <c r="A514" s="45" t="s">
        <v>150</v>
      </c>
      <c r="B514" s="45" t="s">
        <v>89</v>
      </c>
      <c r="C514" s="46">
        <v>2012</v>
      </c>
      <c r="D514" s="45" t="s">
        <v>119</v>
      </c>
      <c r="E514" s="47">
        <v>8</v>
      </c>
      <c r="F514" s="48">
        <v>9.1999999999999993</v>
      </c>
      <c r="G514" s="48">
        <v>97.6</v>
      </c>
    </row>
    <row r="515" spans="1:7" ht="10.050000000000001" customHeight="1">
      <c r="A515" s="45" t="s">
        <v>150</v>
      </c>
      <c r="B515" s="45" t="s">
        <v>89</v>
      </c>
      <c r="C515" s="46">
        <v>2012</v>
      </c>
      <c r="D515" s="45" t="s">
        <v>119</v>
      </c>
      <c r="E515" s="47">
        <v>9</v>
      </c>
      <c r="F515" s="48">
        <v>8.6</v>
      </c>
      <c r="G515" s="48">
        <v>89</v>
      </c>
    </row>
    <row r="516" spans="1:7" ht="10.050000000000001" customHeight="1">
      <c r="A516" s="45" t="s">
        <v>150</v>
      </c>
      <c r="B516" s="45" t="s">
        <v>89</v>
      </c>
      <c r="C516" s="46">
        <v>2012</v>
      </c>
      <c r="D516" s="45" t="s">
        <v>119</v>
      </c>
      <c r="E516" s="47">
        <v>10</v>
      </c>
      <c r="F516" s="48">
        <v>13.3</v>
      </c>
      <c r="G516" s="48">
        <v>75.7</v>
      </c>
    </row>
    <row r="517" spans="1:7" ht="10.050000000000001" customHeight="1">
      <c r="A517" s="45" t="s">
        <v>150</v>
      </c>
      <c r="B517" s="45" t="s">
        <v>89</v>
      </c>
      <c r="C517" s="46">
        <v>2012</v>
      </c>
      <c r="D517" s="45" t="s">
        <v>119</v>
      </c>
      <c r="E517" s="47">
        <v>11</v>
      </c>
      <c r="F517" s="48">
        <v>15.8</v>
      </c>
      <c r="G517" s="48">
        <v>59.9</v>
      </c>
    </row>
    <row r="518" spans="1:7" ht="10.050000000000001" customHeight="1">
      <c r="A518" s="45" t="s">
        <v>150</v>
      </c>
      <c r="B518" s="45" t="s">
        <v>89</v>
      </c>
      <c r="C518" s="46">
        <v>2012</v>
      </c>
      <c r="D518" s="45" t="s">
        <v>119</v>
      </c>
      <c r="E518" s="47">
        <v>12</v>
      </c>
      <c r="F518" s="48">
        <v>15.2</v>
      </c>
      <c r="G518" s="48">
        <v>63.9</v>
      </c>
    </row>
    <row r="519" spans="1:7" ht="10.050000000000001" customHeight="1">
      <c r="A519" s="45" t="s">
        <v>150</v>
      </c>
      <c r="B519" s="45" t="s">
        <v>89</v>
      </c>
      <c r="C519" s="46">
        <v>2013</v>
      </c>
      <c r="D519" s="45" t="s">
        <v>119</v>
      </c>
      <c r="E519" s="47">
        <v>1</v>
      </c>
      <c r="F519" s="48">
        <v>16.100000000000001</v>
      </c>
      <c r="G519" s="48">
        <v>47.8</v>
      </c>
    </row>
    <row r="520" spans="1:7" ht="10.050000000000001" customHeight="1">
      <c r="A520" s="45" t="s">
        <v>150</v>
      </c>
      <c r="B520" s="45" t="s">
        <v>89</v>
      </c>
      <c r="C520" s="46">
        <v>2013</v>
      </c>
      <c r="D520" s="45" t="s">
        <v>119</v>
      </c>
      <c r="E520" s="47">
        <v>2</v>
      </c>
      <c r="F520" s="48">
        <v>0.5</v>
      </c>
      <c r="G520" s="48">
        <v>47.3</v>
      </c>
    </row>
    <row r="521" spans="1:7" ht="10.050000000000001" customHeight="1">
      <c r="A521" s="45" t="s">
        <v>150</v>
      </c>
      <c r="B521" s="45" t="s">
        <v>89</v>
      </c>
      <c r="C521" s="46">
        <v>2013</v>
      </c>
      <c r="D521" s="45" t="s">
        <v>119</v>
      </c>
      <c r="E521" s="47">
        <v>3</v>
      </c>
      <c r="F521" s="48">
        <v>0</v>
      </c>
      <c r="G521" s="48">
        <v>47.3</v>
      </c>
    </row>
    <row r="522" spans="1:7" ht="10.050000000000001" customHeight="1">
      <c r="A522" s="45" t="s">
        <v>150</v>
      </c>
      <c r="B522" s="45" t="s">
        <v>89</v>
      </c>
      <c r="C522" s="46">
        <v>2013</v>
      </c>
      <c r="D522" s="45" t="s">
        <v>119</v>
      </c>
      <c r="E522" s="47">
        <v>4</v>
      </c>
      <c r="F522" s="48">
        <v>1.7</v>
      </c>
      <c r="G522" s="48">
        <v>45.6</v>
      </c>
    </row>
    <row r="523" spans="1:7" ht="10.050000000000001" customHeight="1">
      <c r="A523" s="45" t="s">
        <v>150</v>
      </c>
      <c r="B523" s="45" t="s">
        <v>89</v>
      </c>
      <c r="C523" s="46">
        <v>2013</v>
      </c>
      <c r="D523" s="45" t="s">
        <v>119</v>
      </c>
      <c r="E523" s="47">
        <v>5</v>
      </c>
      <c r="F523" s="48">
        <v>1.3</v>
      </c>
      <c r="G523" s="48">
        <v>44.3</v>
      </c>
    </row>
    <row r="524" spans="1:7" ht="10.050000000000001" customHeight="1">
      <c r="A524" s="45" t="s">
        <v>150</v>
      </c>
      <c r="B524" s="45" t="s">
        <v>89</v>
      </c>
      <c r="C524" s="46">
        <v>2013</v>
      </c>
      <c r="D524" s="45" t="s">
        <v>119</v>
      </c>
      <c r="E524" s="47">
        <v>6</v>
      </c>
      <c r="F524" s="48">
        <v>1</v>
      </c>
      <c r="G524" s="48">
        <v>43.3</v>
      </c>
    </row>
    <row r="525" spans="1:7" ht="10.050000000000001" customHeight="1">
      <c r="A525" s="45" t="s">
        <v>150</v>
      </c>
      <c r="B525" s="45" t="s">
        <v>89</v>
      </c>
      <c r="C525" s="46">
        <v>2013</v>
      </c>
      <c r="D525" s="45" t="s">
        <v>120</v>
      </c>
      <c r="E525" s="47">
        <v>7</v>
      </c>
      <c r="F525" s="48">
        <v>5.5</v>
      </c>
      <c r="G525" s="48">
        <v>37.799999999999997</v>
      </c>
    </row>
    <row r="526" spans="1:7" ht="10.050000000000001" customHeight="1">
      <c r="A526" s="45" t="s">
        <v>150</v>
      </c>
      <c r="B526" s="45" t="s">
        <v>89</v>
      </c>
      <c r="C526" s="46">
        <v>2013</v>
      </c>
      <c r="D526" s="45" t="s">
        <v>120</v>
      </c>
      <c r="E526" s="47">
        <v>8</v>
      </c>
      <c r="F526" s="48">
        <v>7.9</v>
      </c>
      <c r="G526" s="48">
        <v>29.9</v>
      </c>
    </row>
    <row r="527" spans="1:7" ht="10.050000000000001" customHeight="1">
      <c r="A527" s="45" t="s">
        <v>150</v>
      </c>
      <c r="B527" s="45" t="s">
        <v>89</v>
      </c>
      <c r="C527" s="46">
        <v>2013</v>
      </c>
      <c r="D527" s="45" t="s">
        <v>120</v>
      </c>
      <c r="E527" s="47">
        <v>9</v>
      </c>
      <c r="F527" s="48">
        <v>0</v>
      </c>
      <c r="G527" s="48">
        <v>7.7</v>
      </c>
    </row>
    <row r="528" spans="1:7" ht="10.050000000000001" customHeight="1">
      <c r="A528" s="45" t="s">
        <v>150</v>
      </c>
      <c r="B528" s="45" t="s">
        <v>89</v>
      </c>
      <c r="C528" s="46">
        <v>2013</v>
      </c>
      <c r="D528" s="45" t="s">
        <v>120</v>
      </c>
      <c r="E528" s="47">
        <v>10</v>
      </c>
      <c r="F528" s="48">
        <v>29.6</v>
      </c>
      <c r="G528" s="48">
        <v>77.7</v>
      </c>
    </row>
    <row r="529" spans="1:7" ht="10.050000000000001" customHeight="1">
      <c r="A529" s="45" t="s">
        <v>150</v>
      </c>
      <c r="B529" s="45" t="s">
        <v>89</v>
      </c>
      <c r="C529" s="46">
        <v>2013</v>
      </c>
      <c r="D529" s="45" t="s">
        <v>120</v>
      </c>
      <c r="E529" s="47">
        <v>11</v>
      </c>
      <c r="F529" s="48">
        <v>56.7</v>
      </c>
      <c r="G529" s="48">
        <v>21</v>
      </c>
    </row>
    <row r="530" spans="1:7" ht="10.050000000000001" customHeight="1">
      <c r="A530" s="45" t="s">
        <v>150</v>
      </c>
      <c r="B530" s="45" t="s">
        <v>89</v>
      </c>
      <c r="C530" s="46">
        <v>2013</v>
      </c>
      <c r="D530" s="45" t="s">
        <v>120</v>
      </c>
      <c r="E530" s="47">
        <v>12</v>
      </c>
      <c r="F530" s="48">
        <v>29.4</v>
      </c>
      <c r="G530" s="48">
        <v>20.399999999999999</v>
      </c>
    </row>
    <row r="531" spans="1:7" ht="10.050000000000001" customHeight="1">
      <c r="A531" s="45" t="s">
        <v>150</v>
      </c>
      <c r="B531" s="45" t="s">
        <v>89</v>
      </c>
      <c r="C531" s="46">
        <v>2014</v>
      </c>
      <c r="D531" s="45" t="s">
        <v>120</v>
      </c>
      <c r="E531" s="47">
        <v>1</v>
      </c>
      <c r="F531" s="48">
        <v>0.2</v>
      </c>
      <c r="G531" s="48">
        <v>20.2</v>
      </c>
    </row>
    <row r="532" spans="1:7" ht="10.050000000000001" customHeight="1">
      <c r="A532" s="45" t="s">
        <v>150</v>
      </c>
      <c r="B532" s="45" t="s">
        <v>89</v>
      </c>
      <c r="C532" s="46">
        <v>2014</v>
      </c>
      <c r="D532" s="45" t="s">
        <v>120</v>
      </c>
      <c r="E532" s="47">
        <v>2</v>
      </c>
      <c r="F532" s="48">
        <v>1.7</v>
      </c>
      <c r="G532" s="48">
        <v>18.5</v>
      </c>
    </row>
    <row r="533" spans="1:7" ht="10.050000000000001" customHeight="1">
      <c r="A533" s="45" t="s">
        <v>150</v>
      </c>
      <c r="B533" s="45" t="s">
        <v>89</v>
      </c>
      <c r="C533" s="46">
        <v>2014</v>
      </c>
      <c r="D533" s="45" t="s">
        <v>120</v>
      </c>
      <c r="E533" s="47">
        <v>3</v>
      </c>
      <c r="F533" s="48">
        <v>2.5</v>
      </c>
      <c r="G533" s="48">
        <v>16</v>
      </c>
    </row>
    <row r="534" spans="1:7" ht="10.050000000000001" customHeight="1">
      <c r="A534" s="45" t="s">
        <v>150</v>
      </c>
      <c r="B534" s="45" t="s">
        <v>89</v>
      </c>
      <c r="C534" s="46">
        <v>2014</v>
      </c>
      <c r="D534" s="45" t="s">
        <v>120</v>
      </c>
      <c r="E534" s="47">
        <v>4</v>
      </c>
      <c r="F534" s="48">
        <v>0</v>
      </c>
      <c r="G534" s="48">
        <v>16</v>
      </c>
    </row>
    <row r="535" spans="1:7" ht="10.050000000000001" customHeight="1">
      <c r="A535" s="45" t="s">
        <v>150</v>
      </c>
      <c r="B535" s="45" t="s">
        <v>89</v>
      </c>
      <c r="C535" s="46">
        <v>2014</v>
      </c>
      <c r="D535" s="45" t="s">
        <v>120</v>
      </c>
      <c r="E535" s="47">
        <v>5</v>
      </c>
      <c r="F535" s="48">
        <v>16.271999999999998</v>
      </c>
      <c r="G535" s="48">
        <v>13.8</v>
      </c>
    </row>
    <row r="536" spans="1:7" ht="10.050000000000001" customHeight="1">
      <c r="A536" s="45" t="s">
        <v>150</v>
      </c>
      <c r="B536" s="45" t="s">
        <v>89</v>
      </c>
      <c r="C536" s="46">
        <v>2014</v>
      </c>
      <c r="D536" s="45" t="s">
        <v>120</v>
      </c>
      <c r="E536" s="47">
        <v>6</v>
      </c>
      <c r="F536" s="48">
        <v>0</v>
      </c>
      <c r="G536" s="48">
        <v>13.8</v>
      </c>
    </row>
    <row r="537" spans="1:7" ht="10.050000000000001" customHeight="1">
      <c r="A537" s="45" t="s">
        <v>150</v>
      </c>
      <c r="B537" s="45" t="s">
        <v>89</v>
      </c>
      <c r="C537" s="46">
        <v>2014</v>
      </c>
      <c r="D537" s="45" t="s">
        <v>121</v>
      </c>
      <c r="E537" s="47">
        <v>7</v>
      </c>
      <c r="F537" s="48">
        <v>1.7</v>
      </c>
      <c r="G537" s="48">
        <v>12.1</v>
      </c>
    </row>
    <row r="538" spans="1:7" ht="10.050000000000001" customHeight="1">
      <c r="A538" s="45" t="s">
        <v>150</v>
      </c>
      <c r="B538" s="45" t="s">
        <v>89</v>
      </c>
      <c r="C538" s="46">
        <v>2014</v>
      </c>
      <c r="D538" s="45" t="s">
        <v>121</v>
      </c>
      <c r="E538" s="47">
        <v>8</v>
      </c>
      <c r="F538" s="48">
        <v>0.4</v>
      </c>
      <c r="G538" s="48">
        <v>11.7</v>
      </c>
    </row>
    <row r="539" spans="1:7" ht="10.050000000000001" customHeight="1">
      <c r="A539" s="45" t="s">
        <v>150</v>
      </c>
      <c r="B539" s="45" t="s">
        <v>89</v>
      </c>
      <c r="C539" s="46">
        <v>2014</v>
      </c>
      <c r="D539" s="45" t="s">
        <v>121</v>
      </c>
      <c r="E539" s="47">
        <v>9</v>
      </c>
      <c r="F539" s="48">
        <v>17.550999999999998</v>
      </c>
      <c r="G539" s="48">
        <v>11.7</v>
      </c>
    </row>
    <row r="540" spans="1:7" ht="10.050000000000001" customHeight="1">
      <c r="A540" s="45" t="s">
        <v>150</v>
      </c>
      <c r="B540" s="45" t="s">
        <v>89</v>
      </c>
      <c r="C540" s="46">
        <v>2014</v>
      </c>
      <c r="D540" s="45" t="s">
        <v>121</v>
      </c>
      <c r="E540" s="47">
        <v>10</v>
      </c>
      <c r="F540" s="48">
        <v>2.6</v>
      </c>
      <c r="G540" s="48">
        <v>155.6</v>
      </c>
    </row>
    <row r="541" spans="1:7" ht="10.050000000000001" customHeight="1">
      <c r="A541" s="45" t="s">
        <v>150</v>
      </c>
      <c r="B541" s="45" t="s">
        <v>89</v>
      </c>
      <c r="C541" s="46">
        <v>2014</v>
      </c>
      <c r="D541" s="45" t="s">
        <v>121</v>
      </c>
      <c r="E541" s="47">
        <v>11</v>
      </c>
      <c r="F541" s="48">
        <v>16.3</v>
      </c>
      <c r="G541" s="48">
        <v>155.30000000000001</v>
      </c>
    </row>
    <row r="542" spans="1:7" ht="10.050000000000001" customHeight="1">
      <c r="A542" s="45" t="s">
        <v>150</v>
      </c>
      <c r="B542" s="45" t="s">
        <v>89</v>
      </c>
      <c r="C542" s="46">
        <v>2014</v>
      </c>
      <c r="D542" s="45" t="s">
        <v>121</v>
      </c>
      <c r="E542" s="47">
        <v>12</v>
      </c>
      <c r="F542" s="48">
        <v>15.9</v>
      </c>
      <c r="G542" s="48">
        <v>139.4</v>
      </c>
    </row>
    <row r="543" spans="1:7" ht="10.050000000000001" customHeight="1">
      <c r="A543" s="45" t="s">
        <v>150</v>
      </c>
      <c r="B543" s="45" t="s">
        <v>89</v>
      </c>
      <c r="C543" s="46">
        <v>2015</v>
      </c>
      <c r="D543" s="45" t="s">
        <v>121</v>
      </c>
      <c r="E543" s="47">
        <v>1</v>
      </c>
      <c r="F543" s="48">
        <v>42.3</v>
      </c>
      <c r="G543" s="48">
        <v>108.2</v>
      </c>
    </row>
    <row r="544" spans="1:7" ht="10.050000000000001" customHeight="1">
      <c r="A544" s="45" t="s">
        <v>150</v>
      </c>
      <c r="B544" s="45" t="s">
        <v>89</v>
      </c>
      <c r="C544" s="46">
        <v>2015</v>
      </c>
      <c r="D544" s="45" t="s">
        <v>121</v>
      </c>
      <c r="E544" s="47">
        <v>2</v>
      </c>
      <c r="F544" s="48">
        <v>19.8</v>
      </c>
      <c r="G544" s="48">
        <v>88.4</v>
      </c>
    </row>
    <row r="545" spans="1:7" ht="10.050000000000001" customHeight="1">
      <c r="A545" s="45" t="s">
        <v>150</v>
      </c>
      <c r="B545" s="45" t="s">
        <v>89</v>
      </c>
      <c r="C545" s="46">
        <v>2015</v>
      </c>
      <c r="D545" s="45" t="s">
        <v>121</v>
      </c>
      <c r="E545" s="47">
        <v>3</v>
      </c>
      <c r="F545" s="48">
        <v>19.3</v>
      </c>
      <c r="G545" s="48">
        <v>92.5</v>
      </c>
    </row>
    <row r="546" spans="1:7" ht="10.050000000000001" customHeight="1">
      <c r="A546" s="45" t="s">
        <v>150</v>
      </c>
      <c r="B546" s="45" t="s">
        <v>89</v>
      </c>
      <c r="C546" s="46">
        <v>2015</v>
      </c>
      <c r="D546" s="45" t="s">
        <v>121</v>
      </c>
      <c r="E546" s="47">
        <v>4</v>
      </c>
      <c r="F546" s="48">
        <v>16.850000000000001</v>
      </c>
      <c r="G546" s="48">
        <v>75.8</v>
      </c>
    </row>
    <row r="547" spans="1:7" ht="10.050000000000001" customHeight="1">
      <c r="A547" s="45" t="s">
        <v>150</v>
      </c>
      <c r="B547" s="45" t="s">
        <v>89</v>
      </c>
      <c r="C547" s="46">
        <v>2015</v>
      </c>
      <c r="D547" s="45" t="s">
        <v>121</v>
      </c>
      <c r="E547" s="47">
        <v>5</v>
      </c>
      <c r="F547" s="48">
        <v>12.9</v>
      </c>
      <c r="G547" s="48">
        <v>62.9</v>
      </c>
    </row>
    <row r="548" spans="1:7" ht="10.050000000000001" customHeight="1">
      <c r="A548" s="45" t="s">
        <v>150</v>
      </c>
      <c r="B548" s="45" t="s">
        <v>89</v>
      </c>
      <c r="C548" s="46">
        <v>2015</v>
      </c>
      <c r="D548" s="45" t="s">
        <v>121</v>
      </c>
      <c r="E548" s="47">
        <v>6</v>
      </c>
      <c r="F548" s="48">
        <v>12.7</v>
      </c>
      <c r="G548" s="48">
        <v>50.2</v>
      </c>
    </row>
    <row r="549" spans="1:7" ht="10.050000000000001" customHeight="1">
      <c r="A549" s="45" t="s">
        <v>150</v>
      </c>
      <c r="B549" s="45" t="s">
        <v>89</v>
      </c>
      <c r="C549" s="46">
        <v>2015</v>
      </c>
      <c r="D549" s="45" t="s">
        <v>122</v>
      </c>
      <c r="E549" s="47">
        <v>7</v>
      </c>
      <c r="F549" s="48">
        <v>17.399999999999999</v>
      </c>
      <c r="G549" s="48">
        <v>32.799999999999997</v>
      </c>
    </row>
    <row r="550" spans="1:7" ht="10.050000000000001" customHeight="1">
      <c r="A550" s="45" t="s">
        <v>150</v>
      </c>
      <c r="B550" s="45" t="s">
        <v>89</v>
      </c>
      <c r="C550" s="46">
        <v>2015</v>
      </c>
      <c r="D550" s="45" t="s">
        <v>122</v>
      </c>
      <c r="E550" s="47">
        <v>8</v>
      </c>
      <c r="F550" s="48">
        <v>9.9</v>
      </c>
      <c r="G550" s="48">
        <v>28.9</v>
      </c>
    </row>
    <row r="551" spans="1:7" ht="10.050000000000001" customHeight="1">
      <c r="A551" s="45" t="s">
        <v>150</v>
      </c>
      <c r="B551" s="45" t="s">
        <v>89</v>
      </c>
      <c r="C551" s="46">
        <v>2015</v>
      </c>
      <c r="D551" s="45" t="s">
        <v>122</v>
      </c>
      <c r="E551" s="47">
        <v>9</v>
      </c>
      <c r="F551" s="48">
        <v>15.5</v>
      </c>
      <c r="G551" s="48">
        <v>37</v>
      </c>
    </row>
    <row r="552" spans="1:7" ht="10.050000000000001" customHeight="1">
      <c r="A552" s="45" t="s">
        <v>150</v>
      </c>
      <c r="B552" s="45" t="s">
        <v>89</v>
      </c>
      <c r="C552" s="46">
        <v>2015</v>
      </c>
      <c r="D552" s="45" t="s">
        <v>122</v>
      </c>
      <c r="E552" s="47">
        <v>10</v>
      </c>
      <c r="F552" s="48">
        <v>20.8</v>
      </c>
      <c r="G552" s="48">
        <v>16.2</v>
      </c>
    </row>
    <row r="553" spans="1:7" ht="10.050000000000001" customHeight="1">
      <c r="A553" s="45" t="s">
        <v>150</v>
      </c>
      <c r="B553" s="45" t="s">
        <v>89</v>
      </c>
      <c r="C553" s="46">
        <v>2015</v>
      </c>
      <c r="D553" s="45" t="s">
        <v>122</v>
      </c>
      <c r="E553" s="47">
        <v>11</v>
      </c>
      <c r="F553" s="48">
        <v>6.2</v>
      </c>
      <c r="G553" s="48">
        <v>10</v>
      </c>
    </row>
    <row r="554" spans="1:7" ht="10.050000000000001" customHeight="1">
      <c r="A554" s="45" t="s">
        <v>150</v>
      </c>
      <c r="B554" s="45" t="s">
        <v>89</v>
      </c>
      <c r="C554" s="46">
        <v>2015</v>
      </c>
      <c r="D554" s="45" t="s">
        <v>122</v>
      </c>
      <c r="E554" s="47">
        <v>12</v>
      </c>
      <c r="F554" s="48">
        <v>2.6</v>
      </c>
      <c r="G554" s="48">
        <v>18.8</v>
      </c>
    </row>
    <row r="555" spans="1:7" ht="10.050000000000001" customHeight="1">
      <c r="A555" s="45" t="s">
        <v>150</v>
      </c>
      <c r="B555" s="45" t="s">
        <v>89</v>
      </c>
      <c r="C555" s="46">
        <v>2016</v>
      </c>
      <c r="D555" s="45" t="s">
        <v>122</v>
      </c>
      <c r="E555" s="47">
        <v>1</v>
      </c>
      <c r="F555" s="48">
        <v>0</v>
      </c>
      <c r="G555" s="48">
        <v>31.9</v>
      </c>
    </row>
    <row r="556" spans="1:7" ht="10.050000000000001" customHeight="1">
      <c r="A556" s="45" t="s">
        <v>150</v>
      </c>
      <c r="B556" s="45" t="s">
        <v>89</v>
      </c>
      <c r="C556" s="46">
        <v>2016</v>
      </c>
      <c r="D556" s="45" t="s">
        <v>122</v>
      </c>
      <c r="E556" s="47">
        <v>2</v>
      </c>
      <c r="F556" s="48">
        <v>1.4</v>
      </c>
      <c r="G556" s="48">
        <v>30.5</v>
      </c>
    </row>
    <row r="557" spans="1:7" ht="10.050000000000001" customHeight="1">
      <c r="A557" s="45" t="s">
        <v>150</v>
      </c>
      <c r="B557" s="45" t="s">
        <v>89</v>
      </c>
      <c r="C557" s="46">
        <v>2016</v>
      </c>
      <c r="D557" s="45" t="s">
        <v>122</v>
      </c>
      <c r="E557" s="47">
        <v>3</v>
      </c>
      <c r="F557" s="48">
        <v>0</v>
      </c>
      <c r="G557" s="48">
        <v>30.5</v>
      </c>
    </row>
    <row r="558" spans="1:7" ht="10.050000000000001" customHeight="1">
      <c r="A558" s="45" t="s">
        <v>150</v>
      </c>
      <c r="B558" s="45" t="s">
        <v>89</v>
      </c>
      <c r="C558" s="46">
        <v>2016</v>
      </c>
      <c r="D558" s="45" t="s">
        <v>122</v>
      </c>
      <c r="E558" s="47">
        <v>4</v>
      </c>
      <c r="F558" s="48">
        <v>2.7</v>
      </c>
      <c r="G558" s="48">
        <v>37.299999999999997</v>
      </c>
    </row>
    <row r="559" spans="1:7" ht="10.050000000000001" customHeight="1">
      <c r="A559" s="45" t="s">
        <v>150</v>
      </c>
      <c r="B559" s="45" t="s">
        <v>89</v>
      </c>
      <c r="C559" s="46">
        <v>2016</v>
      </c>
      <c r="D559" s="45" t="s">
        <v>122</v>
      </c>
      <c r="E559" s="47">
        <v>5</v>
      </c>
      <c r="F559" s="48">
        <v>9.1</v>
      </c>
      <c r="G559" s="48">
        <v>33.5</v>
      </c>
    </row>
    <row r="560" spans="1:7" ht="10.050000000000001" customHeight="1">
      <c r="A560" s="45" t="s">
        <v>150</v>
      </c>
      <c r="B560" s="45" t="s">
        <v>89</v>
      </c>
      <c r="C560" s="46">
        <v>2016</v>
      </c>
      <c r="D560" s="45" t="s">
        <v>122</v>
      </c>
      <c r="E560" s="47">
        <v>6</v>
      </c>
      <c r="F560" s="48">
        <v>9.5</v>
      </c>
      <c r="G560" s="48">
        <v>24</v>
      </c>
    </row>
    <row r="561" spans="1:7" ht="10.050000000000001" customHeight="1">
      <c r="A561" s="45" t="s">
        <v>150</v>
      </c>
      <c r="B561" s="45" t="s">
        <v>89</v>
      </c>
      <c r="C561" s="46">
        <v>2016</v>
      </c>
      <c r="D561" s="45" t="s">
        <v>123</v>
      </c>
      <c r="E561" s="47">
        <v>7</v>
      </c>
      <c r="F561" s="48">
        <v>8.9</v>
      </c>
      <c r="G561" s="48">
        <v>15.1</v>
      </c>
    </row>
    <row r="562" spans="1:7" ht="10.050000000000001" customHeight="1">
      <c r="A562" s="45" t="s">
        <v>150</v>
      </c>
      <c r="B562" s="45" t="s">
        <v>89</v>
      </c>
      <c r="C562" s="46">
        <v>2016</v>
      </c>
      <c r="D562" s="45" t="s">
        <v>123</v>
      </c>
      <c r="E562" s="47">
        <v>8</v>
      </c>
      <c r="F562" s="48">
        <v>0.4</v>
      </c>
      <c r="G562" s="48">
        <v>39.700000000000003</v>
      </c>
    </row>
    <row r="563" spans="1:7" ht="10.050000000000001" customHeight="1">
      <c r="A563" s="45" t="s">
        <v>150</v>
      </c>
      <c r="B563" s="45" t="s">
        <v>89</v>
      </c>
      <c r="C563" s="46">
        <v>2016</v>
      </c>
      <c r="D563" s="45" t="s">
        <v>123</v>
      </c>
      <c r="E563" s="47">
        <v>9</v>
      </c>
      <c r="F563" s="48">
        <v>0</v>
      </c>
      <c r="G563" s="48">
        <v>39.700000000000003</v>
      </c>
    </row>
    <row r="564" spans="1:7" ht="10.050000000000001" customHeight="1">
      <c r="A564" s="45" t="s">
        <v>150</v>
      </c>
      <c r="B564" s="45" t="s">
        <v>89</v>
      </c>
      <c r="C564" s="46">
        <v>2016</v>
      </c>
      <c r="D564" s="45" t="s">
        <v>123</v>
      </c>
      <c r="E564" s="47">
        <v>10</v>
      </c>
      <c r="F564" s="48">
        <v>46.265000000000001</v>
      </c>
      <c r="G564" s="48">
        <v>38.700000000000003</v>
      </c>
    </row>
    <row r="565" spans="1:7" ht="10.050000000000001" customHeight="1">
      <c r="A565" s="45" t="s">
        <v>150</v>
      </c>
      <c r="B565" s="45" t="s">
        <v>89</v>
      </c>
      <c r="C565" s="46">
        <v>2016</v>
      </c>
      <c r="D565" s="45" t="s">
        <v>123</v>
      </c>
      <c r="E565" s="47">
        <v>11</v>
      </c>
      <c r="F565" s="48">
        <v>3.5</v>
      </c>
      <c r="G565" s="48">
        <v>35.200000000000003</v>
      </c>
    </row>
    <row r="566" spans="1:7" ht="10.050000000000001" customHeight="1">
      <c r="A566" s="45" t="s">
        <v>150</v>
      </c>
      <c r="B566" s="45" t="s">
        <v>89</v>
      </c>
      <c r="C566" s="46">
        <v>2016</v>
      </c>
      <c r="D566" s="45" t="s">
        <v>123</v>
      </c>
      <c r="E566" s="47">
        <v>12</v>
      </c>
      <c r="F566" s="48">
        <v>3.83</v>
      </c>
      <c r="G566" s="48">
        <v>31.37</v>
      </c>
    </row>
    <row r="567" spans="1:7" ht="10.050000000000001" customHeight="1">
      <c r="A567" s="45" t="s">
        <v>150</v>
      </c>
      <c r="B567" s="45" t="s">
        <v>89</v>
      </c>
      <c r="C567" s="46">
        <v>2017</v>
      </c>
      <c r="D567" s="45" t="s">
        <v>123</v>
      </c>
      <c r="E567" s="47">
        <v>1</v>
      </c>
      <c r="F567" s="48">
        <v>0.26</v>
      </c>
      <c r="G567" s="48">
        <v>17.239999999999998</v>
      </c>
    </row>
    <row r="568" spans="1:7" ht="10.050000000000001" customHeight="1">
      <c r="A568" s="45" t="s">
        <v>150</v>
      </c>
      <c r="B568" s="45" t="s">
        <v>89</v>
      </c>
      <c r="C568" s="46">
        <v>2017</v>
      </c>
      <c r="D568" s="45" t="s">
        <v>123</v>
      </c>
      <c r="E568" s="47">
        <v>2</v>
      </c>
      <c r="F568" s="48">
        <v>1.915</v>
      </c>
      <c r="G568" s="48">
        <v>15.324999999999999</v>
      </c>
    </row>
    <row r="569" spans="1:7" ht="10.050000000000001" customHeight="1">
      <c r="A569" s="45" t="s">
        <v>150</v>
      </c>
      <c r="B569" s="45" t="s">
        <v>89</v>
      </c>
      <c r="C569" s="46">
        <v>2017</v>
      </c>
      <c r="D569" s="45" t="s">
        <v>123</v>
      </c>
      <c r="E569" s="47">
        <v>3</v>
      </c>
      <c r="F569" s="48">
        <v>2.234</v>
      </c>
      <c r="G569" s="48">
        <v>13.090999999999999</v>
      </c>
    </row>
    <row r="570" spans="1:7" ht="10.050000000000001" customHeight="1">
      <c r="A570" s="45" t="s">
        <v>150</v>
      </c>
      <c r="B570" s="45" t="s">
        <v>89</v>
      </c>
      <c r="C570" s="46">
        <v>2017</v>
      </c>
      <c r="D570" s="45" t="s">
        <v>123</v>
      </c>
      <c r="E570" s="47">
        <v>4</v>
      </c>
      <c r="F570" s="48">
        <v>3.29</v>
      </c>
      <c r="G570" s="48">
        <v>9.8010000000000002</v>
      </c>
    </row>
    <row r="571" spans="1:7" ht="10.050000000000001" customHeight="1">
      <c r="A571" s="45" t="s">
        <v>150</v>
      </c>
      <c r="B571" s="45" t="s">
        <v>89</v>
      </c>
      <c r="C571" s="46">
        <v>2017</v>
      </c>
      <c r="D571" s="45" t="s">
        <v>123</v>
      </c>
      <c r="E571" s="47">
        <v>5</v>
      </c>
      <c r="F571" s="48">
        <v>2.6320000000000001</v>
      </c>
      <c r="G571" s="48">
        <v>7.1689999999999996</v>
      </c>
    </row>
    <row r="572" spans="1:7" ht="10.050000000000001" customHeight="1">
      <c r="A572" s="45" t="s">
        <v>150</v>
      </c>
      <c r="B572" s="45" t="s">
        <v>89</v>
      </c>
      <c r="C572" s="46">
        <v>2017</v>
      </c>
      <c r="D572" s="45" t="s">
        <v>123</v>
      </c>
      <c r="E572" s="47">
        <v>6</v>
      </c>
      <c r="F572" s="48">
        <v>0</v>
      </c>
      <c r="G572" s="48">
        <v>7.1680000000000001</v>
      </c>
    </row>
    <row r="573" spans="1:7" ht="10.050000000000001" customHeight="1">
      <c r="A573" s="45" t="s">
        <v>150</v>
      </c>
      <c r="B573" s="45" t="s">
        <v>89</v>
      </c>
      <c r="C573" s="46">
        <v>2017</v>
      </c>
      <c r="D573" s="45" t="s">
        <v>124</v>
      </c>
      <c r="E573" s="47">
        <v>7</v>
      </c>
      <c r="F573" s="48">
        <v>1.7390000000000001</v>
      </c>
      <c r="G573" s="48">
        <v>5.4290000000000003</v>
      </c>
    </row>
    <row r="574" spans="1:7" ht="10.050000000000001" customHeight="1">
      <c r="A574" s="45" t="s">
        <v>150</v>
      </c>
      <c r="B574" s="45" t="s">
        <v>89</v>
      </c>
      <c r="C574" s="46">
        <v>2017</v>
      </c>
      <c r="D574" s="45" t="s">
        <v>124</v>
      </c>
      <c r="E574" s="47">
        <v>8</v>
      </c>
      <c r="F574" s="48">
        <v>0</v>
      </c>
      <c r="G574" s="48">
        <v>5.4290000000000003</v>
      </c>
    </row>
    <row r="575" spans="1:7" ht="10.050000000000001" customHeight="1">
      <c r="A575" s="45" t="s">
        <v>150</v>
      </c>
      <c r="B575" s="45" t="s">
        <v>89</v>
      </c>
      <c r="C575" s="46">
        <v>2017</v>
      </c>
      <c r="D575" s="45" t="s">
        <v>124</v>
      </c>
      <c r="E575" s="47">
        <v>9</v>
      </c>
      <c r="F575" s="48">
        <v>60.813000000000002</v>
      </c>
      <c r="G575" s="48">
        <v>31.169</v>
      </c>
    </row>
    <row r="576" spans="1:7" ht="10.050000000000001" customHeight="1">
      <c r="A576" s="45" t="s">
        <v>150</v>
      </c>
      <c r="B576" s="45" t="s">
        <v>89</v>
      </c>
      <c r="C576" s="46">
        <v>2017</v>
      </c>
      <c r="D576" s="45" t="s">
        <v>124</v>
      </c>
      <c r="E576" s="47">
        <v>10</v>
      </c>
      <c r="F576" s="48">
        <v>100.989</v>
      </c>
      <c r="G576" s="48">
        <v>62.344999999999999</v>
      </c>
    </row>
    <row r="577" spans="1:7" ht="10.050000000000001" customHeight="1">
      <c r="A577" s="45" t="s">
        <v>150</v>
      </c>
      <c r="B577" s="45" t="s">
        <v>89</v>
      </c>
      <c r="C577" s="46">
        <v>2017</v>
      </c>
      <c r="D577" s="45" t="s">
        <v>124</v>
      </c>
      <c r="E577" s="47">
        <v>11</v>
      </c>
      <c r="F577" s="48">
        <v>57.747999999999998</v>
      </c>
      <c r="G577" s="48">
        <v>47.57</v>
      </c>
    </row>
    <row r="578" spans="1:7" ht="10.050000000000001" customHeight="1">
      <c r="A578" s="45" t="s">
        <v>150</v>
      </c>
      <c r="B578" s="45" t="s">
        <v>89</v>
      </c>
      <c r="C578" s="46">
        <v>2017</v>
      </c>
      <c r="D578" s="45" t="s">
        <v>124</v>
      </c>
      <c r="E578" s="47">
        <v>12</v>
      </c>
      <c r="F578" s="48">
        <v>52.098999999999997</v>
      </c>
      <c r="G578" s="48">
        <v>12.332000000000001</v>
      </c>
    </row>
    <row r="579" spans="1:7" ht="10.050000000000001" customHeight="1">
      <c r="A579" s="45" t="s">
        <v>150</v>
      </c>
      <c r="B579" s="45" t="s">
        <v>89</v>
      </c>
      <c r="C579" s="46">
        <v>2018</v>
      </c>
      <c r="D579" s="45" t="s">
        <v>124</v>
      </c>
      <c r="E579" s="47">
        <v>1</v>
      </c>
      <c r="F579" s="48">
        <v>33.442</v>
      </c>
      <c r="G579" s="48">
        <v>10.1</v>
      </c>
    </row>
    <row r="580" spans="1:7" ht="10.050000000000001" customHeight="1">
      <c r="A580" s="45" t="s">
        <v>150</v>
      </c>
      <c r="B580" s="45" t="s">
        <v>89</v>
      </c>
      <c r="C580" s="46">
        <v>2018</v>
      </c>
      <c r="D580" s="45" t="s">
        <v>124</v>
      </c>
      <c r="E580" s="47">
        <v>2</v>
      </c>
      <c r="F580" s="48">
        <v>27.263999999999999</v>
      </c>
      <c r="G580" s="48">
        <v>10.1</v>
      </c>
    </row>
    <row r="581" spans="1:7" ht="10.050000000000001" customHeight="1">
      <c r="A581" s="45" t="s">
        <v>150</v>
      </c>
      <c r="B581" s="45" t="s">
        <v>89</v>
      </c>
      <c r="C581" s="46">
        <v>2018</v>
      </c>
      <c r="D581" s="45" t="s">
        <v>124</v>
      </c>
      <c r="E581" s="47">
        <v>3</v>
      </c>
      <c r="F581" s="48">
        <v>51.076999999999998</v>
      </c>
      <c r="G581" s="48">
        <v>10.88</v>
      </c>
    </row>
    <row r="582" spans="1:7" ht="10.050000000000001" customHeight="1">
      <c r="A582" s="45" t="s">
        <v>150</v>
      </c>
      <c r="B582" s="45" t="s">
        <v>89</v>
      </c>
      <c r="C582" s="46">
        <v>2018</v>
      </c>
      <c r="D582" s="45" t="s">
        <v>124</v>
      </c>
      <c r="E582" s="47">
        <v>4</v>
      </c>
      <c r="F582" s="48">
        <v>65.706999999999994</v>
      </c>
      <c r="G582" s="48">
        <v>9.1630000000000003</v>
      </c>
    </row>
    <row r="583" spans="1:7" ht="10.050000000000001" customHeight="1">
      <c r="A583" s="45" t="s">
        <v>150</v>
      </c>
      <c r="B583" s="45" t="s">
        <v>89</v>
      </c>
      <c r="C583" s="46">
        <v>2018</v>
      </c>
      <c r="D583" s="45" t="s">
        <v>124</v>
      </c>
      <c r="E583" s="47">
        <v>5</v>
      </c>
      <c r="F583" s="48">
        <v>36.991</v>
      </c>
      <c r="G583" s="48">
        <v>7.6459999999999999</v>
      </c>
    </row>
    <row r="584" spans="1:7" ht="10.050000000000001" customHeight="1">
      <c r="A584" s="45" t="s">
        <v>150</v>
      </c>
      <c r="B584" s="45" t="s">
        <v>89</v>
      </c>
      <c r="C584" s="46">
        <v>2018</v>
      </c>
      <c r="D584" s="45" t="s">
        <v>124</v>
      </c>
      <c r="E584" s="47">
        <v>6</v>
      </c>
      <c r="F584" s="48">
        <v>56.719000000000001</v>
      </c>
      <c r="G584" s="48">
        <v>33.6</v>
      </c>
    </row>
    <row r="585" spans="1:7" ht="10.050000000000001" customHeight="1">
      <c r="A585" s="45" t="s">
        <v>150</v>
      </c>
      <c r="B585" s="45" t="s">
        <v>89</v>
      </c>
      <c r="C585" s="46">
        <v>2018</v>
      </c>
      <c r="D585" s="45" t="s">
        <v>125</v>
      </c>
      <c r="E585" s="47">
        <v>7</v>
      </c>
      <c r="F585" s="48">
        <v>54.286999999999999</v>
      </c>
      <c r="G585" s="48">
        <v>29.68</v>
      </c>
    </row>
    <row r="586" spans="1:7" ht="10.050000000000001" customHeight="1">
      <c r="A586" s="45" t="s">
        <v>150</v>
      </c>
      <c r="B586" s="45" t="s">
        <v>89</v>
      </c>
      <c r="C586" s="46">
        <v>2018</v>
      </c>
      <c r="D586" s="45" t="s">
        <v>125</v>
      </c>
      <c r="E586" s="47">
        <v>8</v>
      </c>
      <c r="F586" s="48">
        <v>53.743000000000002</v>
      </c>
      <c r="G586" s="48">
        <v>22.68</v>
      </c>
    </row>
    <row r="587" spans="1:7" ht="10.050000000000001" customHeight="1">
      <c r="A587" s="45" t="s">
        <v>150</v>
      </c>
      <c r="B587" s="45" t="s">
        <v>89</v>
      </c>
      <c r="C587" s="46">
        <v>2018</v>
      </c>
      <c r="D587" s="45" t="s">
        <v>125</v>
      </c>
      <c r="E587" s="47">
        <v>9</v>
      </c>
      <c r="F587" s="48">
        <v>57.192</v>
      </c>
      <c r="G587" s="48">
        <v>20.95</v>
      </c>
    </row>
    <row r="588" spans="1:7" ht="10.050000000000001" customHeight="1">
      <c r="A588" s="45" t="s">
        <v>150</v>
      </c>
      <c r="B588" s="45" t="s">
        <v>89</v>
      </c>
      <c r="C588" s="46">
        <v>2018</v>
      </c>
      <c r="D588" s="45" t="s">
        <v>125</v>
      </c>
      <c r="E588" s="47">
        <v>10</v>
      </c>
      <c r="F588" s="48">
        <v>78.909000000000006</v>
      </c>
      <c r="G588" s="48">
        <v>19.95</v>
      </c>
    </row>
    <row r="589" spans="1:7" ht="10.050000000000001" customHeight="1">
      <c r="A589" s="45" t="s">
        <v>150</v>
      </c>
      <c r="B589" s="45" t="s">
        <v>89</v>
      </c>
      <c r="C589" s="46">
        <v>2018</v>
      </c>
      <c r="D589" s="45" t="s">
        <v>125</v>
      </c>
      <c r="E589" s="47">
        <v>11</v>
      </c>
      <c r="F589" s="48">
        <v>96.55</v>
      </c>
      <c r="G589" s="48">
        <v>19.95</v>
      </c>
    </row>
    <row r="590" spans="1:7" ht="10.050000000000001" customHeight="1">
      <c r="A590" s="45" t="s">
        <v>150</v>
      </c>
      <c r="B590" s="45" t="s">
        <v>89</v>
      </c>
      <c r="C590" s="46">
        <v>2018</v>
      </c>
      <c r="D590" s="45" t="s">
        <v>125</v>
      </c>
      <c r="E590" s="47">
        <v>12</v>
      </c>
      <c r="F590" s="48">
        <v>52.084000000000003</v>
      </c>
      <c r="G590" s="48">
        <v>8.1</v>
      </c>
    </row>
    <row r="591" spans="1:7" ht="10.050000000000001" customHeight="1">
      <c r="A591" s="45" t="s">
        <v>150</v>
      </c>
      <c r="B591" s="45" t="s">
        <v>89</v>
      </c>
      <c r="C591" s="46">
        <v>2019</v>
      </c>
      <c r="D591" s="45" t="s">
        <v>125</v>
      </c>
      <c r="E591" s="47">
        <v>1</v>
      </c>
      <c r="F591" s="48">
        <v>61.435000000000002</v>
      </c>
      <c r="G591" s="48">
        <v>1</v>
      </c>
    </row>
    <row r="592" spans="1:7" ht="10.050000000000001" customHeight="1">
      <c r="A592" s="45" t="s">
        <v>150</v>
      </c>
      <c r="B592" s="45" t="s">
        <v>89</v>
      </c>
      <c r="C592" s="46">
        <v>2019</v>
      </c>
      <c r="D592" s="45" t="s">
        <v>125</v>
      </c>
      <c r="E592" s="47">
        <v>2</v>
      </c>
      <c r="F592" s="48">
        <v>38.338000000000001</v>
      </c>
      <c r="G592" s="48">
        <v>1</v>
      </c>
    </row>
    <row r="593" spans="1:7" ht="10.050000000000001" customHeight="1">
      <c r="A593" s="45" t="s">
        <v>150</v>
      </c>
      <c r="B593" s="45" t="s">
        <v>89</v>
      </c>
      <c r="C593" s="46">
        <v>2019</v>
      </c>
      <c r="D593" s="45" t="s">
        <v>125</v>
      </c>
      <c r="E593" s="47">
        <v>3</v>
      </c>
      <c r="F593" s="48">
        <v>40.204000000000001</v>
      </c>
      <c r="G593" s="48">
        <v>1</v>
      </c>
    </row>
    <row r="594" spans="1:7" ht="10.050000000000001" customHeight="1">
      <c r="A594" s="45" t="s">
        <v>150</v>
      </c>
      <c r="B594" s="45" t="s">
        <v>89</v>
      </c>
      <c r="C594" s="46">
        <v>2019</v>
      </c>
      <c r="D594" s="45" t="s">
        <v>125</v>
      </c>
      <c r="E594" s="47">
        <v>4</v>
      </c>
      <c r="F594" s="48">
        <v>33.15</v>
      </c>
      <c r="G594" s="48">
        <v>1</v>
      </c>
    </row>
    <row r="595" spans="1:7" ht="10.050000000000001" customHeight="1">
      <c r="A595" s="45" t="s">
        <v>150</v>
      </c>
      <c r="B595" s="45" t="s">
        <v>89</v>
      </c>
      <c r="C595" s="46">
        <v>2019</v>
      </c>
      <c r="D595" s="45" t="s">
        <v>125</v>
      </c>
      <c r="E595" s="47">
        <v>5</v>
      </c>
      <c r="F595" s="48">
        <v>35.814</v>
      </c>
      <c r="G595" s="48">
        <v>51.74</v>
      </c>
    </row>
    <row r="596" spans="1:7" ht="10.050000000000001" customHeight="1">
      <c r="A596" s="45" t="s">
        <v>150</v>
      </c>
      <c r="B596" s="45" t="s">
        <v>89</v>
      </c>
      <c r="C596" s="46">
        <v>2019</v>
      </c>
      <c r="D596" s="45" t="s">
        <v>125</v>
      </c>
      <c r="E596" s="47">
        <v>6</v>
      </c>
      <c r="F596" s="48">
        <v>32.832999999999998</v>
      </c>
      <c r="G596" s="48">
        <v>50.74</v>
      </c>
    </row>
    <row r="597" spans="1:7" ht="10.050000000000001" customHeight="1">
      <c r="A597" s="45" t="s">
        <v>150</v>
      </c>
      <c r="B597" s="45" t="s">
        <v>89</v>
      </c>
      <c r="C597" s="46">
        <v>2019</v>
      </c>
      <c r="D597" s="45" t="s">
        <v>126</v>
      </c>
      <c r="E597" s="47">
        <v>7</v>
      </c>
      <c r="F597" s="48">
        <v>82.256</v>
      </c>
      <c r="G597" s="48">
        <v>35.56</v>
      </c>
    </row>
    <row r="598" spans="1:7" ht="10.050000000000001" customHeight="1">
      <c r="A598" s="45" t="s">
        <v>150</v>
      </c>
      <c r="B598" s="45" t="s">
        <v>89</v>
      </c>
      <c r="C598" s="46">
        <v>2019</v>
      </c>
      <c r="D598" s="45" t="s">
        <v>126</v>
      </c>
      <c r="E598" s="47">
        <v>8</v>
      </c>
      <c r="F598" s="48">
        <v>10.603999999999999</v>
      </c>
      <c r="G598" s="48">
        <v>74.756</v>
      </c>
    </row>
    <row r="599" spans="1:7" ht="10.050000000000001" customHeight="1">
      <c r="A599" s="45" t="s">
        <v>150</v>
      </c>
      <c r="B599" s="45" t="s">
        <v>89</v>
      </c>
      <c r="C599" s="46">
        <v>2019</v>
      </c>
      <c r="D599" s="45" t="s">
        <v>126</v>
      </c>
      <c r="E599" s="47">
        <v>9</v>
      </c>
      <c r="F599" s="48">
        <v>35.28</v>
      </c>
      <c r="G599" s="48">
        <v>39.475999999999999</v>
      </c>
    </row>
    <row r="600" spans="1:7" ht="10.050000000000001" customHeight="1">
      <c r="A600" s="45" t="s">
        <v>150</v>
      </c>
      <c r="B600" s="45" t="s">
        <v>89</v>
      </c>
      <c r="C600" s="46">
        <v>2019</v>
      </c>
      <c r="D600" s="45" t="s">
        <v>126</v>
      </c>
      <c r="E600" s="47">
        <v>10</v>
      </c>
      <c r="F600" s="48">
        <v>52.476999999999997</v>
      </c>
      <c r="G600" s="48">
        <v>19.315999999999999</v>
      </c>
    </row>
    <row r="601" spans="1:7" ht="10.050000000000001" customHeight="1">
      <c r="A601" s="45" t="s">
        <v>150</v>
      </c>
      <c r="B601" s="45" t="s">
        <v>89</v>
      </c>
      <c r="C601" s="46">
        <v>2019</v>
      </c>
      <c r="D601" s="45" t="s">
        <v>126</v>
      </c>
      <c r="E601" s="47">
        <v>11</v>
      </c>
      <c r="F601" s="48">
        <v>35.406999999999996</v>
      </c>
      <c r="G601" s="48">
        <v>0</v>
      </c>
    </row>
    <row r="602" spans="1:7" ht="10.050000000000001" customHeight="1">
      <c r="A602" s="45" t="s">
        <v>150</v>
      </c>
      <c r="B602" s="45" t="s">
        <v>89</v>
      </c>
      <c r="C602" s="46">
        <v>2020</v>
      </c>
      <c r="D602" s="45" t="s">
        <v>126</v>
      </c>
      <c r="E602" s="47">
        <v>1</v>
      </c>
      <c r="F602" s="48">
        <v>36.423999999999999</v>
      </c>
      <c r="G602" s="48">
        <v>0</v>
      </c>
    </row>
    <row r="603" spans="1:7" ht="10.050000000000001" customHeight="1">
      <c r="A603" s="45" t="s">
        <v>150</v>
      </c>
      <c r="B603" s="45" t="s">
        <v>89</v>
      </c>
      <c r="C603" s="46">
        <v>2020</v>
      </c>
      <c r="D603" s="45" t="s">
        <v>126</v>
      </c>
      <c r="E603" s="47">
        <v>2</v>
      </c>
      <c r="F603" s="48">
        <v>11.955</v>
      </c>
      <c r="G603" s="48">
        <v>0</v>
      </c>
    </row>
    <row r="604" spans="1:7" ht="10.050000000000001" customHeight="1">
      <c r="A604" s="45" t="s">
        <v>150</v>
      </c>
      <c r="B604" s="45" t="s">
        <v>89</v>
      </c>
      <c r="C604" s="46">
        <v>2020</v>
      </c>
      <c r="D604" s="45" t="s">
        <v>126</v>
      </c>
      <c r="E604" s="47">
        <v>3</v>
      </c>
      <c r="F604" s="48">
        <v>4.3819999999999997</v>
      </c>
      <c r="G604" s="48">
        <v>0</v>
      </c>
    </row>
    <row r="605" spans="1:7" ht="10.050000000000001" customHeight="1">
      <c r="A605" s="45" t="s">
        <v>150</v>
      </c>
      <c r="B605" s="45" t="s">
        <v>89</v>
      </c>
      <c r="C605" s="46">
        <v>2020</v>
      </c>
      <c r="D605" s="45" t="s">
        <v>126</v>
      </c>
      <c r="E605" s="47">
        <v>5</v>
      </c>
      <c r="F605" s="48">
        <v>2.105</v>
      </c>
      <c r="G605" s="48">
        <v>0</v>
      </c>
    </row>
    <row r="606" spans="1:7" ht="10.050000000000001" customHeight="1">
      <c r="A606" s="45" t="s">
        <v>150</v>
      </c>
      <c r="B606" s="45" t="s">
        <v>89</v>
      </c>
      <c r="C606" s="46">
        <v>2020</v>
      </c>
      <c r="D606" s="45" t="s">
        <v>126</v>
      </c>
      <c r="E606" s="47">
        <v>6</v>
      </c>
      <c r="F606" s="48">
        <v>65.3</v>
      </c>
      <c r="G606" s="48">
        <v>0</v>
      </c>
    </row>
    <row r="607" spans="1:7" ht="10.050000000000001" customHeight="1">
      <c r="A607" s="45" t="s">
        <v>150</v>
      </c>
      <c r="B607" s="45" t="s">
        <v>89</v>
      </c>
      <c r="C607" s="46">
        <v>2020</v>
      </c>
      <c r="D607" s="45" t="s">
        <v>128</v>
      </c>
      <c r="E607" s="47">
        <v>7</v>
      </c>
      <c r="F607" s="48">
        <v>1.962</v>
      </c>
      <c r="G607" s="48">
        <v>0</v>
      </c>
    </row>
    <row r="608" spans="1:7" ht="10.050000000000001" customHeight="1">
      <c r="A608" s="45" t="s">
        <v>150</v>
      </c>
      <c r="B608" s="45" t="s">
        <v>89</v>
      </c>
      <c r="C608" s="46">
        <v>2020</v>
      </c>
      <c r="D608" s="45" t="s">
        <v>128</v>
      </c>
      <c r="E608" s="47">
        <v>8</v>
      </c>
      <c r="F608" s="48">
        <v>4.335</v>
      </c>
      <c r="G608" s="48">
        <v>0</v>
      </c>
    </row>
    <row r="609" spans="1:7" ht="10.050000000000001" customHeight="1">
      <c r="A609" s="45" t="s">
        <v>150</v>
      </c>
      <c r="B609" s="45" t="s">
        <v>89</v>
      </c>
      <c r="C609" s="46">
        <v>2020</v>
      </c>
      <c r="D609" s="45" t="s">
        <v>128</v>
      </c>
      <c r="E609" s="47">
        <v>9</v>
      </c>
      <c r="F609" s="48">
        <v>7.7850000000000001</v>
      </c>
      <c r="G609" s="48">
        <v>0</v>
      </c>
    </row>
    <row r="610" spans="1:7" ht="10.050000000000001" customHeight="1">
      <c r="A610" s="45" t="s">
        <v>150</v>
      </c>
      <c r="B610" s="45" t="s">
        <v>89</v>
      </c>
      <c r="C610" s="46">
        <v>2020</v>
      </c>
      <c r="D610" s="45" t="s">
        <v>128</v>
      </c>
      <c r="E610" s="47">
        <v>10</v>
      </c>
      <c r="F610" s="48">
        <v>9.9179999999999993</v>
      </c>
      <c r="G610" s="48">
        <v>0</v>
      </c>
    </row>
    <row r="611" spans="1:7" ht="10.050000000000001" customHeight="1">
      <c r="A611" s="45" t="s">
        <v>150</v>
      </c>
      <c r="B611" s="45" t="s">
        <v>89</v>
      </c>
      <c r="C611" s="46">
        <v>2020</v>
      </c>
      <c r="D611" s="45" t="s">
        <v>128</v>
      </c>
      <c r="E611" s="47">
        <v>11</v>
      </c>
      <c r="F611" s="48">
        <v>8.9619999999999997</v>
      </c>
      <c r="G611" s="48">
        <v>0</v>
      </c>
    </row>
    <row r="612" spans="1:7" ht="10.050000000000001" customHeight="1">
      <c r="A612" s="45" t="s">
        <v>150</v>
      </c>
      <c r="B612" s="45" t="s">
        <v>89</v>
      </c>
      <c r="C612" s="46">
        <v>2020</v>
      </c>
      <c r="D612" s="45" t="s">
        <v>128</v>
      </c>
      <c r="E612" s="47">
        <v>12</v>
      </c>
      <c r="F612" s="48">
        <v>7.2469999999999999</v>
      </c>
      <c r="G612" s="48">
        <v>0</v>
      </c>
    </row>
    <row r="613" spans="1:7" ht="10.050000000000001" customHeight="1">
      <c r="A613" s="45" t="s">
        <v>150</v>
      </c>
      <c r="B613" s="45" t="s">
        <v>89</v>
      </c>
      <c r="C613" s="46">
        <v>2021</v>
      </c>
      <c r="D613" s="45" t="s">
        <v>128</v>
      </c>
      <c r="E613" s="47">
        <v>1</v>
      </c>
      <c r="F613" s="48">
        <v>8.6010000000000009</v>
      </c>
      <c r="G613" s="48">
        <v>0</v>
      </c>
    </row>
    <row r="614" spans="1:7" ht="10.050000000000001" customHeight="1">
      <c r="A614" s="45" t="s">
        <v>150</v>
      </c>
      <c r="B614" s="45" t="s">
        <v>89</v>
      </c>
      <c r="C614" s="46">
        <v>2021</v>
      </c>
      <c r="D614" s="45" t="s">
        <v>128</v>
      </c>
      <c r="E614" s="47">
        <v>2</v>
      </c>
      <c r="F614" s="48">
        <v>6.8789999999999996</v>
      </c>
      <c r="G614" s="48">
        <v>0</v>
      </c>
    </row>
    <row r="615" spans="1:7" ht="10.050000000000001" customHeight="1">
      <c r="A615" s="45" t="s">
        <v>150</v>
      </c>
      <c r="B615" s="45" t="s">
        <v>89</v>
      </c>
      <c r="C615" s="46">
        <v>2021</v>
      </c>
      <c r="D615" s="45" t="s">
        <v>128</v>
      </c>
      <c r="E615" s="47">
        <v>3</v>
      </c>
      <c r="F615" s="48">
        <v>16.98</v>
      </c>
      <c r="G615" s="48">
        <v>0</v>
      </c>
    </row>
    <row r="616" spans="1:7" ht="10.050000000000001" customHeight="1">
      <c r="A616" s="45" t="s">
        <v>150</v>
      </c>
      <c r="B616" s="45" t="s">
        <v>89</v>
      </c>
      <c r="C616" s="46">
        <v>2021</v>
      </c>
      <c r="D616" s="45" t="s">
        <v>128</v>
      </c>
      <c r="E616" s="47">
        <v>4</v>
      </c>
      <c r="F616" s="48">
        <v>17.835999999999999</v>
      </c>
      <c r="G616" s="48">
        <v>0</v>
      </c>
    </row>
    <row r="617" spans="1:7" ht="10.050000000000001" customHeight="1">
      <c r="A617" s="45" t="s">
        <v>150</v>
      </c>
      <c r="B617" s="45" t="s">
        <v>89</v>
      </c>
      <c r="C617" s="46">
        <v>2021</v>
      </c>
      <c r="D617" s="45" t="s">
        <v>128</v>
      </c>
      <c r="E617" s="47">
        <v>5</v>
      </c>
      <c r="F617" s="48">
        <v>9.1969999999999992</v>
      </c>
      <c r="G617" s="48">
        <v>0</v>
      </c>
    </row>
    <row r="618" spans="1:7" ht="10.050000000000001" customHeight="1">
      <c r="A618" s="45" t="s">
        <v>150</v>
      </c>
      <c r="B618" s="45" t="s">
        <v>89</v>
      </c>
      <c r="C618" s="46">
        <v>2021</v>
      </c>
      <c r="D618" s="45" t="s">
        <v>128</v>
      </c>
      <c r="E618" s="47">
        <v>6</v>
      </c>
      <c r="F618" s="48">
        <v>11.124000000000001</v>
      </c>
      <c r="G618" s="48">
        <v>0</v>
      </c>
    </row>
    <row r="619" spans="1:7" ht="10.050000000000001" customHeight="1">
      <c r="A619" s="45" t="s">
        <v>150</v>
      </c>
      <c r="B619" s="45" t="s">
        <v>89</v>
      </c>
      <c r="C619" s="46">
        <v>2021</v>
      </c>
      <c r="D619" s="45" t="s">
        <v>129</v>
      </c>
      <c r="E619" s="47">
        <v>7</v>
      </c>
      <c r="F619" s="48">
        <v>11.226000000000001</v>
      </c>
      <c r="G619" s="48">
        <v>0</v>
      </c>
    </row>
    <row r="620" spans="1:7" ht="10.050000000000001" customHeight="1">
      <c r="A620" s="45" t="s">
        <v>150</v>
      </c>
      <c r="B620" s="45" t="s">
        <v>89</v>
      </c>
      <c r="C620" s="46">
        <v>2021</v>
      </c>
      <c r="D620" s="45" t="s">
        <v>129</v>
      </c>
      <c r="E620" s="47">
        <v>8</v>
      </c>
      <c r="F620" s="48">
        <v>8.8729999999999993</v>
      </c>
      <c r="G620" s="48">
        <v>0</v>
      </c>
    </row>
    <row r="621" spans="1:7" ht="10.050000000000001" customHeight="1">
      <c r="A621" s="45" t="s">
        <v>150</v>
      </c>
      <c r="B621" s="45" t="s">
        <v>89</v>
      </c>
      <c r="C621" s="46">
        <v>2021</v>
      </c>
      <c r="D621" s="45" t="s">
        <v>129</v>
      </c>
      <c r="E621" s="47">
        <v>10</v>
      </c>
      <c r="F621" s="48">
        <v>10.965</v>
      </c>
      <c r="G621" s="48">
        <v>0</v>
      </c>
    </row>
    <row r="622" spans="1:7" ht="10.050000000000001" customHeight="1">
      <c r="A622" s="45" t="s">
        <v>150</v>
      </c>
      <c r="B622" s="45" t="s">
        <v>89</v>
      </c>
      <c r="C622" s="46">
        <v>2021</v>
      </c>
      <c r="D622" s="45" t="s">
        <v>129</v>
      </c>
      <c r="E622" s="47">
        <v>11</v>
      </c>
      <c r="F622" s="48">
        <v>8.9320000000000004</v>
      </c>
      <c r="G622" s="48">
        <v>0</v>
      </c>
    </row>
    <row r="623" spans="1:7" ht="10.050000000000001" customHeight="1">
      <c r="A623" s="45" t="s">
        <v>150</v>
      </c>
      <c r="B623" s="45" t="s">
        <v>89</v>
      </c>
      <c r="C623" s="46">
        <v>2021</v>
      </c>
      <c r="D623" s="45" t="s">
        <v>129</v>
      </c>
      <c r="E623" s="47">
        <v>12</v>
      </c>
      <c r="F623" s="48">
        <v>9.0120000000000005</v>
      </c>
      <c r="G623" s="48">
        <v>0</v>
      </c>
    </row>
    <row r="624" spans="1:7" ht="10.050000000000001" customHeight="1">
      <c r="A624" s="45" t="s">
        <v>150</v>
      </c>
      <c r="B624" s="45" t="s">
        <v>89</v>
      </c>
      <c r="C624" s="46">
        <v>2022</v>
      </c>
      <c r="D624" s="45" t="s">
        <v>129</v>
      </c>
      <c r="E624" s="47">
        <v>4</v>
      </c>
      <c r="F624" s="48">
        <v>8.4969999999999999</v>
      </c>
      <c r="G624" s="48">
        <v>0</v>
      </c>
    </row>
    <row r="625" spans="1:7" ht="10.050000000000001" customHeight="1">
      <c r="A625" s="45" t="s">
        <v>150</v>
      </c>
      <c r="B625" s="45" t="s">
        <v>89</v>
      </c>
      <c r="C625" s="46">
        <v>2022</v>
      </c>
      <c r="D625" s="45" t="s">
        <v>129</v>
      </c>
      <c r="E625" s="47">
        <v>5</v>
      </c>
      <c r="F625" s="48">
        <v>14.005000000000001</v>
      </c>
      <c r="G625" s="48">
        <v>0</v>
      </c>
    </row>
    <row r="626" spans="1:7" ht="10.050000000000001" customHeight="1">
      <c r="A626" s="45" t="s">
        <v>150</v>
      </c>
      <c r="B626" s="45" t="s">
        <v>89</v>
      </c>
      <c r="C626" s="46">
        <v>2022</v>
      </c>
      <c r="D626" s="45" t="s">
        <v>130</v>
      </c>
      <c r="E626" s="47">
        <v>7</v>
      </c>
      <c r="F626" s="48">
        <v>10.914</v>
      </c>
      <c r="G626" s="48">
        <v>0</v>
      </c>
    </row>
    <row r="627" spans="1:7" ht="10.050000000000001" customHeight="1">
      <c r="A627" s="45" t="s">
        <v>150</v>
      </c>
      <c r="B627" s="45" t="s">
        <v>89</v>
      </c>
      <c r="C627" s="46">
        <v>2022</v>
      </c>
      <c r="D627" s="45" t="s">
        <v>130</v>
      </c>
      <c r="E627" s="47">
        <v>8</v>
      </c>
      <c r="F627" s="48">
        <v>9.1999999999999993</v>
      </c>
      <c r="G627" s="48">
        <v>0</v>
      </c>
    </row>
    <row r="628" spans="1:7" ht="10.050000000000001" customHeight="1">
      <c r="A628" s="45" t="s">
        <v>150</v>
      </c>
      <c r="B628" s="45" t="s">
        <v>89</v>
      </c>
      <c r="C628" s="46">
        <v>2022</v>
      </c>
      <c r="D628" s="45" t="s">
        <v>130</v>
      </c>
      <c r="E628" s="47">
        <v>9</v>
      </c>
      <c r="F628" s="48">
        <v>10.061999999999999</v>
      </c>
      <c r="G628" s="48">
        <v>0</v>
      </c>
    </row>
    <row r="629" spans="1:7" ht="10.050000000000001" customHeight="1">
      <c r="A629" s="45" t="s">
        <v>150</v>
      </c>
      <c r="B629" s="45" t="s">
        <v>89</v>
      </c>
      <c r="C629" s="46">
        <v>2022</v>
      </c>
      <c r="D629" s="45" t="s">
        <v>130</v>
      </c>
      <c r="E629" s="47">
        <v>10</v>
      </c>
      <c r="F629" s="48">
        <v>11.148999999999999</v>
      </c>
      <c r="G629" s="48">
        <v>0</v>
      </c>
    </row>
    <row r="630" spans="1:7" ht="10.050000000000001" customHeight="1">
      <c r="A630" s="45" t="s">
        <v>150</v>
      </c>
      <c r="B630" s="45" t="s">
        <v>89</v>
      </c>
      <c r="C630" s="46">
        <v>2022</v>
      </c>
      <c r="D630" s="45" t="s">
        <v>130</v>
      </c>
      <c r="E630" s="47">
        <v>11</v>
      </c>
      <c r="F630" s="48">
        <v>9.0370000000000008</v>
      </c>
      <c r="G630" s="48">
        <v>0</v>
      </c>
    </row>
    <row r="631" spans="1:7" ht="10.050000000000001" customHeight="1">
      <c r="A631" s="45" t="s">
        <v>150</v>
      </c>
      <c r="B631" s="45" t="s">
        <v>89</v>
      </c>
      <c r="C631" s="46">
        <v>2022</v>
      </c>
      <c r="D631" s="45" t="s">
        <v>130</v>
      </c>
      <c r="E631" s="47">
        <v>12</v>
      </c>
      <c r="F631" s="48">
        <v>10.803000000000001</v>
      </c>
      <c r="G631" s="48">
        <v>0</v>
      </c>
    </row>
    <row r="632" spans="1:7" ht="10.050000000000001" customHeight="1">
      <c r="A632" s="45" t="s">
        <v>150</v>
      </c>
      <c r="B632" s="45" t="s">
        <v>89</v>
      </c>
      <c r="C632" s="46">
        <v>2023</v>
      </c>
      <c r="D632" s="45" t="s">
        <v>130</v>
      </c>
      <c r="E632" s="47">
        <v>1</v>
      </c>
      <c r="F632" s="48">
        <v>15.315</v>
      </c>
      <c r="G632" s="48">
        <v>0</v>
      </c>
    </row>
    <row r="633" spans="1:7" ht="10.050000000000001" customHeight="1">
      <c r="A633" s="45" t="s">
        <v>150</v>
      </c>
      <c r="B633" s="45" t="s">
        <v>89</v>
      </c>
      <c r="C633" s="46">
        <v>2023</v>
      </c>
      <c r="D633" s="45" t="s">
        <v>130</v>
      </c>
      <c r="E633" s="47">
        <v>2</v>
      </c>
      <c r="F633" s="48">
        <v>12.763999999999999</v>
      </c>
      <c r="G633" s="48">
        <v>0</v>
      </c>
    </row>
    <row r="634" spans="1:7" ht="10.050000000000001" customHeight="1">
      <c r="A634" s="45" t="s">
        <v>150</v>
      </c>
      <c r="B634" s="45" t="s">
        <v>89</v>
      </c>
      <c r="C634" s="46">
        <v>2023</v>
      </c>
      <c r="D634" s="45" t="s">
        <v>130</v>
      </c>
      <c r="E634" s="47">
        <v>3</v>
      </c>
      <c r="F634" s="48">
        <v>14.657999999999999</v>
      </c>
      <c r="G634" s="48">
        <v>0</v>
      </c>
    </row>
    <row r="635" spans="1:7" ht="10.050000000000001" customHeight="1">
      <c r="A635" s="45" t="s">
        <v>150</v>
      </c>
      <c r="B635" s="45" t="s">
        <v>89</v>
      </c>
      <c r="C635" s="46">
        <v>2023</v>
      </c>
      <c r="D635" s="45" t="s">
        <v>130</v>
      </c>
      <c r="E635" s="47">
        <v>4</v>
      </c>
      <c r="F635" s="48">
        <v>17.542999999999999</v>
      </c>
      <c r="G635" s="48">
        <v>0</v>
      </c>
    </row>
    <row r="636" spans="1:7" ht="10.050000000000001" customHeight="1">
      <c r="A636" s="45" t="s">
        <v>150</v>
      </c>
      <c r="B636" s="45" t="s">
        <v>89</v>
      </c>
      <c r="C636" s="46">
        <v>2023</v>
      </c>
      <c r="D636" s="45" t="s">
        <v>130</v>
      </c>
      <c r="E636" s="47">
        <v>6</v>
      </c>
      <c r="F636" s="48">
        <v>15.098000000000001</v>
      </c>
      <c r="G636" s="48">
        <v>0</v>
      </c>
    </row>
    <row r="637" spans="1:7" ht="10.050000000000001" customHeight="1">
      <c r="A637" s="45" t="s">
        <v>150</v>
      </c>
      <c r="B637" s="45" t="s">
        <v>89</v>
      </c>
      <c r="C637" s="46">
        <v>2023</v>
      </c>
      <c r="D637" s="45" t="s">
        <v>131</v>
      </c>
      <c r="E637" s="47">
        <v>7</v>
      </c>
      <c r="F637" s="48">
        <v>11.462999999999999</v>
      </c>
      <c r="G637" s="48">
        <v>0</v>
      </c>
    </row>
    <row r="638" spans="1:7" ht="10.050000000000001" customHeight="1">
      <c r="A638" s="45" t="s">
        <v>150</v>
      </c>
      <c r="B638" s="45" t="s">
        <v>89</v>
      </c>
      <c r="C638" s="46">
        <v>2023</v>
      </c>
      <c r="D638" s="45" t="s">
        <v>131</v>
      </c>
      <c r="E638" s="47">
        <v>8</v>
      </c>
      <c r="F638" s="48">
        <v>18.53</v>
      </c>
      <c r="G638" s="48">
        <v>0</v>
      </c>
    </row>
    <row r="639" spans="1:7" ht="10.050000000000001" customHeight="1">
      <c r="A639" s="45" t="s">
        <v>150</v>
      </c>
      <c r="B639" s="45" t="s">
        <v>89</v>
      </c>
      <c r="C639" s="46">
        <v>2023</v>
      </c>
      <c r="D639" s="45" t="s">
        <v>131</v>
      </c>
      <c r="E639" s="47">
        <v>9</v>
      </c>
      <c r="F639" s="48">
        <v>11.638</v>
      </c>
      <c r="G639" s="48">
        <v>0</v>
      </c>
    </row>
    <row r="640" spans="1:7" ht="10.050000000000001" customHeight="1">
      <c r="A640" s="45" t="s">
        <v>150</v>
      </c>
      <c r="B640" s="45" t="s">
        <v>89</v>
      </c>
      <c r="C640" s="46">
        <v>2023</v>
      </c>
      <c r="D640" s="45" t="s">
        <v>131</v>
      </c>
      <c r="E640" s="47">
        <v>10</v>
      </c>
      <c r="F640" s="48">
        <v>14.186999999999999</v>
      </c>
      <c r="G640" s="48">
        <v>0</v>
      </c>
    </row>
    <row r="641" spans="1:7" ht="10.050000000000001" customHeight="1">
      <c r="A641" s="45" t="s">
        <v>150</v>
      </c>
      <c r="B641" s="45" t="s">
        <v>89</v>
      </c>
      <c r="C641" s="46">
        <v>2023</v>
      </c>
      <c r="D641" s="45" t="s">
        <v>131</v>
      </c>
      <c r="E641" s="47">
        <v>11</v>
      </c>
      <c r="F641" s="48">
        <v>11.946999999999999</v>
      </c>
      <c r="G641" s="48">
        <v>0</v>
      </c>
    </row>
    <row r="642" spans="1:7" ht="10.050000000000001" customHeight="1">
      <c r="A642" s="45" t="s">
        <v>150</v>
      </c>
      <c r="B642" s="45" t="s">
        <v>89</v>
      </c>
      <c r="C642" s="46">
        <v>2023</v>
      </c>
      <c r="D642" s="45" t="s">
        <v>131</v>
      </c>
      <c r="E642" s="47">
        <v>12</v>
      </c>
      <c r="F642" s="48">
        <v>14.922000000000001</v>
      </c>
      <c r="G642" s="48">
        <v>0</v>
      </c>
    </row>
    <row r="643" spans="1:7" ht="10.050000000000001" customHeight="1">
      <c r="A643" s="45" t="s">
        <v>150</v>
      </c>
      <c r="B643" s="45" t="s">
        <v>89</v>
      </c>
      <c r="C643" s="46">
        <v>2024</v>
      </c>
      <c r="D643" s="45" t="s">
        <v>131</v>
      </c>
      <c r="E643" s="47">
        <v>1</v>
      </c>
      <c r="F643" s="48">
        <v>11.852</v>
      </c>
      <c r="G643" s="48">
        <v>0</v>
      </c>
    </row>
    <row r="644" spans="1:7" ht="10.050000000000001" customHeight="1">
      <c r="A644" s="45" t="s">
        <v>150</v>
      </c>
      <c r="B644" s="45" t="s">
        <v>89</v>
      </c>
      <c r="C644" s="46">
        <v>2024</v>
      </c>
      <c r="D644" s="45" t="s">
        <v>131</v>
      </c>
      <c r="E644" s="47">
        <v>2</v>
      </c>
      <c r="F644" s="48">
        <v>16.376999999999999</v>
      </c>
      <c r="G644" s="48">
        <v>0</v>
      </c>
    </row>
    <row r="645" spans="1:7" ht="10.050000000000001" customHeight="1">
      <c r="A645" s="45" t="s">
        <v>150</v>
      </c>
      <c r="B645" s="45" t="s">
        <v>89</v>
      </c>
      <c r="C645" s="46">
        <v>2024</v>
      </c>
      <c r="D645" s="45" t="s">
        <v>131</v>
      </c>
      <c r="E645" s="47">
        <v>3</v>
      </c>
      <c r="F645" s="48">
        <v>11.486000000000001</v>
      </c>
      <c r="G645" s="48">
        <v>0</v>
      </c>
    </row>
    <row r="646" spans="1:7" ht="10.050000000000001" customHeight="1">
      <c r="A646" s="45" t="s">
        <v>150</v>
      </c>
      <c r="B646" s="45" t="s">
        <v>89</v>
      </c>
      <c r="C646" s="46">
        <v>2024</v>
      </c>
      <c r="D646" s="45" t="s">
        <v>131</v>
      </c>
      <c r="E646" s="47">
        <v>4</v>
      </c>
      <c r="F646" s="48">
        <v>13.897</v>
      </c>
      <c r="G646" s="48">
        <v>0</v>
      </c>
    </row>
    <row r="647" spans="1:7" ht="10.050000000000001" customHeight="1">
      <c r="A647" s="45" t="s">
        <v>150</v>
      </c>
      <c r="B647" s="45" t="s">
        <v>89</v>
      </c>
      <c r="C647" s="46">
        <v>2024</v>
      </c>
      <c r="D647" s="45" t="s">
        <v>132</v>
      </c>
      <c r="E647" s="47">
        <v>10</v>
      </c>
      <c r="F647" s="48">
        <v>2.988</v>
      </c>
      <c r="G647" s="48">
        <v>0</v>
      </c>
    </row>
    <row r="648" spans="1:7" ht="10.050000000000001" customHeight="1">
      <c r="A648" s="45" t="s">
        <v>150</v>
      </c>
      <c r="B648" s="45" t="s">
        <v>89</v>
      </c>
      <c r="C648" s="46">
        <v>2024</v>
      </c>
      <c r="D648" s="45" t="s">
        <v>132</v>
      </c>
      <c r="E648" s="47">
        <v>12</v>
      </c>
      <c r="F648" s="48">
        <v>0.60199999999999998</v>
      </c>
      <c r="G648" s="48">
        <v>0</v>
      </c>
    </row>
    <row r="649" spans="1:7" ht="10.050000000000001" customHeight="1">
      <c r="A649" s="45" t="s">
        <v>150</v>
      </c>
      <c r="B649" s="45" t="s">
        <v>87</v>
      </c>
      <c r="C649" s="46">
        <v>2000</v>
      </c>
      <c r="D649" s="45" t="s">
        <v>107</v>
      </c>
      <c r="E649" s="47">
        <v>7</v>
      </c>
      <c r="F649" s="48">
        <v>113544.6</v>
      </c>
      <c r="G649" s="48">
        <v>36519</v>
      </c>
    </row>
    <row r="650" spans="1:7" ht="10.050000000000001" customHeight="1">
      <c r="A650" s="45" t="s">
        <v>150</v>
      </c>
      <c r="B650" s="45" t="s">
        <v>87</v>
      </c>
      <c r="C650" s="46">
        <v>2000</v>
      </c>
      <c r="D650" s="45" t="s">
        <v>107</v>
      </c>
      <c r="E650" s="47">
        <v>8</v>
      </c>
      <c r="F650" s="48">
        <v>100396.9</v>
      </c>
      <c r="G650" s="48">
        <v>40125.599999999999</v>
      </c>
    </row>
    <row r="651" spans="1:7" ht="10.050000000000001" customHeight="1">
      <c r="A651" s="45" t="s">
        <v>150</v>
      </c>
      <c r="B651" s="45" t="s">
        <v>87</v>
      </c>
      <c r="C651" s="46">
        <v>2000</v>
      </c>
      <c r="D651" s="45" t="s">
        <v>107</v>
      </c>
      <c r="E651" s="47">
        <v>9</v>
      </c>
      <c r="F651" s="48">
        <v>90586.7</v>
      </c>
      <c r="G651" s="48">
        <v>38023.699999999997</v>
      </c>
    </row>
    <row r="652" spans="1:7" ht="10.050000000000001" customHeight="1">
      <c r="A652" s="45" t="s">
        <v>150</v>
      </c>
      <c r="B652" s="45" t="s">
        <v>87</v>
      </c>
      <c r="C652" s="46">
        <v>2000</v>
      </c>
      <c r="D652" s="45" t="s">
        <v>107</v>
      </c>
      <c r="E652" s="47">
        <v>10</v>
      </c>
      <c r="F652" s="48">
        <v>95224.8</v>
      </c>
      <c r="G652" s="48">
        <v>37988</v>
      </c>
    </row>
    <row r="653" spans="1:7" ht="10.050000000000001" customHeight="1">
      <c r="A653" s="45" t="s">
        <v>150</v>
      </c>
      <c r="B653" s="45" t="s">
        <v>87</v>
      </c>
      <c r="C653" s="46">
        <v>2000</v>
      </c>
      <c r="D653" s="45" t="s">
        <v>107</v>
      </c>
      <c r="E653" s="47">
        <v>11</v>
      </c>
      <c r="F653" s="48">
        <v>83687.399999999994</v>
      </c>
      <c r="G653" s="48">
        <v>39325.199999999997</v>
      </c>
    </row>
    <row r="654" spans="1:7" ht="10.050000000000001" customHeight="1">
      <c r="A654" s="45" t="s">
        <v>150</v>
      </c>
      <c r="B654" s="45" t="s">
        <v>87</v>
      </c>
      <c r="C654" s="46">
        <v>2000</v>
      </c>
      <c r="D654" s="45" t="s">
        <v>107</v>
      </c>
      <c r="E654" s="47">
        <v>12</v>
      </c>
      <c r="F654" s="48">
        <v>72612.7</v>
      </c>
      <c r="G654" s="48">
        <v>40627.1</v>
      </c>
    </row>
    <row r="655" spans="1:7" ht="10.050000000000001" customHeight="1">
      <c r="A655" s="45" t="s">
        <v>150</v>
      </c>
      <c r="B655" s="45" t="s">
        <v>87</v>
      </c>
      <c r="C655" s="46">
        <v>2001</v>
      </c>
      <c r="D655" s="45" t="s">
        <v>107</v>
      </c>
      <c r="E655" s="47">
        <v>1</v>
      </c>
      <c r="F655" s="48">
        <v>76696.2</v>
      </c>
      <c r="G655" s="48">
        <v>46544.9</v>
      </c>
    </row>
    <row r="656" spans="1:7" ht="10.050000000000001" customHeight="1">
      <c r="A656" s="45" t="s">
        <v>150</v>
      </c>
      <c r="B656" s="45" t="s">
        <v>87</v>
      </c>
      <c r="C656" s="46">
        <v>2001</v>
      </c>
      <c r="D656" s="45" t="s">
        <v>107</v>
      </c>
      <c r="E656" s="47">
        <v>2</v>
      </c>
      <c r="F656" s="48">
        <v>74834.2</v>
      </c>
      <c r="G656" s="48">
        <v>40284.400000000001</v>
      </c>
    </row>
    <row r="657" spans="1:7" ht="10.050000000000001" customHeight="1">
      <c r="A657" s="45" t="s">
        <v>150</v>
      </c>
      <c r="B657" s="45" t="s">
        <v>87</v>
      </c>
      <c r="C657" s="46">
        <v>2001</v>
      </c>
      <c r="D657" s="45" t="s">
        <v>107</v>
      </c>
      <c r="E657" s="47">
        <v>3</v>
      </c>
      <c r="F657" s="48">
        <v>94339.8</v>
      </c>
      <c r="G657" s="48">
        <v>33989.1</v>
      </c>
    </row>
    <row r="658" spans="1:7" ht="10.050000000000001" customHeight="1">
      <c r="A658" s="45" t="s">
        <v>150</v>
      </c>
      <c r="B658" s="45" t="s">
        <v>87</v>
      </c>
      <c r="C658" s="46">
        <v>2001</v>
      </c>
      <c r="D658" s="45" t="s">
        <v>107</v>
      </c>
      <c r="E658" s="47">
        <v>4</v>
      </c>
      <c r="F658" s="48">
        <v>91976.3</v>
      </c>
      <c r="G658" s="48">
        <v>30128.1</v>
      </c>
    </row>
    <row r="659" spans="1:7" ht="10.050000000000001" customHeight="1">
      <c r="A659" s="45" t="s">
        <v>150</v>
      </c>
      <c r="B659" s="45" t="s">
        <v>87</v>
      </c>
      <c r="C659" s="46">
        <v>2001</v>
      </c>
      <c r="D659" s="45" t="s">
        <v>107</v>
      </c>
      <c r="E659" s="47">
        <v>5</v>
      </c>
      <c r="F659" s="48">
        <v>79302.7</v>
      </c>
      <c r="G659" s="48">
        <v>29428.9</v>
      </c>
    </row>
    <row r="660" spans="1:7" ht="10.050000000000001" customHeight="1">
      <c r="A660" s="45" t="s">
        <v>150</v>
      </c>
      <c r="B660" s="45" t="s">
        <v>87</v>
      </c>
      <c r="C660" s="46">
        <v>2001</v>
      </c>
      <c r="D660" s="45" t="s">
        <v>107</v>
      </c>
      <c r="E660" s="47">
        <v>6</v>
      </c>
      <c r="F660" s="48">
        <v>74189</v>
      </c>
      <c r="G660" s="48">
        <v>35029.699999999997</v>
      </c>
    </row>
    <row r="661" spans="1:7" ht="10.050000000000001" customHeight="1">
      <c r="A661" s="45" t="s">
        <v>150</v>
      </c>
      <c r="B661" s="45" t="s">
        <v>87</v>
      </c>
      <c r="C661" s="46">
        <v>2001</v>
      </c>
      <c r="D661" s="45" t="s">
        <v>110</v>
      </c>
      <c r="E661" s="47">
        <v>7</v>
      </c>
      <c r="F661" s="48">
        <v>77482.100000000006</v>
      </c>
      <c r="G661" s="48">
        <v>30920.6</v>
      </c>
    </row>
    <row r="662" spans="1:7" ht="10.050000000000001" customHeight="1">
      <c r="A662" s="45" t="s">
        <v>150</v>
      </c>
      <c r="B662" s="45" t="s">
        <v>87</v>
      </c>
      <c r="C662" s="46">
        <v>2001</v>
      </c>
      <c r="D662" s="45" t="s">
        <v>110</v>
      </c>
      <c r="E662" s="47">
        <v>8</v>
      </c>
      <c r="F662" s="48">
        <v>70690.899999999994</v>
      </c>
      <c r="G662" s="48">
        <v>31840.6</v>
      </c>
    </row>
    <row r="663" spans="1:7" ht="10.050000000000001" customHeight="1">
      <c r="A663" s="45" t="s">
        <v>150</v>
      </c>
      <c r="B663" s="45" t="s">
        <v>87</v>
      </c>
      <c r="C663" s="46">
        <v>2001</v>
      </c>
      <c r="D663" s="45" t="s">
        <v>110</v>
      </c>
      <c r="E663" s="47">
        <v>9</v>
      </c>
      <c r="F663" s="48">
        <v>51943.8</v>
      </c>
      <c r="G663" s="48">
        <v>31260.5</v>
      </c>
    </row>
    <row r="664" spans="1:7" ht="10.050000000000001" customHeight="1">
      <c r="A664" s="45" t="s">
        <v>150</v>
      </c>
      <c r="B664" s="45" t="s">
        <v>87</v>
      </c>
      <c r="C664" s="46">
        <v>2001</v>
      </c>
      <c r="D664" s="45" t="s">
        <v>110</v>
      </c>
      <c r="E664" s="47">
        <v>10</v>
      </c>
      <c r="F664" s="48">
        <v>60751.5</v>
      </c>
      <c r="G664" s="48">
        <v>29884.400000000001</v>
      </c>
    </row>
    <row r="665" spans="1:7" ht="10.050000000000001" customHeight="1">
      <c r="A665" s="45" t="s">
        <v>150</v>
      </c>
      <c r="B665" s="45" t="s">
        <v>87</v>
      </c>
      <c r="C665" s="46">
        <v>2001</v>
      </c>
      <c r="D665" s="45" t="s">
        <v>110</v>
      </c>
      <c r="E665" s="47">
        <v>11</v>
      </c>
      <c r="F665" s="48">
        <v>57922.2</v>
      </c>
      <c r="G665" s="48">
        <v>32395</v>
      </c>
    </row>
    <row r="666" spans="1:7" ht="10.050000000000001" customHeight="1">
      <c r="A666" s="45" t="s">
        <v>150</v>
      </c>
      <c r="B666" s="45" t="s">
        <v>87</v>
      </c>
      <c r="C666" s="46">
        <v>2001</v>
      </c>
      <c r="D666" s="45" t="s">
        <v>110</v>
      </c>
      <c r="E666" s="47">
        <v>12</v>
      </c>
      <c r="F666" s="48">
        <v>52424.6</v>
      </c>
      <c r="G666" s="48">
        <v>33559.4</v>
      </c>
    </row>
    <row r="667" spans="1:7" ht="10.050000000000001" customHeight="1">
      <c r="A667" s="45" t="s">
        <v>150</v>
      </c>
      <c r="B667" s="45" t="s">
        <v>87</v>
      </c>
      <c r="C667" s="46">
        <v>2002</v>
      </c>
      <c r="D667" s="45" t="s">
        <v>110</v>
      </c>
      <c r="E667" s="47">
        <v>1</v>
      </c>
      <c r="F667" s="48">
        <v>46981.3</v>
      </c>
      <c r="G667" s="48">
        <v>32990.5</v>
      </c>
    </row>
    <row r="668" spans="1:7" ht="10.050000000000001" customHeight="1">
      <c r="A668" s="45" t="s">
        <v>150</v>
      </c>
      <c r="B668" s="45" t="s">
        <v>87</v>
      </c>
      <c r="C668" s="46">
        <v>2002</v>
      </c>
      <c r="D668" s="45" t="s">
        <v>110</v>
      </c>
      <c r="E668" s="47">
        <v>2</v>
      </c>
      <c r="F668" s="48">
        <v>43619</v>
      </c>
      <c r="G668" s="48">
        <v>28973.599999999999</v>
      </c>
    </row>
    <row r="669" spans="1:7" ht="10.050000000000001" customHeight="1">
      <c r="A669" s="45" t="s">
        <v>150</v>
      </c>
      <c r="B669" s="45" t="s">
        <v>87</v>
      </c>
      <c r="C669" s="46">
        <v>2002</v>
      </c>
      <c r="D669" s="45" t="s">
        <v>110</v>
      </c>
      <c r="E669" s="47">
        <v>3</v>
      </c>
      <c r="F669" s="48">
        <v>42537.2</v>
      </c>
      <c r="G669" s="48">
        <v>26563.599999999999</v>
      </c>
    </row>
    <row r="670" spans="1:7" ht="10.050000000000001" customHeight="1">
      <c r="A670" s="45" t="s">
        <v>150</v>
      </c>
      <c r="B670" s="45" t="s">
        <v>87</v>
      </c>
      <c r="C670" s="46">
        <v>2002</v>
      </c>
      <c r="D670" s="45" t="s">
        <v>110</v>
      </c>
      <c r="E670" s="47">
        <v>4</v>
      </c>
      <c r="F670" s="48">
        <v>47500.5</v>
      </c>
      <c r="G670" s="48">
        <v>26046.400000000001</v>
      </c>
    </row>
    <row r="671" spans="1:7" ht="10.050000000000001" customHeight="1">
      <c r="A671" s="45" t="s">
        <v>150</v>
      </c>
      <c r="B671" s="45" t="s">
        <v>87</v>
      </c>
      <c r="C671" s="46">
        <v>2002</v>
      </c>
      <c r="D671" s="45" t="s">
        <v>110</v>
      </c>
      <c r="E671" s="47">
        <v>5</v>
      </c>
      <c r="F671" s="48">
        <v>44348.9</v>
      </c>
      <c r="G671" s="48">
        <v>22775</v>
      </c>
    </row>
    <row r="672" spans="1:7" ht="10.050000000000001" customHeight="1">
      <c r="A672" s="45" t="s">
        <v>150</v>
      </c>
      <c r="B672" s="45" t="s">
        <v>87</v>
      </c>
      <c r="C672" s="46">
        <v>2002</v>
      </c>
      <c r="D672" s="45" t="s">
        <v>110</v>
      </c>
      <c r="E672" s="47">
        <v>6</v>
      </c>
      <c r="F672" s="48">
        <v>31901.3</v>
      </c>
      <c r="G672" s="48">
        <v>20638.3</v>
      </c>
    </row>
    <row r="673" spans="1:7" ht="10.050000000000001" customHeight="1">
      <c r="A673" s="45" t="s">
        <v>150</v>
      </c>
      <c r="B673" s="45" t="s">
        <v>87</v>
      </c>
      <c r="C673" s="46">
        <v>2002</v>
      </c>
      <c r="D673" s="45" t="s">
        <v>111</v>
      </c>
      <c r="E673" s="47">
        <v>7</v>
      </c>
      <c r="F673" s="48">
        <v>36957.599999999999</v>
      </c>
      <c r="G673" s="48">
        <v>20560.599999999999</v>
      </c>
    </row>
    <row r="674" spans="1:7" ht="10.050000000000001" customHeight="1">
      <c r="A674" s="45" t="s">
        <v>150</v>
      </c>
      <c r="B674" s="45" t="s">
        <v>87</v>
      </c>
      <c r="C674" s="46">
        <v>2002</v>
      </c>
      <c r="D674" s="45" t="s">
        <v>111</v>
      </c>
      <c r="E674" s="47">
        <v>8</v>
      </c>
      <c r="F674" s="48">
        <v>39504.5</v>
      </c>
      <c r="G674" s="48">
        <v>20239.099999999999</v>
      </c>
    </row>
    <row r="675" spans="1:7" ht="10.050000000000001" customHeight="1">
      <c r="A675" s="45" t="s">
        <v>150</v>
      </c>
      <c r="B675" s="45" t="s">
        <v>87</v>
      </c>
      <c r="C675" s="46">
        <v>2002</v>
      </c>
      <c r="D675" s="45" t="s">
        <v>111</v>
      </c>
      <c r="E675" s="47">
        <v>9</v>
      </c>
      <c r="F675" s="48">
        <v>36561</v>
      </c>
      <c r="G675" s="48">
        <v>19473.900000000001</v>
      </c>
    </row>
    <row r="676" spans="1:7" ht="10.050000000000001" customHeight="1">
      <c r="A676" s="45" t="s">
        <v>150</v>
      </c>
      <c r="B676" s="45" t="s">
        <v>87</v>
      </c>
      <c r="C676" s="46">
        <v>2002</v>
      </c>
      <c r="D676" s="45" t="s">
        <v>111</v>
      </c>
      <c r="E676" s="47">
        <v>10</v>
      </c>
      <c r="F676" s="48">
        <v>36117.5</v>
      </c>
      <c r="G676" s="48">
        <v>17905</v>
      </c>
    </row>
    <row r="677" spans="1:7" ht="10.050000000000001" customHeight="1">
      <c r="A677" s="45" t="s">
        <v>150</v>
      </c>
      <c r="B677" s="45" t="s">
        <v>87</v>
      </c>
      <c r="C677" s="46">
        <v>2002</v>
      </c>
      <c r="D677" s="45" t="s">
        <v>111</v>
      </c>
      <c r="E677" s="47">
        <v>11</v>
      </c>
      <c r="F677" s="48">
        <v>29016.7</v>
      </c>
      <c r="G677" s="48">
        <v>16571.599999999999</v>
      </c>
    </row>
    <row r="678" spans="1:7" ht="10.050000000000001" customHeight="1">
      <c r="A678" s="45" t="s">
        <v>150</v>
      </c>
      <c r="B678" s="45" t="s">
        <v>87</v>
      </c>
      <c r="C678" s="46">
        <v>2002</v>
      </c>
      <c r="D678" s="45" t="s">
        <v>111</v>
      </c>
      <c r="E678" s="47">
        <v>12</v>
      </c>
      <c r="F678" s="48">
        <v>24777.5</v>
      </c>
      <c r="G678" s="48">
        <v>14934.5</v>
      </c>
    </row>
    <row r="679" spans="1:7" ht="10.050000000000001" customHeight="1">
      <c r="A679" s="45" t="s">
        <v>150</v>
      </c>
      <c r="B679" s="45" t="s">
        <v>87</v>
      </c>
      <c r="C679" s="46">
        <v>2003</v>
      </c>
      <c r="D679" s="45" t="s">
        <v>111</v>
      </c>
      <c r="E679" s="47">
        <v>1</v>
      </c>
      <c r="F679" s="48">
        <v>20634.400000000001</v>
      </c>
      <c r="G679" s="48">
        <v>13628.4</v>
      </c>
    </row>
    <row r="680" spans="1:7" ht="10.050000000000001" customHeight="1">
      <c r="A680" s="45" t="s">
        <v>150</v>
      </c>
      <c r="B680" s="45" t="s">
        <v>87</v>
      </c>
      <c r="C680" s="46">
        <v>2003</v>
      </c>
      <c r="D680" s="45" t="s">
        <v>111</v>
      </c>
      <c r="E680" s="47">
        <v>2</v>
      </c>
      <c r="F680" s="48">
        <v>17467.900000000001</v>
      </c>
      <c r="G680" s="48">
        <v>12442.4</v>
      </c>
    </row>
    <row r="681" spans="1:7" ht="10.050000000000001" customHeight="1">
      <c r="A681" s="45" t="s">
        <v>150</v>
      </c>
      <c r="B681" s="45" t="s">
        <v>87</v>
      </c>
      <c r="C681" s="46">
        <v>2003</v>
      </c>
      <c r="D681" s="45" t="s">
        <v>111</v>
      </c>
      <c r="E681" s="47">
        <v>3</v>
      </c>
      <c r="F681" s="48">
        <v>26461.3</v>
      </c>
      <c r="G681" s="48">
        <v>12664</v>
      </c>
    </row>
    <row r="682" spans="1:7" ht="10.050000000000001" customHeight="1">
      <c r="A682" s="45" t="s">
        <v>150</v>
      </c>
      <c r="B682" s="45" t="s">
        <v>87</v>
      </c>
      <c r="C682" s="46">
        <v>2003</v>
      </c>
      <c r="D682" s="45" t="s">
        <v>111</v>
      </c>
      <c r="E682" s="47">
        <v>4</v>
      </c>
      <c r="F682" s="48">
        <v>33465.300000000003</v>
      </c>
      <c r="G682" s="48">
        <v>13473.1</v>
      </c>
    </row>
    <row r="683" spans="1:7" ht="10.050000000000001" customHeight="1">
      <c r="A683" s="45" t="s">
        <v>150</v>
      </c>
      <c r="B683" s="45" t="s">
        <v>87</v>
      </c>
      <c r="C683" s="46">
        <v>2003</v>
      </c>
      <c r="D683" s="45" t="s">
        <v>111</v>
      </c>
      <c r="E683" s="47">
        <v>5</v>
      </c>
      <c r="F683" s="48">
        <v>27349</v>
      </c>
      <c r="G683" s="48">
        <v>13402.7</v>
      </c>
    </row>
    <row r="684" spans="1:7" ht="10.050000000000001" customHeight="1">
      <c r="A684" s="45" t="s">
        <v>150</v>
      </c>
      <c r="B684" s="45" t="s">
        <v>87</v>
      </c>
      <c r="C684" s="46">
        <v>2003</v>
      </c>
      <c r="D684" s="45" t="s">
        <v>111</v>
      </c>
      <c r="E684" s="47">
        <v>6</v>
      </c>
      <c r="F684" s="48">
        <v>23976.400000000001</v>
      </c>
      <c r="G684" s="48">
        <v>14243.4</v>
      </c>
    </row>
    <row r="685" spans="1:7" ht="10.050000000000001" customHeight="1">
      <c r="A685" s="45" t="s">
        <v>150</v>
      </c>
      <c r="B685" s="45" t="s">
        <v>87</v>
      </c>
      <c r="C685" s="46">
        <v>2003</v>
      </c>
      <c r="D685" s="45" t="s">
        <v>108</v>
      </c>
      <c r="E685" s="47">
        <v>7</v>
      </c>
      <c r="F685" s="48">
        <v>36563.1</v>
      </c>
      <c r="G685" s="48">
        <v>16871.8</v>
      </c>
    </row>
    <row r="686" spans="1:7" ht="10.050000000000001" customHeight="1">
      <c r="A686" s="45" t="s">
        <v>150</v>
      </c>
      <c r="B686" s="45" t="s">
        <v>87</v>
      </c>
      <c r="C686" s="46">
        <v>2003</v>
      </c>
      <c r="D686" s="45" t="s">
        <v>108</v>
      </c>
      <c r="E686" s="47">
        <v>8</v>
      </c>
      <c r="F686" s="48">
        <v>43202.1</v>
      </c>
      <c r="G686" s="48">
        <v>18243.2</v>
      </c>
    </row>
    <row r="687" spans="1:7" ht="10.050000000000001" customHeight="1">
      <c r="A687" s="45" t="s">
        <v>150</v>
      </c>
      <c r="B687" s="45" t="s">
        <v>87</v>
      </c>
      <c r="C687" s="46">
        <v>2003</v>
      </c>
      <c r="D687" s="45" t="s">
        <v>108</v>
      </c>
      <c r="E687" s="47">
        <v>9</v>
      </c>
      <c r="F687" s="48">
        <v>49125.599999999999</v>
      </c>
      <c r="G687" s="48">
        <v>21587</v>
      </c>
    </row>
    <row r="688" spans="1:7" ht="10.050000000000001" customHeight="1">
      <c r="A688" s="45" t="s">
        <v>150</v>
      </c>
      <c r="B688" s="45" t="s">
        <v>87</v>
      </c>
      <c r="C688" s="46">
        <v>2003</v>
      </c>
      <c r="D688" s="45" t="s">
        <v>108</v>
      </c>
      <c r="E688" s="47">
        <v>10</v>
      </c>
      <c r="F688" s="48">
        <v>56794.3</v>
      </c>
      <c r="G688" s="48">
        <v>19831</v>
      </c>
    </row>
    <row r="689" spans="1:7" ht="10.050000000000001" customHeight="1">
      <c r="A689" s="45" t="s">
        <v>150</v>
      </c>
      <c r="B689" s="45" t="s">
        <v>87</v>
      </c>
      <c r="C689" s="46">
        <v>2003</v>
      </c>
      <c r="D689" s="45" t="s">
        <v>108</v>
      </c>
      <c r="E689" s="47">
        <v>11</v>
      </c>
      <c r="F689" s="48">
        <v>59396.6</v>
      </c>
      <c r="G689" s="48">
        <v>24626.6</v>
      </c>
    </row>
    <row r="690" spans="1:7" ht="10.050000000000001" customHeight="1">
      <c r="A690" s="45" t="s">
        <v>150</v>
      </c>
      <c r="B690" s="45" t="s">
        <v>87</v>
      </c>
      <c r="C690" s="46">
        <v>2003</v>
      </c>
      <c r="D690" s="45" t="s">
        <v>108</v>
      </c>
      <c r="E690" s="47">
        <v>12</v>
      </c>
      <c r="F690" s="48">
        <v>68040.600000000006</v>
      </c>
      <c r="G690" s="48">
        <v>28984.799999999999</v>
      </c>
    </row>
    <row r="691" spans="1:7" ht="10.050000000000001" customHeight="1">
      <c r="A691" s="45" t="s">
        <v>150</v>
      </c>
      <c r="B691" s="45" t="s">
        <v>87</v>
      </c>
      <c r="C691" s="46">
        <v>2004</v>
      </c>
      <c r="D691" s="45" t="s">
        <v>108</v>
      </c>
      <c r="E691" s="47">
        <v>1</v>
      </c>
      <c r="F691" s="48">
        <v>63831.199999999997</v>
      </c>
      <c r="G691" s="48">
        <v>33226.800000000003</v>
      </c>
    </row>
    <row r="692" spans="1:7" ht="10.050000000000001" customHeight="1">
      <c r="A692" s="45" t="s">
        <v>150</v>
      </c>
      <c r="B692" s="45" t="s">
        <v>87</v>
      </c>
      <c r="C692" s="46">
        <v>2004</v>
      </c>
      <c r="D692" s="45" t="s">
        <v>108</v>
      </c>
      <c r="E692" s="47">
        <v>2</v>
      </c>
      <c r="F692" s="48">
        <v>60664.2</v>
      </c>
      <c r="G692" s="48">
        <v>32490.7</v>
      </c>
    </row>
    <row r="693" spans="1:7" ht="10.050000000000001" customHeight="1">
      <c r="A693" s="45" t="s">
        <v>150</v>
      </c>
      <c r="B693" s="45" t="s">
        <v>87</v>
      </c>
      <c r="C693" s="46">
        <v>2004</v>
      </c>
      <c r="D693" s="45" t="s">
        <v>108</v>
      </c>
      <c r="E693" s="47">
        <v>3</v>
      </c>
      <c r="F693" s="48">
        <v>79683.600000000006</v>
      </c>
      <c r="G693" s="48">
        <v>34233.699999999997</v>
      </c>
    </row>
    <row r="694" spans="1:7" ht="10.050000000000001" customHeight="1">
      <c r="A694" s="45" t="s">
        <v>150</v>
      </c>
      <c r="B694" s="45" t="s">
        <v>87</v>
      </c>
      <c r="C694" s="46">
        <v>2004</v>
      </c>
      <c r="D694" s="45" t="s">
        <v>108</v>
      </c>
      <c r="E694" s="47">
        <v>4</v>
      </c>
      <c r="F694" s="48">
        <v>80631.7</v>
      </c>
      <c r="G694" s="48">
        <v>33252.699999999997</v>
      </c>
    </row>
    <row r="695" spans="1:7" ht="10.050000000000001" customHeight="1">
      <c r="A695" s="45" t="s">
        <v>150</v>
      </c>
      <c r="B695" s="45" t="s">
        <v>87</v>
      </c>
      <c r="C695" s="46">
        <v>2004</v>
      </c>
      <c r="D695" s="45" t="s">
        <v>108</v>
      </c>
      <c r="E695" s="47">
        <v>5</v>
      </c>
      <c r="F695" s="48">
        <v>80277.399999999994</v>
      </c>
      <c r="G695" s="48">
        <v>28417.8</v>
      </c>
    </row>
    <row r="696" spans="1:7" ht="10.050000000000001" customHeight="1">
      <c r="A696" s="45" t="s">
        <v>150</v>
      </c>
      <c r="B696" s="45" t="s">
        <v>87</v>
      </c>
      <c r="C696" s="46">
        <v>2004</v>
      </c>
      <c r="D696" s="45" t="s">
        <v>108</v>
      </c>
      <c r="E696" s="47">
        <v>6</v>
      </c>
      <c r="F696" s="48">
        <v>84509.4</v>
      </c>
      <c r="G696" s="48">
        <v>28183.9</v>
      </c>
    </row>
    <row r="697" spans="1:7" ht="10.050000000000001" customHeight="1">
      <c r="A697" s="45" t="s">
        <v>150</v>
      </c>
      <c r="B697" s="45" t="s">
        <v>87</v>
      </c>
      <c r="C697" s="46">
        <v>2004</v>
      </c>
      <c r="D697" s="45" t="s">
        <v>112</v>
      </c>
      <c r="E697" s="47">
        <v>7</v>
      </c>
      <c r="F697" s="48">
        <v>75634.5</v>
      </c>
      <c r="G697" s="48">
        <v>20290.099999999999</v>
      </c>
    </row>
    <row r="698" spans="1:7" ht="10.050000000000001" customHeight="1">
      <c r="A698" s="45" t="s">
        <v>150</v>
      </c>
      <c r="B698" s="45" t="s">
        <v>87</v>
      </c>
      <c r="C698" s="46">
        <v>2004</v>
      </c>
      <c r="D698" s="45" t="s">
        <v>112</v>
      </c>
      <c r="E698" s="47">
        <v>8</v>
      </c>
      <c r="F698" s="48">
        <v>56824</v>
      </c>
      <c r="G698" s="48">
        <v>18791.900000000001</v>
      </c>
    </row>
    <row r="699" spans="1:7" ht="10.050000000000001" customHeight="1">
      <c r="A699" s="45" t="s">
        <v>150</v>
      </c>
      <c r="B699" s="45" t="s">
        <v>87</v>
      </c>
      <c r="C699" s="46">
        <v>2004</v>
      </c>
      <c r="D699" s="45" t="s">
        <v>112</v>
      </c>
      <c r="E699" s="47">
        <v>9</v>
      </c>
      <c r="F699" s="48">
        <v>51609.2</v>
      </c>
      <c r="G699" s="48">
        <v>21138.799999999999</v>
      </c>
    </row>
    <row r="700" spans="1:7" ht="10.050000000000001" customHeight="1">
      <c r="A700" s="45" t="s">
        <v>150</v>
      </c>
      <c r="B700" s="45" t="s">
        <v>87</v>
      </c>
      <c r="C700" s="46">
        <v>2004</v>
      </c>
      <c r="D700" s="45" t="s">
        <v>112</v>
      </c>
      <c r="E700" s="47">
        <v>10</v>
      </c>
      <c r="F700" s="48">
        <v>43847.6</v>
      </c>
      <c r="G700" s="48">
        <v>20061.2</v>
      </c>
    </row>
    <row r="701" spans="1:7" ht="10.050000000000001" customHeight="1">
      <c r="A701" s="45" t="s">
        <v>150</v>
      </c>
      <c r="B701" s="45" t="s">
        <v>87</v>
      </c>
      <c r="C701" s="46">
        <v>2004</v>
      </c>
      <c r="D701" s="45" t="s">
        <v>112</v>
      </c>
      <c r="E701" s="47">
        <v>11</v>
      </c>
      <c r="F701" s="48">
        <v>51581.1</v>
      </c>
      <c r="G701" s="48">
        <v>19846.099999999999</v>
      </c>
    </row>
    <row r="702" spans="1:7" ht="10.050000000000001" customHeight="1">
      <c r="A702" s="45" t="s">
        <v>150</v>
      </c>
      <c r="B702" s="45" t="s">
        <v>87</v>
      </c>
      <c r="C702" s="46">
        <v>2004</v>
      </c>
      <c r="D702" s="45" t="s">
        <v>112</v>
      </c>
      <c r="E702" s="47">
        <v>12</v>
      </c>
      <c r="F702" s="48">
        <v>58329.3</v>
      </c>
      <c r="G702" s="48">
        <v>22046.400000000001</v>
      </c>
    </row>
    <row r="703" spans="1:7" ht="10.050000000000001" customHeight="1">
      <c r="A703" s="45" t="s">
        <v>150</v>
      </c>
      <c r="B703" s="45" t="s">
        <v>87</v>
      </c>
      <c r="C703" s="46">
        <v>2005</v>
      </c>
      <c r="D703" s="45" t="s">
        <v>112</v>
      </c>
      <c r="E703" s="47">
        <v>1</v>
      </c>
      <c r="F703" s="48">
        <v>56163.3</v>
      </c>
      <c r="G703" s="48">
        <v>22974.2</v>
      </c>
    </row>
    <row r="704" spans="1:7" ht="10.050000000000001" customHeight="1">
      <c r="A704" s="45" t="s">
        <v>150</v>
      </c>
      <c r="B704" s="45" t="s">
        <v>87</v>
      </c>
      <c r="C704" s="46">
        <v>2005</v>
      </c>
      <c r="D704" s="45" t="s">
        <v>112</v>
      </c>
      <c r="E704" s="47">
        <v>2</v>
      </c>
      <c r="F704" s="48">
        <v>57477</v>
      </c>
      <c r="G704" s="48">
        <v>23009</v>
      </c>
    </row>
    <row r="705" spans="1:7" ht="10.050000000000001" customHeight="1">
      <c r="A705" s="45" t="s">
        <v>150</v>
      </c>
      <c r="B705" s="45" t="s">
        <v>87</v>
      </c>
      <c r="C705" s="46">
        <v>2005</v>
      </c>
      <c r="D705" s="45" t="s">
        <v>112</v>
      </c>
      <c r="E705" s="47">
        <v>3</v>
      </c>
      <c r="F705" s="48">
        <v>66554.399999999994</v>
      </c>
      <c r="G705" s="48">
        <v>23632.9</v>
      </c>
    </row>
    <row r="706" spans="1:7" ht="10.050000000000001" customHeight="1">
      <c r="A706" s="45" t="s">
        <v>150</v>
      </c>
      <c r="B706" s="45" t="s">
        <v>87</v>
      </c>
      <c r="C706" s="46">
        <v>2005</v>
      </c>
      <c r="D706" s="45" t="s">
        <v>112</v>
      </c>
      <c r="E706" s="47">
        <v>4</v>
      </c>
      <c r="F706" s="48">
        <v>63228</v>
      </c>
      <c r="G706" s="48">
        <v>22671.5</v>
      </c>
    </row>
    <row r="707" spans="1:7" ht="10.050000000000001" customHeight="1">
      <c r="A707" s="45" t="s">
        <v>150</v>
      </c>
      <c r="B707" s="45" t="s">
        <v>87</v>
      </c>
      <c r="C707" s="46">
        <v>2005</v>
      </c>
      <c r="D707" s="45" t="s">
        <v>112</v>
      </c>
      <c r="E707" s="47">
        <v>5</v>
      </c>
      <c r="F707" s="48">
        <v>65449.2</v>
      </c>
      <c r="G707" s="48">
        <v>22860.400000000001</v>
      </c>
    </row>
    <row r="708" spans="1:7" ht="10.050000000000001" customHeight="1">
      <c r="A708" s="45" t="s">
        <v>150</v>
      </c>
      <c r="B708" s="45" t="s">
        <v>87</v>
      </c>
      <c r="C708" s="46">
        <v>2005</v>
      </c>
      <c r="D708" s="45" t="s">
        <v>112</v>
      </c>
      <c r="E708" s="47">
        <v>6</v>
      </c>
      <c r="F708" s="48">
        <v>63282.6</v>
      </c>
      <c r="G708" s="48">
        <v>24906.799999999999</v>
      </c>
    </row>
    <row r="709" spans="1:7" ht="10.050000000000001" customHeight="1">
      <c r="A709" s="45" t="s">
        <v>150</v>
      </c>
      <c r="B709" s="45" t="s">
        <v>87</v>
      </c>
      <c r="C709" s="46">
        <v>2005</v>
      </c>
      <c r="D709" s="45" t="s">
        <v>113</v>
      </c>
      <c r="E709" s="47">
        <v>7</v>
      </c>
      <c r="F709" s="48">
        <v>56686.2</v>
      </c>
      <c r="G709" s="48">
        <v>24169.200000000001</v>
      </c>
    </row>
    <row r="710" spans="1:7" ht="10.050000000000001" customHeight="1">
      <c r="A710" s="45" t="s">
        <v>150</v>
      </c>
      <c r="B710" s="45" t="s">
        <v>87</v>
      </c>
      <c r="C710" s="46">
        <v>2005</v>
      </c>
      <c r="D710" s="45" t="s">
        <v>113</v>
      </c>
      <c r="E710" s="47">
        <v>8</v>
      </c>
      <c r="F710" s="48">
        <v>51597.9</v>
      </c>
      <c r="G710" s="48">
        <v>20262.8</v>
      </c>
    </row>
    <row r="711" spans="1:7" ht="10.050000000000001" customHeight="1">
      <c r="A711" s="45" t="s">
        <v>150</v>
      </c>
      <c r="B711" s="45" t="s">
        <v>87</v>
      </c>
      <c r="C711" s="46">
        <v>2005</v>
      </c>
      <c r="D711" s="45" t="s">
        <v>113</v>
      </c>
      <c r="E711" s="47">
        <v>9</v>
      </c>
      <c r="F711" s="48">
        <v>47637.9</v>
      </c>
      <c r="G711" s="48">
        <v>19748.2</v>
      </c>
    </row>
    <row r="712" spans="1:7" ht="10.050000000000001" customHeight="1">
      <c r="A712" s="45" t="s">
        <v>150</v>
      </c>
      <c r="B712" s="45" t="s">
        <v>87</v>
      </c>
      <c r="C712" s="46">
        <v>2005</v>
      </c>
      <c r="D712" s="45" t="s">
        <v>113</v>
      </c>
      <c r="E712" s="47">
        <v>10</v>
      </c>
      <c r="F712" s="48">
        <v>48901.3</v>
      </c>
      <c r="G712" s="48">
        <v>19321.8</v>
      </c>
    </row>
    <row r="713" spans="1:7" ht="10.050000000000001" customHeight="1">
      <c r="A713" s="45" t="s">
        <v>150</v>
      </c>
      <c r="B713" s="45" t="s">
        <v>87</v>
      </c>
      <c r="C713" s="46">
        <v>2005</v>
      </c>
      <c r="D713" s="45" t="s">
        <v>113</v>
      </c>
      <c r="E713" s="47">
        <v>11</v>
      </c>
      <c r="F713" s="48">
        <v>47039</v>
      </c>
      <c r="G713" s="48">
        <v>19895.7</v>
      </c>
    </row>
    <row r="714" spans="1:7" ht="10.050000000000001" customHeight="1">
      <c r="A714" s="45" t="s">
        <v>150</v>
      </c>
      <c r="B714" s="45" t="s">
        <v>87</v>
      </c>
      <c r="C714" s="46">
        <v>2005</v>
      </c>
      <c r="D714" s="45" t="s">
        <v>113</v>
      </c>
      <c r="E714" s="47">
        <v>12</v>
      </c>
      <c r="F714" s="48">
        <v>48872.7</v>
      </c>
      <c r="G714" s="48">
        <v>22981.8</v>
      </c>
    </row>
    <row r="715" spans="1:7" ht="10.050000000000001" customHeight="1">
      <c r="A715" s="45" t="s">
        <v>150</v>
      </c>
      <c r="B715" s="45" t="s">
        <v>87</v>
      </c>
      <c r="C715" s="46">
        <v>2006</v>
      </c>
      <c r="D715" s="45" t="s">
        <v>113</v>
      </c>
      <c r="E715" s="47">
        <v>1</v>
      </c>
      <c r="F715" s="48">
        <v>52423.199999999997</v>
      </c>
      <c r="G715" s="48">
        <v>23168.9</v>
      </c>
    </row>
    <row r="716" spans="1:7" ht="10.050000000000001" customHeight="1">
      <c r="A716" s="45" t="s">
        <v>150</v>
      </c>
      <c r="B716" s="45" t="s">
        <v>87</v>
      </c>
      <c r="C716" s="46">
        <v>2006</v>
      </c>
      <c r="D716" s="45" t="s">
        <v>113</v>
      </c>
      <c r="E716" s="47">
        <v>2</v>
      </c>
      <c r="F716" s="48">
        <v>50853.599999999999</v>
      </c>
      <c r="G716" s="48">
        <v>21234.2</v>
      </c>
    </row>
    <row r="717" spans="1:7" ht="10.050000000000001" customHeight="1">
      <c r="A717" s="45" t="s">
        <v>150</v>
      </c>
      <c r="B717" s="45" t="s">
        <v>87</v>
      </c>
      <c r="C717" s="46">
        <v>2006</v>
      </c>
      <c r="D717" s="45" t="s">
        <v>113</v>
      </c>
      <c r="E717" s="47">
        <v>3</v>
      </c>
      <c r="F717" s="48">
        <v>57933.3</v>
      </c>
      <c r="G717" s="48">
        <v>21109.5</v>
      </c>
    </row>
    <row r="718" spans="1:7" ht="10.050000000000001" customHeight="1">
      <c r="A718" s="45" t="s">
        <v>150</v>
      </c>
      <c r="B718" s="45" t="s">
        <v>87</v>
      </c>
      <c r="C718" s="46">
        <v>2006</v>
      </c>
      <c r="D718" s="45" t="s">
        <v>113</v>
      </c>
      <c r="E718" s="47">
        <v>4</v>
      </c>
      <c r="F718" s="48">
        <v>47026.8</v>
      </c>
      <c r="G718" s="48">
        <v>21146.9</v>
      </c>
    </row>
    <row r="719" spans="1:7" ht="10.050000000000001" customHeight="1">
      <c r="A719" s="45" t="s">
        <v>150</v>
      </c>
      <c r="B719" s="45" t="s">
        <v>87</v>
      </c>
      <c r="C719" s="46">
        <v>2006</v>
      </c>
      <c r="D719" s="45" t="s">
        <v>113</v>
      </c>
      <c r="E719" s="47">
        <v>5</v>
      </c>
      <c r="F719" s="48">
        <v>38964.1</v>
      </c>
      <c r="G719" s="48">
        <v>20792.7</v>
      </c>
    </row>
    <row r="720" spans="1:7" ht="10.050000000000001" customHeight="1">
      <c r="A720" s="45" t="s">
        <v>150</v>
      </c>
      <c r="B720" s="45" t="s">
        <v>87</v>
      </c>
      <c r="C720" s="46">
        <v>2006</v>
      </c>
      <c r="D720" s="45" t="s">
        <v>113</v>
      </c>
      <c r="E720" s="47">
        <v>6</v>
      </c>
      <c r="F720" s="48">
        <v>32927.199999999997</v>
      </c>
      <c r="G720" s="48">
        <v>21263.1</v>
      </c>
    </row>
    <row r="721" spans="1:7" ht="10.050000000000001" customHeight="1">
      <c r="A721" s="45" t="s">
        <v>150</v>
      </c>
      <c r="B721" s="45" t="s">
        <v>87</v>
      </c>
      <c r="C721" s="46">
        <v>2006</v>
      </c>
      <c r="D721" s="45" t="s">
        <v>114</v>
      </c>
      <c r="E721" s="47">
        <v>7</v>
      </c>
      <c r="F721" s="48">
        <v>34756.6</v>
      </c>
      <c r="G721" s="48">
        <v>21221.3</v>
      </c>
    </row>
    <row r="722" spans="1:7" ht="10.050000000000001" customHeight="1">
      <c r="A722" s="45" t="s">
        <v>150</v>
      </c>
      <c r="B722" s="45" t="s">
        <v>87</v>
      </c>
      <c r="C722" s="46">
        <v>2006</v>
      </c>
      <c r="D722" s="45" t="s">
        <v>114</v>
      </c>
      <c r="E722" s="47">
        <v>8</v>
      </c>
      <c r="F722" s="48">
        <v>39932.400000000001</v>
      </c>
      <c r="G722" s="48">
        <v>18254.8</v>
      </c>
    </row>
    <row r="723" spans="1:7" ht="10.050000000000001" customHeight="1">
      <c r="A723" s="45" t="s">
        <v>150</v>
      </c>
      <c r="B723" s="45" t="s">
        <v>87</v>
      </c>
      <c r="C723" s="46">
        <v>2006</v>
      </c>
      <c r="D723" s="45" t="s">
        <v>114</v>
      </c>
      <c r="E723" s="47">
        <v>9</v>
      </c>
      <c r="F723" s="48">
        <v>32989.5</v>
      </c>
      <c r="G723" s="48">
        <v>18983</v>
      </c>
    </row>
    <row r="724" spans="1:7" ht="10.050000000000001" customHeight="1">
      <c r="A724" s="45" t="s">
        <v>150</v>
      </c>
      <c r="B724" s="45" t="s">
        <v>87</v>
      </c>
      <c r="C724" s="46">
        <v>2006</v>
      </c>
      <c r="D724" s="45" t="s">
        <v>114</v>
      </c>
      <c r="E724" s="47">
        <v>10</v>
      </c>
      <c r="F724" s="48">
        <v>32082.2</v>
      </c>
      <c r="G724" s="48">
        <v>18655.8</v>
      </c>
    </row>
    <row r="725" spans="1:7" ht="10.050000000000001" customHeight="1">
      <c r="A725" s="45" t="s">
        <v>150</v>
      </c>
      <c r="B725" s="45" t="s">
        <v>87</v>
      </c>
      <c r="C725" s="46">
        <v>2006</v>
      </c>
      <c r="D725" s="45" t="s">
        <v>114</v>
      </c>
      <c r="E725" s="47">
        <v>11</v>
      </c>
      <c r="F725" s="48">
        <v>33338.300000000003</v>
      </c>
      <c r="G725" s="48">
        <v>17997.8</v>
      </c>
    </row>
    <row r="726" spans="1:7" ht="10.050000000000001" customHeight="1">
      <c r="A726" s="45" t="s">
        <v>150</v>
      </c>
      <c r="B726" s="45" t="s">
        <v>87</v>
      </c>
      <c r="C726" s="46">
        <v>2006</v>
      </c>
      <c r="D726" s="45" t="s">
        <v>114</v>
      </c>
      <c r="E726" s="47">
        <v>12</v>
      </c>
      <c r="F726" s="48">
        <v>29413.7</v>
      </c>
      <c r="G726" s="48">
        <v>18091.400000000001</v>
      </c>
    </row>
    <row r="727" spans="1:7" ht="10.050000000000001" customHeight="1">
      <c r="A727" s="45" t="s">
        <v>150</v>
      </c>
      <c r="B727" s="45" t="s">
        <v>87</v>
      </c>
      <c r="C727" s="46">
        <v>2007</v>
      </c>
      <c r="D727" s="45" t="s">
        <v>114</v>
      </c>
      <c r="E727" s="47">
        <v>1</v>
      </c>
      <c r="F727" s="48">
        <v>28125</v>
      </c>
      <c r="G727" s="48">
        <v>17904.2</v>
      </c>
    </row>
    <row r="728" spans="1:7" ht="10.050000000000001" customHeight="1">
      <c r="A728" s="45" t="s">
        <v>150</v>
      </c>
      <c r="B728" s="45" t="s">
        <v>87</v>
      </c>
      <c r="C728" s="46">
        <v>2007</v>
      </c>
      <c r="D728" s="45" t="s">
        <v>114</v>
      </c>
      <c r="E728" s="47">
        <v>2</v>
      </c>
      <c r="F728" s="48">
        <v>26998.400000000001</v>
      </c>
      <c r="G728" s="48">
        <v>20274.400000000001</v>
      </c>
    </row>
    <row r="729" spans="1:7" ht="10.050000000000001" customHeight="1">
      <c r="A729" s="45" t="s">
        <v>150</v>
      </c>
      <c r="B729" s="45" t="s">
        <v>87</v>
      </c>
      <c r="C729" s="46">
        <v>2007</v>
      </c>
      <c r="D729" s="45" t="s">
        <v>114</v>
      </c>
      <c r="E729" s="47">
        <v>3</v>
      </c>
      <c r="F729" s="48">
        <v>32050.400000000001</v>
      </c>
      <c r="G729" s="48">
        <v>17883.400000000001</v>
      </c>
    </row>
    <row r="730" spans="1:7" ht="10.050000000000001" customHeight="1">
      <c r="A730" s="45" t="s">
        <v>150</v>
      </c>
      <c r="B730" s="45" t="s">
        <v>87</v>
      </c>
      <c r="C730" s="46">
        <v>2007</v>
      </c>
      <c r="D730" s="45" t="s">
        <v>114</v>
      </c>
      <c r="E730" s="47">
        <v>4</v>
      </c>
      <c r="F730" s="48">
        <v>18674.5</v>
      </c>
      <c r="G730" s="48">
        <v>14522.1</v>
      </c>
    </row>
    <row r="731" spans="1:7" ht="10.050000000000001" customHeight="1">
      <c r="A731" s="45" t="s">
        <v>150</v>
      </c>
      <c r="B731" s="45" t="s">
        <v>87</v>
      </c>
      <c r="C731" s="46">
        <v>2007</v>
      </c>
      <c r="D731" s="45" t="s">
        <v>114</v>
      </c>
      <c r="E731" s="47">
        <v>5</v>
      </c>
      <c r="F731" s="48">
        <v>15164.6</v>
      </c>
      <c r="G731" s="48">
        <v>10692.8</v>
      </c>
    </row>
    <row r="732" spans="1:7" ht="10.050000000000001" customHeight="1">
      <c r="A732" s="45" t="s">
        <v>150</v>
      </c>
      <c r="B732" s="45" t="s">
        <v>87</v>
      </c>
      <c r="C732" s="46">
        <v>2007</v>
      </c>
      <c r="D732" s="45" t="s">
        <v>114</v>
      </c>
      <c r="E732" s="47">
        <v>6</v>
      </c>
      <c r="F732" s="48">
        <v>12340.2</v>
      </c>
      <c r="G732" s="48">
        <v>9811.2999999999993</v>
      </c>
    </row>
    <row r="733" spans="1:7" ht="10.050000000000001" customHeight="1">
      <c r="A733" s="45" t="s">
        <v>150</v>
      </c>
      <c r="B733" s="45" t="s">
        <v>87</v>
      </c>
      <c r="C733" s="46">
        <v>2007</v>
      </c>
      <c r="D733" s="45" t="s">
        <v>115</v>
      </c>
      <c r="E733" s="47">
        <v>7</v>
      </c>
      <c r="F733" s="48">
        <v>13032.2</v>
      </c>
      <c r="G733" s="48">
        <v>7120.8</v>
      </c>
    </row>
    <row r="734" spans="1:7" ht="10.050000000000001" customHeight="1">
      <c r="A734" s="45" t="s">
        <v>150</v>
      </c>
      <c r="B734" s="45" t="s">
        <v>87</v>
      </c>
      <c r="C734" s="46">
        <v>2007</v>
      </c>
      <c r="D734" s="45" t="s">
        <v>115</v>
      </c>
      <c r="E734" s="47">
        <v>8</v>
      </c>
      <c r="F734" s="48">
        <v>9716.1</v>
      </c>
      <c r="G734" s="48">
        <v>7604.1</v>
      </c>
    </row>
    <row r="735" spans="1:7" ht="10.050000000000001" customHeight="1">
      <c r="A735" s="45" t="s">
        <v>150</v>
      </c>
      <c r="B735" s="45" t="s">
        <v>87</v>
      </c>
      <c r="C735" s="46">
        <v>2007</v>
      </c>
      <c r="D735" s="45" t="s">
        <v>115</v>
      </c>
      <c r="E735" s="47">
        <v>9</v>
      </c>
      <c r="F735" s="48">
        <v>7771.7</v>
      </c>
      <c r="G735" s="48">
        <v>7853.5</v>
      </c>
    </row>
    <row r="736" spans="1:7" ht="10.050000000000001" customHeight="1">
      <c r="A736" s="45" t="s">
        <v>150</v>
      </c>
      <c r="B736" s="45" t="s">
        <v>87</v>
      </c>
      <c r="C736" s="46">
        <v>2007</v>
      </c>
      <c r="D736" s="45" t="s">
        <v>115</v>
      </c>
      <c r="E736" s="47">
        <v>10</v>
      </c>
      <c r="F736" s="48">
        <v>8723</v>
      </c>
      <c r="G736" s="48">
        <v>6749.3</v>
      </c>
    </row>
    <row r="737" spans="1:7" ht="10.050000000000001" customHeight="1">
      <c r="A737" s="45" t="s">
        <v>150</v>
      </c>
      <c r="B737" s="45" t="s">
        <v>87</v>
      </c>
      <c r="C737" s="46">
        <v>2007</v>
      </c>
      <c r="D737" s="45" t="s">
        <v>115</v>
      </c>
      <c r="E737" s="47">
        <v>11</v>
      </c>
      <c r="F737" s="48">
        <v>10434.200000000001</v>
      </c>
      <c r="G737" s="48">
        <v>6604.7</v>
      </c>
    </row>
    <row r="738" spans="1:7" ht="10.050000000000001" customHeight="1">
      <c r="A738" s="45" t="s">
        <v>150</v>
      </c>
      <c r="B738" s="45" t="s">
        <v>87</v>
      </c>
      <c r="C738" s="46">
        <v>2007</v>
      </c>
      <c r="D738" s="45" t="s">
        <v>115</v>
      </c>
      <c r="E738" s="47">
        <v>12</v>
      </c>
      <c r="F738" s="48">
        <v>12966.8</v>
      </c>
      <c r="G738" s="48">
        <v>5841.5</v>
      </c>
    </row>
    <row r="739" spans="1:7" ht="10.050000000000001" customHeight="1">
      <c r="A739" s="45" t="s">
        <v>150</v>
      </c>
      <c r="B739" s="45" t="s">
        <v>87</v>
      </c>
      <c r="C739" s="46">
        <v>2008</v>
      </c>
      <c r="D739" s="45" t="s">
        <v>115</v>
      </c>
      <c r="E739" s="47">
        <v>1</v>
      </c>
      <c r="F739" s="48">
        <v>12319.9</v>
      </c>
      <c r="G739" s="48">
        <v>6109.8</v>
      </c>
    </row>
    <row r="740" spans="1:7" ht="10.050000000000001" customHeight="1">
      <c r="A740" s="45" t="s">
        <v>150</v>
      </c>
      <c r="B740" s="45" t="s">
        <v>87</v>
      </c>
      <c r="C740" s="46">
        <v>2008</v>
      </c>
      <c r="D740" s="45" t="s">
        <v>115</v>
      </c>
      <c r="E740" s="47">
        <v>2</v>
      </c>
      <c r="F740" s="48">
        <v>9150.4</v>
      </c>
      <c r="G740" s="48">
        <v>6091.9</v>
      </c>
    </row>
    <row r="741" spans="1:7" ht="10.050000000000001" customHeight="1">
      <c r="A741" s="45" t="s">
        <v>150</v>
      </c>
      <c r="B741" s="45" t="s">
        <v>87</v>
      </c>
      <c r="C741" s="46">
        <v>2008</v>
      </c>
      <c r="D741" s="45" t="s">
        <v>115</v>
      </c>
      <c r="E741" s="47">
        <v>3</v>
      </c>
      <c r="F741" s="48">
        <v>7531.8</v>
      </c>
      <c r="G741" s="48">
        <v>5840.2</v>
      </c>
    </row>
    <row r="742" spans="1:7" ht="10.050000000000001" customHeight="1">
      <c r="A742" s="45" t="s">
        <v>150</v>
      </c>
      <c r="B742" s="45" t="s">
        <v>87</v>
      </c>
      <c r="C742" s="46">
        <v>2008</v>
      </c>
      <c r="D742" s="45" t="s">
        <v>115</v>
      </c>
      <c r="E742" s="47">
        <v>4</v>
      </c>
      <c r="F742" s="48">
        <v>6394.2</v>
      </c>
      <c r="G742" s="48">
        <v>4609.5</v>
      </c>
    </row>
    <row r="743" spans="1:7" ht="10.050000000000001" customHeight="1">
      <c r="A743" s="45" t="s">
        <v>150</v>
      </c>
      <c r="B743" s="45" t="s">
        <v>87</v>
      </c>
      <c r="C743" s="46">
        <v>2008</v>
      </c>
      <c r="D743" s="45" t="s">
        <v>115</v>
      </c>
      <c r="E743" s="47">
        <v>5</v>
      </c>
      <c r="F743" s="48">
        <v>6816.1</v>
      </c>
      <c r="G743" s="48">
        <v>4604.2</v>
      </c>
    </row>
    <row r="744" spans="1:7" ht="10.050000000000001" customHeight="1">
      <c r="A744" s="45" t="s">
        <v>150</v>
      </c>
      <c r="B744" s="45" t="s">
        <v>87</v>
      </c>
      <c r="C744" s="46">
        <v>2008</v>
      </c>
      <c r="D744" s="45" t="s">
        <v>115</v>
      </c>
      <c r="E744" s="47">
        <v>6</v>
      </c>
      <c r="F744" s="48">
        <v>7622.4</v>
      </c>
      <c r="G744" s="48">
        <v>5664.1</v>
      </c>
    </row>
    <row r="745" spans="1:7" ht="10.050000000000001" customHeight="1">
      <c r="A745" s="45" t="s">
        <v>150</v>
      </c>
      <c r="B745" s="45" t="s">
        <v>87</v>
      </c>
      <c r="C745" s="46">
        <v>2008</v>
      </c>
      <c r="D745" s="45" t="s">
        <v>109</v>
      </c>
      <c r="E745" s="47">
        <v>7</v>
      </c>
      <c r="F745" s="48">
        <v>9842.6</v>
      </c>
      <c r="G745" s="48">
        <v>5413.4</v>
      </c>
    </row>
    <row r="746" spans="1:7" ht="10.050000000000001" customHeight="1">
      <c r="A746" s="45" t="s">
        <v>150</v>
      </c>
      <c r="B746" s="45" t="s">
        <v>87</v>
      </c>
      <c r="C746" s="46">
        <v>2008</v>
      </c>
      <c r="D746" s="45" t="s">
        <v>109</v>
      </c>
      <c r="E746" s="47">
        <v>8</v>
      </c>
      <c r="F746" s="48">
        <v>6602.9</v>
      </c>
      <c r="G746" s="48">
        <v>4364</v>
      </c>
    </row>
    <row r="747" spans="1:7" ht="10.050000000000001" customHeight="1">
      <c r="A747" s="45" t="s">
        <v>150</v>
      </c>
      <c r="B747" s="45" t="s">
        <v>87</v>
      </c>
      <c r="C747" s="46">
        <v>2008</v>
      </c>
      <c r="D747" s="45" t="s">
        <v>109</v>
      </c>
      <c r="E747" s="47">
        <v>9</v>
      </c>
      <c r="F747" s="48">
        <v>5409.6</v>
      </c>
      <c r="G747" s="48">
        <v>3815.3</v>
      </c>
    </row>
    <row r="748" spans="1:7" ht="10.050000000000001" customHeight="1">
      <c r="A748" s="45" t="s">
        <v>150</v>
      </c>
      <c r="B748" s="45" t="s">
        <v>87</v>
      </c>
      <c r="C748" s="46">
        <v>2008</v>
      </c>
      <c r="D748" s="45" t="s">
        <v>109</v>
      </c>
      <c r="E748" s="47">
        <v>10</v>
      </c>
      <c r="F748" s="48">
        <v>4982.3999999999996</v>
      </c>
      <c r="G748" s="48">
        <v>3508.6</v>
      </c>
    </row>
    <row r="749" spans="1:7" ht="10.050000000000001" customHeight="1">
      <c r="A749" s="45" t="s">
        <v>150</v>
      </c>
      <c r="B749" s="45" t="s">
        <v>87</v>
      </c>
      <c r="C749" s="46">
        <v>2008</v>
      </c>
      <c r="D749" s="45" t="s">
        <v>109</v>
      </c>
      <c r="E749" s="47">
        <v>11</v>
      </c>
      <c r="F749" s="48">
        <v>5933.2</v>
      </c>
      <c r="G749" s="48">
        <v>3232.5</v>
      </c>
    </row>
    <row r="750" spans="1:7" ht="10.050000000000001" customHeight="1">
      <c r="A750" s="45" t="s">
        <v>150</v>
      </c>
      <c r="B750" s="45" t="s">
        <v>87</v>
      </c>
      <c r="C750" s="46">
        <v>2008</v>
      </c>
      <c r="D750" s="45" t="s">
        <v>109</v>
      </c>
      <c r="E750" s="47">
        <v>12</v>
      </c>
      <c r="F750" s="48">
        <v>6715.4</v>
      </c>
      <c r="G750" s="48">
        <v>3240.6</v>
      </c>
    </row>
    <row r="751" spans="1:7" ht="10.050000000000001" customHeight="1">
      <c r="A751" s="45" t="s">
        <v>150</v>
      </c>
      <c r="B751" s="45" t="s">
        <v>87</v>
      </c>
      <c r="C751" s="46">
        <v>2009</v>
      </c>
      <c r="D751" s="45" t="s">
        <v>109</v>
      </c>
      <c r="E751" s="47">
        <v>1</v>
      </c>
      <c r="F751" s="48">
        <v>4235</v>
      </c>
      <c r="G751" s="48">
        <v>2946.8</v>
      </c>
    </row>
    <row r="752" spans="1:7" ht="10.050000000000001" customHeight="1">
      <c r="A752" s="45" t="s">
        <v>150</v>
      </c>
      <c r="B752" s="45" t="s">
        <v>87</v>
      </c>
      <c r="C752" s="46">
        <v>2009</v>
      </c>
      <c r="D752" s="45" t="s">
        <v>109</v>
      </c>
      <c r="E752" s="47">
        <v>2</v>
      </c>
      <c r="F752" s="48">
        <v>6204</v>
      </c>
      <c r="G752" s="48">
        <v>2841.3</v>
      </c>
    </row>
    <row r="753" spans="1:7" ht="10.050000000000001" customHeight="1">
      <c r="A753" s="45" t="s">
        <v>150</v>
      </c>
      <c r="B753" s="45" t="s">
        <v>87</v>
      </c>
      <c r="C753" s="46">
        <v>2009</v>
      </c>
      <c r="D753" s="45" t="s">
        <v>109</v>
      </c>
      <c r="E753" s="47">
        <v>3</v>
      </c>
      <c r="F753" s="48">
        <v>5872.7</v>
      </c>
      <c r="G753" s="48">
        <v>3066.2</v>
      </c>
    </row>
    <row r="754" spans="1:7" ht="10.050000000000001" customHeight="1">
      <c r="A754" s="45" t="s">
        <v>150</v>
      </c>
      <c r="B754" s="45" t="s">
        <v>87</v>
      </c>
      <c r="C754" s="46">
        <v>2009</v>
      </c>
      <c r="D754" s="45" t="s">
        <v>109</v>
      </c>
      <c r="E754" s="47">
        <v>4</v>
      </c>
      <c r="F754" s="48">
        <v>5999.6</v>
      </c>
      <c r="G754" s="48">
        <v>2844.1</v>
      </c>
    </row>
    <row r="755" spans="1:7" ht="10.050000000000001" customHeight="1">
      <c r="A755" s="45" t="s">
        <v>150</v>
      </c>
      <c r="B755" s="45" t="s">
        <v>87</v>
      </c>
      <c r="C755" s="46">
        <v>2009</v>
      </c>
      <c r="D755" s="45" t="s">
        <v>109</v>
      </c>
      <c r="E755" s="47">
        <v>5</v>
      </c>
      <c r="F755" s="48">
        <v>6210.8</v>
      </c>
      <c r="G755" s="48">
        <v>2837.8</v>
      </c>
    </row>
    <row r="756" spans="1:7" ht="10.050000000000001" customHeight="1">
      <c r="A756" s="45" t="s">
        <v>150</v>
      </c>
      <c r="B756" s="45" t="s">
        <v>87</v>
      </c>
      <c r="C756" s="46">
        <v>2009</v>
      </c>
      <c r="D756" s="45" t="s">
        <v>109</v>
      </c>
      <c r="E756" s="47">
        <v>6</v>
      </c>
      <c r="F756" s="48">
        <v>6768.3</v>
      </c>
      <c r="G756" s="48">
        <v>2949.6</v>
      </c>
    </row>
    <row r="757" spans="1:7" ht="10.050000000000001" customHeight="1">
      <c r="A757" s="45" t="s">
        <v>150</v>
      </c>
      <c r="B757" s="45" t="s">
        <v>87</v>
      </c>
      <c r="C757" s="46">
        <v>2009</v>
      </c>
      <c r="D757" s="45" t="s">
        <v>116</v>
      </c>
      <c r="E757" s="47">
        <v>7</v>
      </c>
      <c r="F757" s="48">
        <v>7204.9</v>
      </c>
      <c r="G757" s="48">
        <v>3654.9</v>
      </c>
    </row>
    <row r="758" spans="1:7" ht="10.050000000000001" customHeight="1">
      <c r="A758" s="45" t="s">
        <v>150</v>
      </c>
      <c r="B758" s="45" t="s">
        <v>87</v>
      </c>
      <c r="C758" s="46">
        <v>2009</v>
      </c>
      <c r="D758" s="45" t="s">
        <v>116</v>
      </c>
      <c r="E758" s="47">
        <v>8</v>
      </c>
      <c r="F758" s="48">
        <v>10626.2</v>
      </c>
      <c r="G758" s="48">
        <v>4598.1000000000004</v>
      </c>
    </row>
    <row r="759" spans="1:7" ht="10.050000000000001" customHeight="1">
      <c r="A759" s="45" t="s">
        <v>150</v>
      </c>
      <c r="B759" s="45" t="s">
        <v>87</v>
      </c>
      <c r="C759" s="46">
        <v>2009</v>
      </c>
      <c r="D759" s="45" t="s">
        <v>116</v>
      </c>
      <c r="E759" s="47">
        <v>9</v>
      </c>
      <c r="F759" s="48">
        <v>13445.4</v>
      </c>
      <c r="G759" s="48">
        <v>3608.5</v>
      </c>
    </row>
    <row r="760" spans="1:7" ht="10.050000000000001" customHeight="1">
      <c r="A760" s="45" t="s">
        <v>150</v>
      </c>
      <c r="B760" s="45" t="s">
        <v>87</v>
      </c>
      <c r="C760" s="46">
        <v>2009</v>
      </c>
      <c r="D760" s="45" t="s">
        <v>116</v>
      </c>
      <c r="E760" s="47">
        <v>10</v>
      </c>
      <c r="F760" s="48">
        <v>10720.3</v>
      </c>
      <c r="G760" s="48">
        <v>3442.7</v>
      </c>
    </row>
    <row r="761" spans="1:7" ht="10.050000000000001" customHeight="1">
      <c r="A761" s="45" t="s">
        <v>150</v>
      </c>
      <c r="B761" s="45" t="s">
        <v>87</v>
      </c>
      <c r="C761" s="46">
        <v>2009</v>
      </c>
      <c r="D761" s="45" t="s">
        <v>116</v>
      </c>
      <c r="E761" s="47">
        <v>11</v>
      </c>
      <c r="F761" s="48">
        <v>8301.2000000000007</v>
      </c>
      <c r="G761" s="48">
        <v>3722.7</v>
      </c>
    </row>
    <row r="762" spans="1:7" ht="10.050000000000001" customHeight="1">
      <c r="A762" s="45" t="s">
        <v>150</v>
      </c>
      <c r="B762" s="45" t="s">
        <v>87</v>
      </c>
      <c r="C762" s="46">
        <v>2009</v>
      </c>
      <c r="D762" s="45" t="s">
        <v>116</v>
      </c>
      <c r="E762" s="47">
        <v>12</v>
      </c>
      <c r="F762" s="48">
        <v>7689.3</v>
      </c>
      <c r="G762" s="48">
        <v>3560.7</v>
      </c>
    </row>
    <row r="763" spans="1:7" ht="10.050000000000001" customHeight="1">
      <c r="A763" s="45" t="s">
        <v>150</v>
      </c>
      <c r="B763" s="45" t="s">
        <v>87</v>
      </c>
      <c r="C763" s="46">
        <v>2010</v>
      </c>
      <c r="D763" s="45" t="s">
        <v>116</v>
      </c>
      <c r="E763" s="47">
        <v>1</v>
      </c>
      <c r="F763" s="48">
        <v>7925</v>
      </c>
      <c r="G763" s="48">
        <v>2779.3</v>
      </c>
    </row>
    <row r="764" spans="1:7" ht="10.050000000000001" customHeight="1">
      <c r="A764" s="45" t="s">
        <v>150</v>
      </c>
      <c r="B764" s="45" t="s">
        <v>87</v>
      </c>
      <c r="C764" s="46">
        <v>2010</v>
      </c>
      <c r="D764" s="45" t="s">
        <v>116</v>
      </c>
      <c r="E764" s="47">
        <v>2</v>
      </c>
      <c r="F764" s="48">
        <v>7585.3</v>
      </c>
      <c r="G764" s="48">
        <v>3890</v>
      </c>
    </row>
    <row r="765" spans="1:7" ht="10.050000000000001" customHeight="1">
      <c r="A765" s="45" t="s">
        <v>150</v>
      </c>
      <c r="B765" s="45" t="s">
        <v>87</v>
      </c>
      <c r="C765" s="46">
        <v>2010</v>
      </c>
      <c r="D765" s="45" t="s">
        <v>116</v>
      </c>
      <c r="E765" s="47">
        <v>3</v>
      </c>
      <c r="F765" s="48">
        <v>10757</v>
      </c>
      <c r="G765" s="48">
        <v>4672.3</v>
      </c>
    </row>
    <row r="766" spans="1:7" ht="10.050000000000001" customHeight="1">
      <c r="A766" s="45" t="s">
        <v>150</v>
      </c>
      <c r="B766" s="45" t="s">
        <v>87</v>
      </c>
      <c r="C766" s="46">
        <v>2010</v>
      </c>
      <c r="D766" s="45" t="s">
        <v>116</v>
      </c>
      <c r="E766" s="47">
        <v>4</v>
      </c>
      <c r="F766" s="48">
        <v>8198.7999999999993</v>
      </c>
      <c r="G766" s="48">
        <v>4119.5</v>
      </c>
    </row>
    <row r="767" spans="1:7" ht="10.050000000000001" customHeight="1">
      <c r="A767" s="45" t="s">
        <v>150</v>
      </c>
      <c r="B767" s="45" t="s">
        <v>87</v>
      </c>
      <c r="C767" s="46">
        <v>2010</v>
      </c>
      <c r="D767" s="45" t="s">
        <v>116</v>
      </c>
      <c r="E767" s="47">
        <v>5</v>
      </c>
      <c r="F767" s="48">
        <v>6968</v>
      </c>
      <c r="G767" s="48">
        <v>3462</v>
      </c>
    </row>
    <row r="768" spans="1:7" ht="10.050000000000001" customHeight="1">
      <c r="A768" s="45" t="s">
        <v>150</v>
      </c>
      <c r="B768" s="45" t="s">
        <v>87</v>
      </c>
      <c r="C768" s="46">
        <v>2010</v>
      </c>
      <c r="D768" s="45" t="s">
        <v>116</v>
      </c>
      <c r="E768" s="47">
        <v>6</v>
      </c>
      <c r="F768" s="48">
        <v>4047.8</v>
      </c>
      <c r="G768" s="48">
        <v>2826.9</v>
      </c>
    </row>
    <row r="769" spans="1:7" ht="10.050000000000001" customHeight="1">
      <c r="A769" s="45" t="s">
        <v>150</v>
      </c>
      <c r="B769" s="45" t="s">
        <v>87</v>
      </c>
      <c r="C769" s="46">
        <v>2010</v>
      </c>
      <c r="D769" s="45" t="s">
        <v>117</v>
      </c>
      <c r="E769" s="47">
        <v>7</v>
      </c>
      <c r="F769" s="48">
        <v>7588.5</v>
      </c>
      <c r="G769" s="48">
        <v>5734.6</v>
      </c>
    </row>
    <row r="770" spans="1:7" ht="10.050000000000001" customHeight="1">
      <c r="A770" s="45" t="s">
        <v>150</v>
      </c>
      <c r="B770" s="45" t="s">
        <v>87</v>
      </c>
      <c r="C770" s="46">
        <v>2010</v>
      </c>
      <c r="D770" s="45" t="s">
        <v>117</v>
      </c>
      <c r="E770" s="47">
        <v>8</v>
      </c>
      <c r="F770" s="48">
        <v>24516.958999999999</v>
      </c>
      <c r="G770" s="48">
        <v>7818.6409999999996</v>
      </c>
    </row>
    <row r="771" spans="1:7" ht="10.050000000000001" customHeight="1">
      <c r="A771" s="45" t="s">
        <v>150</v>
      </c>
      <c r="B771" s="45" t="s">
        <v>87</v>
      </c>
      <c r="C771" s="46">
        <v>2010</v>
      </c>
      <c r="D771" s="45" t="s">
        <v>117</v>
      </c>
      <c r="E771" s="47">
        <v>9</v>
      </c>
      <c r="F771" s="48">
        <v>34909.760999999999</v>
      </c>
      <c r="G771" s="48">
        <v>8656.5319999999992</v>
      </c>
    </row>
    <row r="772" spans="1:7" ht="10.050000000000001" customHeight="1">
      <c r="A772" s="45" t="s">
        <v>150</v>
      </c>
      <c r="B772" s="45" t="s">
        <v>87</v>
      </c>
      <c r="C772" s="46">
        <v>2010</v>
      </c>
      <c r="D772" s="45" t="s">
        <v>117</v>
      </c>
      <c r="E772" s="47">
        <v>10</v>
      </c>
      <c r="F772" s="48">
        <v>33993.695</v>
      </c>
      <c r="G772" s="48">
        <v>9638.9869999999992</v>
      </c>
    </row>
    <row r="773" spans="1:7" ht="10.050000000000001" customHeight="1">
      <c r="A773" s="45" t="s">
        <v>150</v>
      </c>
      <c r="B773" s="45" t="s">
        <v>87</v>
      </c>
      <c r="C773" s="46">
        <v>2010</v>
      </c>
      <c r="D773" s="45" t="s">
        <v>117</v>
      </c>
      <c r="E773" s="47">
        <v>11</v>
      </c>
      <c r="F773" s="48">
        <v>32476.411</v>
      </c>
      <c r="G773" s="48">
        <v>9239.6859999999997</v>
      </c>
    </row>
    <row r="774" spans="1:7" ht="10.050000000000001" customHeight="1">
      <c r="A774" s="45" t="s">
        <v>150</v>
      </c>
      <c r="B774" s="45" t="s">
        <v>87</v>
      </c>
      <c r="C774" s="46">
        <v>2010</v>
      </c>
      <c r="D774" s="45" t="s">
        <v>117</v>
      </c>
      <c r="E774" s="47">
        <v>12</v>
      </c>
      <c r="F774" s="48">
        <v>31795.06</v>
      </c>
      <c r="G774" s="48">
        <v>9655.3810000000103</v>
      </c>
    </row>
    <row r="775" spans="1:7" ht="10.050000000000001" customHeight="1">
      <c r="A775" s="45" t="s">
        <v>150</v>
      </c>
      <c r="B775" s="45" t="s">
        <v>87</v>
      </c>
      <c r="C775" s="46">
        <v>2011</v>
      </c>
      <c r="D775" s="45" t="s">
        <v>117</v>
      </c>
      <c r="E775" s="47">
        <v>1</v>
      </c>
      <c r="F775" s="48">
        <v>24749.071</v>
      </c>
      <c r="G775" s="48">
        <v>10392.39</v>
      </c>
    </row>
    <row r="776" spans="1:7" ht="10.050000000000001" customHeight="1">
      <c r="A776" s="45" t="s">
        <v>150</v>
      </c>
      <c r="B776" s="45" t="s">
        <v>87</v>
      </c>
      <c r="C776" s="46">
        <v>2011</v>
      </c>
      <c r="D776" s="45" t="s">
        <v>117</v>
      </c>
      <c r="E776" s="47">
        <v>2</v>
      </c>
      <c r="F776" s="48">
        <v>18254.584999999999</v>
      </c>
      <c r="G776" s="48">
        <v>10322.477000000001</v>
      </c>
    </row>
    <row r="777" spans="1:7" ht="10.050000000000001" customHeight="1">
      <c r="A777" s="45" t="s">
        <v>150</v>
      </c>
      <c r="B777" s="45" t="s">
        <v>87</v>
      </c>
      <c r="C777" s="46">
        <v>2011</v>
      </c>
      <c r="D777" s="45" t="s">
        <v>117</v>
      </c>
      <c r="E777" s="47">
        <v>3</v>
      </c>
      <c r="F777" s="48">
        <v>17540.462</v>
      </c>
      <c r="G777" s="48">
        <v>9530.4950000000008</v>
      </c>
    </row>
    <row r="778" spans="1:7" ht="10.050000000000001" customHeight="1">
      <c r="A778" s="45" t="s">
        <v>150</v>
      </c>
      <c r="B778" s="45" t="s">
        <v>87</v>
      </c>
      <c r="C778" s="46">
        <v>2011</v>
      </c>
      <c r="D778" s="45" t="s">
        <v>117</v>
      </c>
      <c r="E778" s="47">
        <v>4</v>
      </c>
      <c r="F778" s="48">
        <v>18301.602999999999</v>
      </c>
      <c r="G778" s="48">
        <v>5155.6970000000001</v>
      </c>
    </row>
    <row r="779" spans="1:7" ht="10.050000000000001" customHeight="1">
      <c r="A779" s="45" t="s">
        <v>150</v>
      </c>
      <c r="B779" s="45" t="s">
        <v>87</v>
      </c>
      <c r="C779" s="46">
        <v>2011</v>
      </c>
      <c r="D779" s="45" t="s">
        <v>117</v>
      </c>
      <c r="E779" s="47">
        <v>5</v>
      </c>
      <c r="F779" s="48">
        <v>18901.21</v>
      </c>
      <c r="G779" s="48">
        <v>5793.6369999999997</v>
      </c>
    </row>
    <row r="780" spans="1:7" ht="10.050000000000001" customHeight="1">
      <c r="A780" s="45" t="s">
        <v>150</v>
      </c>
      <c r="B780" s="45" t="s">
        <v>87</v>
      </c>
      <c r="C780" s="46">
        <v>2011</v>
      </c>
      <c r="D780" s="45" t="s">
        <v>117</v>
      </c>
      <c r="E780" s="47">
        <v>6</v>
      </c>
      <c r="F780" s="48">
        <v>13284.489</v>
      </c>
      <c r="G780" s="48">
        <v>6075.348</v>
      </c>
    </row>
    <row r="781" spans="1:7" ht="10.050000000000001" customHeight="1">
      <c r="A781" s="45" t="s">
        <v>150</v>
      </c>
      <c r="B781" s="45" t="s">
        <v>87</v>
      </c>
      <c r="C781" s="46">
        <v>2011</v>
      </c>
      <c r="D781" s="45" t="s">
        <v>118</v>
      </c>
      <c r="E781" s="47">
        <v>7</v>
      </c>
      <c r="F781" s="48">
        <v>11490.361000000001</v>
      </c>
      <c r="G781" s="48">
        <v>4531.2479999999996</v>
      </c>
    </row>
    <row r="782" spans="1:7" ht="10.050000000000001" customHeight="1">
      <c r="A782" s="45" t="s">
        <v>150</v>
      </c>
      <c r="B782" s="45" t="s">
        <v>87</v>
      </c>
      <c r="C782" s="46">
        <v>2011</v>
      </c>
      <c r="D782" s="45" t="s">
        <v>118</v>
      </c>
      <c r="E782" s="47">
        <v>8</v>
      </c>
      <c r="F782" s="48">
        <v>8705.3169999999991</v>
      </c>
      <c r="G782" s="48">
        <v>4274.7910000000002</v>
      </c>
    </row>
    <row r="783" spans="1:7" ht="10.050000000000001" customHeight="1">
      <c r="A783" s="45" t="s">
        <v>150</v>
      </c>
      <c r="B783" s="45" t="s">
        <v>87</v>
      </c>
      <c r="C783" s="46">
        <v>2011</v>
      </c>
      <c r="D783" s="45" t="s">
        <v>118</v>
      </c>
      <c r="E783" s="47">
        <v>9</v>
      </c>
      <c r="F783" s="48">
        <v>6441.4740000000002</v>
      </c>
      <c r="G783" s="48">
        <v>3590.0650000000001</v>
      </c>
    </row>
    <row r="784" spans="1:7" ht="10.050000000000001" customHeight="1">
      <c r="A784" s="45" t="s">
        <v>150</v>
      </c>
      <c r="B784" s="45" t="s">
        <v>87</v>
      </c>
      <c r="C784" s="46">
        <v>2011</v>
      </c>
      <c r="D784" s="45" t="s">
        <v>118</v>
      </c>
      <c r="E784" s="47">
        <v>10</v>
      </c>
      <c r="F784" s="48">
        <v>4355.99</v>
      </c>
      <c r="G784" s="48">
        <v>2964.915</v>
      </c>
    </row>
    <row r="785" spans="1:7" ht="10.050000000000001" customHeight="1">
      <c r="A785" s="45" t="s">
        <v>150</v>
      </c>
      <c r="B785" s="45" t="s">
        <v>87</v>
      </c>
      <c r="C785" s="46">
        <v>2011</v>
      </c>
      <c r="D785" s="45" t="s">
        <v>118</v>
      </c>
      <c r="E785" s="47">
        <v>11</v>
      </c>
      <c r="F785" s="48">
        <v>3326.9920000000002</v>
      </c>
      <c r="G785" s="48">
        <v>2559.643</v>
      </c>
    </row>
    <row r="786" spans="1:7" ht="10.050000000000001" customHeight="1">
      <c r="A786" s="45" t="s">
        <v>150</v>
      </c>
      <c r="B786" s="45" t="s">
        <v>87</v>
      </c>
      <c r="C786" s="46">
        <v>2011</v>
      </c>
      <c r="D786" s="45" t="s">
        <v>118</v>
      </c>
      <c r="E786" s="47">
        <v>12</v>
      </c>
      <c r="F786" s="48">
        <v>2693.6120000000001</v>
      </c>
      <c r="G786" s="48">
        <v>2386.8710000000001</v>
      </c>
    </row>
    <row r="787" spans="1:7" ht="10.050000000000001" customHeight="1">
      <c r="A787" s="45" t="s">
        <v>150</v>
      </c>
      <c r="B787" s="45" t="s">
        <v>87</v>
      </c>
      <c r="C787" s="46">
        <v>2012</v>
      </c>
      <c r="D787" s="45" t="s">
        <v>118</v>
      </c>
      <c r="E787" s="47">
        <v>1</v>
      </c>
      <c r="F787" s="48">
        <v>2624.0479999999998</v>
      </c>
      <c r="G787" s="48">
        <v>2837.17</v>
      </c>
    </row>
    <row r="788" spans="1:7" ht="10.050000000000001" customHeight="1">
      <c r="A788" s="45" t="s">
        <v>150</v>
      </c>
      <c r="B788" s="45" t="s">
        <v>87</v>
      </c>
      <c r="C788" s="46">
        <v>2012</v>
      </c>
      <c r="D788" s="45" t="s">
        <v>118</v>
      </c>
      <c r="E788" s="47">
        <v>2</v>
      </c>
      <c r="F788" s="48">
        <v>4777.08</v>
      </c>
      <c r="G788" s="48">
        <v>2819.27</v>
      </c>
    </row>
    <row r="789" spans="1:7" ht="10.050000000000001" customHeight="1">
      <c r="A789" s="45" t="s">
        <v>150</v>
      </c>
      <c r="B789" s="45" t="s">
        <v>87</v>
      </c>
      <c r="C789" s="46">
        <v>2012</v>
      </c>
      <c r="D789" s="45" t="s">
        <v>118</v>
      </c>
      <c r="E789" s="47">
        <v>3</v>
      </c>
      <c r="F789" s="48">
        <v>5682.7839999999997</v>
      </c>
      <c r="G789" s="48">
        <v>3035.0659999999998</v>
      </c>
    </row>
    <row r="790" spans="1:7" ht="10.050000000000001" customHeight="1">
      <c r="A790" s="45" t="s">
        <v>150</v>
      </c>
      <c r="B790" s="45" t="s">
        <v>87</v>
      </c>
      <c r="C790" s="46">
        <v>2012</v>
      </c>
      <c r="D790" s="45" t="s">
        <v>118</v>
      </c>
      <c r="E790" s="47">
        <v>4</v>
      </c>
      <c r="F790" s="48">
        <v>5865.9570000000003</v>
      </c>
      <c r="G790" s="48">
        <v>3293.94</v>
      </c>
    </row>
    <row r="791" spans="1:7" ht="10.050000000000001" customHeight="1">
      <c r="A791" s="45" t="s">
        <v>150</v>
      </c>
      <c r="B791" s="45" t="s">
        <v>87</v>
      </c>
      <c r="C791" s="46">
        <v>2012</v>
      </c>
      <c r="D791" s="45" t="s">
        <v>118</v>
      </c>
      <c r="E791" s="47">
        <v>5</v>
      </c>
      <c r="F791" s="48">
        <v>5520.3829999999998</v>
      </c>
      <c r="G791" s="48">
        <v>2575.9569999999999</v>
      </c>
    </row>
    <row r="792" spans="1:7" ht="10.050000000000001" customHeight="1">
      <c r="A792" s="45" t="s">
        <v>150</v>
      </c>
      <c r="B792" s="45" t="s">
        <v>87</v>
      </c>
      <c r="C792" s="46">
        <v>2012</v>
      </c>
      <c r="D792" s="45" t="s">
        <v>118</v>
      </c>
      <c r="E792" s="47">
        <v>6</v>
      </c>
      <c r="F792" s="48">
        <v>3823.2649999999999</v>
      </c>
      <c r="G792" s="48">
        <v>3161.0920000000001</v>
      </c>
    </row>
    <row r="793" spans="1:7" ht="10.050000000000001" customHeight="1">
      <c r="A793" s="45" t="s">
        <v>150</v>
      </c>
      <c r="B793" s="45" t="s">
        <v>87</v>
      </c>
      <c r="C793" s="46">
        <v>2012</v>
      </c>
      <c r="D793" s="45" t="s">
        <v>119</v>
      </c>
      <c r="E793" s="47">
        <v>7</v>
      </c>
      <c r="F793" s="48">
        <v>4377.2359999999999</v>
      </c>
      <c r="G793" s="48">
        <v>2856.6060000000002</v>
      </c>
    </row>
    <row r="794" spans="1:7" ht="10.050000000000001" customHeight="1">
      <c r="A794" s="45" t="s">
        <v>150</v>
      </c>
      <c r="B794" s="45" t="s">
        <v>87</v>
      </c>
      <c r="C794" s="46">
        <v>2012</v>
      </c>
      <c r="D794" s="45" t="s">
        <v>119</v>
      </c>
      <c r="E794" s="47">
        <v>8</v>
      </c>
      <c r="F794" s="48">
        <v>7164.576</v>
      </c>
      <c r="G794" s="48">
        <v>3343.366</v>
      </c>
    </row>
    <row r="795" spans="1:7" ht="10.050000000000001" customHeight="1">
      <c r="A795" s="45" t="s">
        <v>150</v>
      </c>
      <c r="B795" s="45" t="s">
        <v>87</v>
      </c>
      <c r="C795" s="46">
        <v>2012</v>
      </c>
      <c r="D795" s="45" t="s">
        <v>119</v>
      </c>
      <c r="E795" s="47">
        <v>9</v>
      </c>
      <c r="F795" s="48">
        <v>9133.0949999999993</v>
      </c>
      <c r="G795" s="48">
        <v>4264.41</v>
      </c>
    </row>
    <row r="796" spans="1:7" ht="10.050000000000001" customHeight="1">
      <c r="A796" s="45" t="s">
        <v>150</v>
      </c>
      <c r="B796" s="45" t="s">
        <v>87</v>
      </c>
      <c r="C796" s="46">
        <v>2012</v>
      </c>
      <c r="D796" s="45" t="s">
        <v>119</v>
      </c>
      <c r="E796" s="47">
        <v>10</v>
      </c>
      <c r="F796" s="48">
        <v>7612.6850000000004</v>
      </c>
      <c r="G796" s="48">
        <v>4215.8050000000003</v>
      </c>
    </row>
    <row r="797" spans="1:7" ht="10.050000000000001" customHeight="1">
      <c r="A797" s="45" t="s">
        <v>150</v>
      </c>
      <c r="B797" s="45" t="s">
        <v>87</v>
      </c>
      <c r="C797" s="46">
        <v>2012</v>
      </c>
      <c r="D797" s="45" t="s">
        <v>119</v>
      </c>
      <c r="E797" s="47">
        <v>11</v>
      </c>
      <c r="F797" s="48">
        <v>4910.8429999999998</v>
      </c>
      <c r="G797" s="48">
        <v>3975.8150000000001</v>
      </c>
    </row>
    <row r="798" spans="1:7" ht="10.050000000000001" customHeight="1">
      <c r="A798" s="45" t="s">
        <v>150</v>
      </c>
      <c r="B798" s="45" t="s">
        <v>87</v>
      </c>
      <c r="C798" s="46">
        <v>2012</v>
      </c>
      <c r="D798" s="45" t="s">
        <v>119</v>
      </c>
      <c r="E798" s="47">
        <v>12</v>
      </c>
      <c r="F798" s="48">
        <v>5735.1890000000003</v>
      </c>
      <c r="G798" s="48">
        <v>4129.8980000000001</v>
      </c>
    </row>
    <row r="799" spans="1:7" ht="10.050000000000001" customHeight="1">
      <c r="A799" s="45" t="s">
        <v>150</v>
      </c>
      <c r="B799" s="45" t="s">
        <v>87</v>
      </c>
      <c r="C799" s="46">
        <v>2013</v>
      </c>
      <c r="D799" s="45" t="s">
        <v>119</v>
      </c>
      <c r="E799" s="47">
        <v>1</v>
      </c>
      <c r="F799" s="48">
        <v>4229.7070000000003</v>
      </c>
      <c r="G799" s="48">
        <v>4166.9560000000001</v>
      </c>
    </row>
    <row r="800" spans="1:7" ht="10.050000000000001" customHeight="1">
      <c r="A800" s="45" t="s">
        <v>150</v>
      </c>
      <c r="B800" s="45" t="s">
        <v>87</v>
      </c>
      <c r="C800" s="46">
        <v>2013</v>
      </c>
      <c r="D800" s="45" t="s">
        <v>119</v>
      </c>
      <c r="E800" s="47">
        <v>2</v>
      </c>
      <c r="F800" s="48">
        <v>3451.9290000000001</v>
      </c>
      <c r="G800" s="48">
        <v>3266.8710000000001</v>
      </c>
    </row>
    <row r="801" spans="1:7" ht="10.050000000000001" customHeight="1">
      <c r="A801" s="45" t="s">
        <v>150</v>
      </c>
      <c r="B801" s="45" t="s">
        <v>87</v>
      </c>
      <c r="C801" s="46">
        <v>2013</v>
      </c>
      <c r="D801" s="45" t="s">
        <v>119</v>
      </c>
      <c r="E801" s="47">
        <v>3</v>
      </c>
      <c r="F801" s="48">
        <v>3880.0720000000001</v>
      </c>
      <c r="G801" s="48">
        <v>3004.395</v>
      </c>
    </row>
    <row r="802" spans="1:7" ht="10.050000000000001" customHeight="1">
      <c r="A802" s="45" t="s">
        <v>150</v>
      </c>
      <c r="B802" s="45" t="s">
        <v>87</v>
      </c>
      <c r="C802" s="46">
        <v>2013</v>
      </c>
      <c r="D802" s="45" t="s">
        <v>119</v>
      </c>
      <c r="E802" s="47">
        <v>4</v>
      </c>
      <c r="F802" s="48">
        <v>4769.7870000000003</v>
      </c>
      <c r="G802" s="48">
        <v>2558.9560000000001</v>
      </c>
    </row>
    <row r="803" spans="1:7" ht="10.050000000000001" customHeight="1">
      <c r="A803" s="45" t="s">
        <v>150</v>
      </c>
      <c r="B803" s="45" t="s">
        <v>87</v>
      </c>
      <c r="C803" s="46">
        <v>2013</v>
      </c>
      <c r="D803" s="45" t="s">
        <v>119</v>
      </c>
      <c r="E803" s="47">
        <v>5</v>
      </c>
      <c r="F803" s="48">
        <v>5287.7870000000003</v>
      </c>
      <c r="G803" s="48">
        <v>2788.5659999999998</v>
      </c>
    </row>
    <row r="804" spans="1:7" ht="10.050000000000001" customHeight="1">
      <c r="A804" s="45" t="s">
        <v>150</v>
      </c>
      <c r="B804" s="45" t="s">
        <v>87</v>
      </c>
      <c r="C804" s="46">
        <v>2013</v>
      </c>
      <c r="D804" s="45" t="s">
        <v>119</v>
      </c>
      <c r="E804" s="47">
        <v>6</v>
      </c>
      <c r="F804" s="48">
        <v>4542.7700000000004</v>
      </c>
      <c r="G804" s="48">
        <v>2678.1460000000002</v>
      </c>
    </row>
    <row r="805" spans="1:7" ht="10.050000000000001" customHeight="1">
      <c r="A805" s="45" t="s">
        <v>150</v>
      </c>
      <c r="B805" s="45" t="s">
        <v>87</v>
      </c>
      <c r="C805" s="46">
        <v>2013</v>
      </c>
      <c r="D805" s="45" t="s">
        <v>120</v>
      </c>
      <c r="E805" s="47">
        <v>7</v>
      </c>
      <c r="F805" s="48">
        <v>4121.76</v>
      </c>
      <c r="G805" s="48">
        <v>1894.6880000000001</v>
      </c>
    </row>
    <row r="806" spans="1:7" ht="10.050000000000001" customHeight="1">
      <c r="A806" s="45" t="s">
        <v>150</v>
      </c>
      <c r="B806" s="45" t="s">
        <v>87</v>
      </c>
      <c r="C806" s="46">
        <v>2013</v>
      </c>
      <c r="D806" s="45" t="s">
        <v>120</v>
      </c>
      <c r="E806" s="47">
        <v>8</v>
      </c>
      <c r="F806" s="48">
        <v>5997.8109999999997</v>
      </c>
      <c r="G806" s="48">
        <v>2289.0250000000001</v>
      </c>
    </row>
    <row r="807" spans="1:7" ht="10.050000000000001" customHeight="1">
      <c r="A807" s="45" t="s">
        <v>150</v>
      </c>
      <c r="B807" s="45" t="s">
        <v>87</v>
      </c>
      <c r="C807" s="46">
        <v>2013</v>
      </c>
      <c r="D807" s="45" t="s">
        <v>120</v>
      </c>
      <c r="E807" s="47">
        <v>9</v>
      </c>
      <c r="F807" s="48">
        <v>7751.3969999999999</v>
      </c>
      <c r="G807" s="48">
        <v>2647.1190000000001</v>
      </c>
    </row>
    <row r="808" spans="1:7" ht="10.050000000000001" customHeight="1">
      <c r="A808" s="45" t="s">
        <v>150</v>
      </c>
      <c r="B808" s="45" t="s">
        <v>87</v>
      </c>
      <c r="C808" s="46">
        <v>2013</v>
      </c>
      <c r="D808" s="45" t="s">
        <v>120</v>
      </c>
      <c r="E808" s="47">
        <v>10</v>
      </c>
      <c r="F808" s="48">
        <v>13212.686</v>
      </c>
      <c r="G808" s="48">
        <v>4069.9290000000001</v>
      </c>
    </row>
    <row r="809" spans="1:7" ht="10.050000000000001" customHeight="1">
      <c r="A809" s="45" t="s">
        <v>150</v>
      </c>
      <c r="B809" s="45" t="s">
        <v>87</v>
      </c>
      <c r="C809" s="46">
        <v>2013</v>
      </c>
      <c r="D809" s="45" t="s">
        <v>120</v>
      </c>
      <c r="E809" s="47">
        <v>11</v>
      </c>
      <c r="F809" s="48">
        <v>10309.59</v>
      </c>
      <c r="G809" s="48">
        <v>4126.1390000000001</v>
      </c>
    </row>
    <row r="810" spans="1:7" ht="10.050000000000001" customHeight="1">
      <c r="A810" s="45" t="s">
        <v>150</v>
      </c>
      <c r="B810" s="45" t="s">
        <v>87</v>
      </c>
      <c r="C810" s="46">
        <v>2013</v>
      </c>
      <c r="D810" s="45" t="s">
        <v>120</v>
      </c>
      <c r="E810" s="47">
        <v>12</v>
      </c>
      <c r="F810" s="48">
        <v>6809.0169999999998</v>
      </c>
      <c r="G810" s="48">
        <v>3824.806</v>
      </c>
    </row>
    <row r="811" spans="1:7" ht="10.050000000000001" customHeight="1">
      <c r="A811" s="45" t="s">
        <v>150</v>
      </c>
      <c r="B811" s="45" t="s">
        <v>87</v>
      </c>
      <c r="C811" s="46">
        <v>2014</v>
      </c>
      <c r="D811" s="45" t="s">
        <v>120</v>
      </c>
      <c r="E811" s="47">
        <v>1</v>
      </c>
      <c r="F811" s="48">
        <v>5319.15</v>
      </c>
      <c r="G811" s="48">
        <v>3529.3130000000001</v>
      </c>
    </row>
    <row r="812" spans="1:7" ht="10.050000000000001" customHeight="1">
      <c r="A812" s="45" t="s">
        <v>150</v>
      </c>
      <c r="B812" s="45" t="s">
        <v>87</v>
      </c>
      <c r="C812" s="46">
        <v>2014</v>
      </c>
      <c r="D812" s="45" t="s">
        <v>120</v>
      </c>
      <c r="E812" s="47">
        <v>2</v>
      </c>
      <c r="F812" s="48">
        <v>3287.6149999999998</v>
      </c>
      <c r="G812" s="48">
        <v>2585.0079999999998</v>
      </c>
    </row>
    <row r="813" spans="1:7" ht="10.050000000000001" customHeight="1">
      <c r="A813" s="45" t="s">
        <v>150</v>
      </c>
      <c r="B813" s="45" t="s">
        <v>87</v>
      </c>
      <c r="C813" s="46">
        <v>2014</v>
      </c>
      <c r="D813" s="45" t="s">
        <v>120</v>
      </c>
      <c r="E813" s="47">
        <v>3</v>
      </c>
      <c r="F813" s="48">
        <v>2763.402</v>
      </c>
      <c r="G813" s="48">
        <v>2070.636</v>
      </c>
    </row>
    <row r="814" spans="1:7" ht="10.050000000000001" customHeight="1">
      <c r="A814" s="45" t="s">
        <v>150</v>
      </c>
      <c r="B814" s="45" t="s">
        <v>87</v>
      </c>
      <c r="C814" s="46">
        <v>2014</v>
      </c>
      <c r="D814" s="45" t="s">
        <v>120</v>
      </c>
      <c r="E814" s="47">
        <v>4</v>
      </c>
      <c r="F814" s="48">
        <v>1740.12</v>
      </c>
      <c r="G814" s="48">
        <v>2049.116</v>
      </c>
    </row>
    <row r="815" spans="1:7" ht="10.050000000000001" customHeight="1">
      <c r="A815" s="45" t="s">
        <v>150</v>
      </c>
      <c r="B815" s="45" t="s">
        <v>87</v>
      </c>
      <c r="C815" s="46">
        <v>2014</v>
      </c>
      <c r="D815" s="45" t="s">
        <v>120</v>
      </c>
      <c r="E815" s="47">
        <v>5</v>
      </c>
      <c r="F815" s="48">
        <v>1546.1880000000001</v>
      </c>
      <c r="G815" s="48">
        <v>1970.5329999999999</v>
      </c>
    </row>
    <row r="816" spans="1:7" ht="10.050000000000001" customHeight="1">
      <c r="A816" s="45" t="s">
        <v>150</v>
      </c>
      <c r="B816" s="45" t="s">
        <v>87</v>
      </c>
      <c r="C816" s="46">
        <v>2014</v>
      </c>
      <c r="D816" s="45" t="s">
        <v>120</v>
      </c>
      <c r="E816" s="47">
        <v>6</v>
      </c>
      <c r="F816" s="48">
        <v>1448.8119999999999</v>
      </c>
      <c r="G816" s="48">
        <v>2117.0160000000001</v>
      </c>
    </row>
    <row r="817" spans="1:7" ht="10.050000000000001" customHeight="1">
      <c r="A817" s="45" t="s">
        <v>150</v>
      </c>
      <c r="B817" s="45" t="s">
        <v>87</v>
      </c>
      <c r="C817" s="46">
        <v>2014</v>
      </c>
      <c r="D817" s="45" t="s">
        <v>121</v>
      </c>
      <c r="E817" s="47">
        <v>7</v>
      </c>
      <c r="F817" s="48">
        <v>1972.992</v>
      </c>
      <c r="G817" s="48">
        <v>1927.32</v>
      </c>
    </row>
    <row r="818" spans="1:7" ht="10.050000000000001" customHeight="1">
      <c r="A818" s="45" t="s">
        <v>150</v>
      </c>
      <c r="B818" s="45" t="s">
        <v>87</v>
      </c>
      <c r="C818" s="46">
        <v>2014</v>
      </c>
      <c r="D818" s="45" t="s">
        <v>121</v>
      </c>
      <c r="E818" s="47">
        <v>8</v>
      </c>
      <c r="F818" s="48">
        <v>3542.627</v>
      </c>
      <c r="G818" s="48">
        <v>1611.8810000000001</v>
      </c>
    </row>
    <row r="819" spans="1:7" ht="10.050000000000001" customHeight="1">
      <c r="A819" s="45" t="s">
        <v>150</v>
      </c>
      <c r="B819" s="45" t="s">
        <v>87</v>
      </c>
      <c r="C819" s="46">
        <v>2014</v>
      </c>
      <c r="D819" s="45" t="s">
        <v>121</v>
      </c>
      <c r="E819" s="47">
        <v>9</v>
      </c>
      <c r="F819" s="48">
        <v>5070.9290000000001</v>
      </c>
      <c r="G819" s="48">
        <v>1944.46</v>
      </c>
    </row>
    <row r="820" spans="1:7" ht="10.050000000000001" customHeight="1">
      <c r="A820" s="45" t="s">
        <v>150</v>
      </c>
      <c r="B820" s="45" t="s">
        <v>87</v>
      </c>
      <c r="C820" s="46">
        <v>2014</v>
      </c>
      <c r="D820" s="45" t="s">
        <v>121</v>
      </c>
      <c r="E820" s="47">
        <v>10</v>
      </c>
      <c r="F820" s="48">
        <v>4233.05</v>
      </c>
      <c r="G820" s="48">
        <v>2184.143</v>
      </c>
    </row>
    <row r="821" spans="1:7" ht="10.050000000000001" customHeight="1">
      <c r="A821" s="45" t="s">
        <v>150</v>
      </c>
      <c r="B821" s="45" t="s">
        <v>87</v>
      </c>
      <c r="C821" s="46">
        <v>2014</v>
      </c>
      <c r="D821" s="45" t="s">
        <v>121</v>
      </c>
      <c r="E821" s="47">
        <v>11</v>
      </c>
      <c r="F821" s="48">
        <v>3772.2310000000002</v>
      </c>
      <c r="G821" s="48">
        <v>2665.4319999999998</v>
      </c>
    </row>
    <row r="822" spans="1:7" ht="10.050000000000001" customHeight="1">
      <c r="A822" s="45" t="s">
        <v>150</v>
      </c>
      <c r="B822" s="45" t="s">
        <v>87</v>
      </c>
      <c r="C822" s="46">
        <v>2014</v>
      </c>
      <c r="D822" s="45" t="s">
        <v>121</v>
      </c>
      <c r="E822" s="47">
        <v>12</v>
      </c>
      <c r="F822" s="48">
        <v>4219.2659999999996</v>
      </c>
      <c r="G822" s="48">
        <v>2413.306</v>
      </c>
    </row>
    <row r="823" spans="1:7" ht="10.050000000000001" customHeight="1">
      <c r="A823" s="45" t="s">
        <v>150</v>
      </c>
      <c r="B823" s="45" t="s">
        <v>87</v>
      </c>
      <c r="C823" s="46">
        <v>2015</v>
      </c>
      <c r="D823" s="45" t="s">
        <v>121</v>
      </c>
      <c r="E823" s="47">
        <v>1</v>
      </c>
      <c r="F823" s="48">
        <v>3058.7109999999998</v>
      </c>
      <c r="G823" s="48">
        <v>2357.6489999999999</v>
      </c>
    </row>
    <row r="824" spans="1:7" ht="10.050000000000001" customHeight="1">
      <c r="A824" s="45" t="s">
        <v>150</v>
      </c>
      <c r="B824" s="45" t="s">
        <v>87</v>
      </c>
      <c r="C824" s="46">
        <v>2015</v>
      </c>
      <c r="D824" s="45" t="s">
        <v>121</v>
      </c>
      <c r="E824" s="47">
        <v>2</v>
      </c>
      <c r="F824" s="48">
        <v>2760.5320000000002</v>
      </c>
      <c r="G824" s="48">
        <v>2716.41</v>
      </c>
    </row>
    <row r="825" spans="1:7" ht="10.050000000000001" customHeight="1">
      <c r="A825" s="45" t="s">
        <v>150</v>
      </c>
      <c r="B825" s="45" t="s">
        <v>87</v>
      </c>
      <c r="C825" s="46">
        <v>2015</v>
      </c>
      <c r="D825" s="45" t="s">
        <v>121</v>
      </c>
      <c r="E825" s="47">
        <v>3</v>
      </c>
      <c r="F825" s="48">
        <v>3803.84</v>
      </c>
      <c r="G825" s="48">
        <v>2493.8150000000001</v>
      </c>
    </row>
    <row r="826" spans="1:7" ht="10.050000000000001" customHeight="1">
      <c r="A826" s="45" t="s">
        <v>150</v>
      </c>
      <c r="B826" s="45" t="s">
        <v>87</v>
      </c>
      <c r="C826" s="46">
        <v>2015</v>
      </c>
      <c r="D826" s="45" t="s">
        <v>121</v>
      </c>
      <c r="E826" s="47">
        <v>4</v>
      </c>
      <c r="F826" s="48">
        <v>3391.5450000000001</v>
      </c>
      <c r="G826" s="48">
        <v>2676.8820000000001</v>
      </c>
    </row>
    <row r="827" spans="1:7" ht="10.050000000000001" customHeight="1">
      <c r="A827" s="45" t="s">
        <v>150</v>
      </c>
      <c r="B827" s="45" t="s">
        <v>87</v>
      </c>
      <c r="C827" s="46">
        <v>2015</v>
      </c>
      <c r="D827" s="45" t="s">
        <v>121</v>
      </c>
      <c r="E827" s="47">
        <v>5</v>
      </c>
      <c r="F827" s="48">
        <v>3214.0880000000002</v>
      </c>
      <c r="G827" s="48">
        <v>2240.9279999999999</v>
      </c>
    </row>
    <row r="828" spans="1:7" ht="10.050000000000001" customHeight="1">
      <c r="A828" s="45" t="s">
        <v>150</v>
      </c>
      <c r="B828" s="45" t="s">
        <v>87</v>
      </c>
      <c r="C828" s="46">
        <v>2015</v>
      </c>
      <c r="D828" s="45" t="s">
        <v>121</v>
      </c>
      <c r="E828" s="47">
        <v>6</v>
      </c>
      <c r="F828" s="48">
        <v>2930.5949999999998</v>
      </c>
      <c r="G828" s="48">
        <v>1615.7919999999999</v>
      </c>
    </row>
    <row r="829" spans="1:7" ht="10.050000000000001" customHeight="1">
      <c r="A829" s="45" t="s">
        <v>150</v>
      </c>
      <c r="B829" s="45" t="s">
        <v>87</v>
      </c>
      <c r="C829" s="46">
        <v>2015</v>
      </c>
      <c r="D829" s="45" t="s">
        <v>122</v>
      </c>
      <c r="E829" s="47">
        <v>7</v>
      </c>
      <c r="F829" s="48">
        <v>2919.9270000000001</v>
      </c>
      <c r="G829" s="48">
        <v>1696.6569999999999</v>
      </c>
    </row>
    <row r="830" spans="1:7" ht="10.050000000000001" customHeight="1">
      <c r="A830" s="45" t="s">
        <v>150</v>
      </c>
      <c r="B830" s="45" t="s">
        <v>87</v>
      </c>
      <c r="C830" s="46">
        <v>2015</v>
      </c>
      <c r="D830" s="45" t="s">
        <v>122</v>
      </c>
      <c r="E830" s="47">
        <v>8</v>
      </c>
      <c r="F830" s="48">
        <v>3297.5230000000001</v>
      </c>
      <c r="G830" s="48">
        <v>1939.8240000000001</v>
      </c>
    </row>
    <row r="831" spans="1:7" ht="10.050000000000001" customHeight="1">
      <c r="A831" s="45" t="s">
        <v>150</v>
      </c>
      <c r="B831" s="45" t="s">
        <v>87</v>
      </c>
      <c r="C831" s="46">
        <v>2015</v>
      </c>
      <c r="D831" s="45" t="s">
        <v>122</v>
      </c>
      <c r="E831" s="47">
        <v>9</v>
      </c>
      <c r="F831" s="48">
        <v>2810.402</v>
      </c>
      <c r="G831" s="48">
        <v>1567.0060000000001</v>
      </c>
    </row>
    <row r="832" spans="1:7" ht="10.050000000000001" customHeight="1">
      <c r="A832" s="45" t="s">
        <v>150</v>
      </c>
      <c r="B832" s="45" t="s">
        <v>87</v>
      </c>
      <c r="C832" s="46">
        <v>2015</v>
      </c>
      <c r="D832" s="45" t="s">
        <v>122</v>
      </c>
      <c r="E832" s="47">
        <v>10</v>
      </c>
      <c r="F832" s="48">
        <v>2513.3670000000002</v>
      </c>
      <c r="G832" s="48">
        <v>1259.328</v>
      </c>
    </row>
    <row r="833" spans="1:7" ht="10.050000000000001" customHeight="1">
      <c r="A833" s="45" t="s">
        <v>150</v>
      </c>
      <c r="B833" s="45" t="s">
        <v>87</v>
      </c>
      <c r="C833" s="46">
        <v>2015</v>
      </c>
      <c r="D833" s="45" t="s">
        <v>122</v>
      </c>
      <c r="E833" s="47">
        <v>11</v>
      </c>
      <c r="F833" s="48">
        <v>2218.2600000000002</v>
      </c>
      <c r="G833" s="48">
        <v>1432.9680000000001</v>
      </c>
    </row>
    <row r="834" spans="1:7" ht="10.050000000000001" customHeight="1">
      <c r="A834" s="45" t="s">
        <v>150</v>
      </c>
      <c r="B834" s="45" t="s">
        <v>87</v>
      </c>
      <c r="C834" s="46">
        <v>2015</v>
      </c>
      <c r="D834" s="45" t="s">
        <v>122</v>
      </c>
      <c r="E834" s="47">
        <v>12</v>
      </c>
      <c r="F834" s="48">
        <v>2285.6799999999998</v>
      </c>
      <c r="G834" s="48">
        <v>1862.768</v>
      </c>
    </row>
    <row r="835" spans="1:7" ht="10.050000000000001" customHeight="1">
      <c r="A835" s="45" t="s">
        <v>150</v>
      </c>
      <c r="B835" s="45" t="s">
        <v>87</v>
      </c>
      <c r="C835" s="46">
        <v>2016</v>
      </c>
      <c r="D835" s="45" t="s">
        <v>122</v>
      </c>
      <c r="E835" s="47">
        <v>1</v>
      </c>
      <c r="F835" s="48">
        <v>1787.99</v>
      </c>
      <c r="G835" s="48">
        <v>1538.3779999999999</v>
      </c>
    </row>
    <row r="836" spans="1:7" ht="10.050000000000001" customHeight="1">
      <c r="A836" s="45" t="s">
        <v>150</v>
      </c>
      <c r="B836" s="45" t="s">
        <v>87</v>
      </c>
      <c r="C836" s="46">
        <v>2016</v>
      </c>
      <c r="D836" s="45" t="s">
        <v>122</v>
      </c>
      <c r="E836" s="47">
        <v>2</v>
      </c>
      <c r="F836" s="48">
        <v>1888.434</v>
      </c>
      <c r="G836" s="48">
        <v>1350.874</v>
      </c>
    </row>
    <row r="837" spans="1:7" ht="10.050000000000001" customHeight="1">
      <c r="A837" s="45" t="s">
        <v>150</v>
      </c>
      <c r="B837" s="45" t="s">
        <v>87</v>
      </c>
      <c r="C837" s="46">
        <v>2016</v>
      </c>
      <c r="D837" s="45" t="s">
        <v>122</v>
      </c>
      <c r="E837" s="47">
        <v>3</v>
      </c>
      <c r="F837" s="48">
        <v>1830.7919999999999</v>
      </c>
      <c r="G837" s="48">
        <v>1422.222</v>
      </c>
    </row>
    <row r="838" spans="1:7" ht="10.050000000000001" customHeight="1">
      <c r="A838" s="45" t="s">
        <v>150</v>
      </c>
      <c r="B838" s="45" t="s">
        <v>87</v>
      </c>
      <c r="C838" s="46">
        <v>2016</v>
      </c>
      <c r="D838" s="45" t="s">
        <v>122</v>
      </c>
      <c r="E838" s="47">
        <v>4</v>
      </c>
      <c r="F838" s="48">
        <v>1589.2629999999999</v>
      </c>
      <c r="G838" s="48">
        <v>1332.2190000000001</v>
      </c>
    </row>
    <row r="839" spans="1:7" ht="10.050000000000001" customHeight="1">
      <c r="A839" s="45" t="s">
        <v>150</v>
      </c>
      <c r="B839" s="45" t="s">
        <v>87</v>
      </c>
      <c r="C839" s="46">
        <v>2016</v>
      </c>
      <c r="D839" s="45" t="s">
        <v>122</v>
      </c>
      <c r="E839" s="47">
        <v>5</v>
      </c>
      <c r="F839" s="48">
        <v>1695.242</v>
      </c>
      <c r="G839" s="48">
        <v>1338.3989999999999</v>
      </c>
    </row>
    <row r="840" spans="1:7" ht="10.050000000000001" customHeight="1">
      <c r="A840" s="45" t="s">
        <v>150</v>
      </c>
      <c r="B840" s="45" t="s">
        <v>87</v>
      </c>
      <c r="C840" s="46">
        <v>2016</v>
      </c>
      <c r="D840" s="45" t="s">
        <v>122</v>
      </c>
      <c r="E840" s="47">
        <v>6</v>
      </c>
      <c r="F840" s="48">
        <v>2127.085</v>
      </c>
      <c r="G840" s="48">
        <v>1419.7439999999999</v>
      </c>
    </row>
    <row r="841" spans="1:7" ht="10.050000000000001" customHeight="1">
      <c r="A841" s="45" t="s">
        <v>150</v>
      </c>
      <c r="B841" s="45" t="s">
        <v>87</v>
      </c>
      <c r="C841" s="46">
        <v>2016</v>
      </c>
      <c r="D841" s="45" t="s">
        <v>123</v>
      </c>
      <c r="E841" s="47">
        <v>7</v>
      </c>
      <c r="F841" s="48">
        <v>1971.7159999999999</v>
      </c>
      <c r="G841" s="48">
        <v>1505.973</v>
      </c>
    </row>
    <row r="842" spans="1:7" ht="10.050000000000001" customHeight="1">
      <c r="A842" s="45" t="s">
        <v>150</v>
      </c>
      <c r="B842" s="45" t="s">
        <v>87</v>
      </c>
      <c r="C842" s="46">
        <v>2016</v>
      </c>
      <c r="D842" s="45" t="s">
        <v>123</v>
      </c>
      <c r="E842" s="47">
        <v>8</v>
      </c>
      <c r="F842" s="48">
        <v>3076.3679999999999</v>
      </c>
      <c r="G842" s="48">
        <v>1617.9749999999999</v>
      </c>
    </row>
    <row r="843" spans="1:7" ht="10.050000000000001" customHeight="1">
      <c r="A843" s="45" t="s">
        <v>150</v>
      </c>
      <c r="B843" s="45" t="s">
        <v>87</v>
      </c>
      <c r="C843" s="46">
        <v>2016</v>
      </c>
      <c r="D843" s="45" t="s">
        <v>123</v>
      </c>
      <c r="E843" s="47">
        <v>9</v>
      </c>
      <c r="F843" s="48">
        <v>3100.9609999999998</v>
      </c>
      <c r="G843" s="48">
        <v>2463.4740000000002</v>
      </c>
    </row>
    <row r="844" spans="1:7" ht="10.050000000000001" customHeight="1">
      <c r="A844" s="45" t="s">
        <v>150</v>
      </c>
      <c r="B844" s="45" t="s">
        <v>87</v>
      </c>
      <c r="C844" s="46">
        <v>2016</v>
      </c>
      <c r="D844" s="45" t="s">
        <v>123</v>
      </c>
      <c r="E844" s="47">
        <v>10</v>
      </c>
      <c r="F844" s="48">
        <v>2396.3629999999998</v>
      </c>
      <c r="G844" s="48">
        <v>1849.9960000000001</v>
      </c>
    </row>
    <row r="845" spans="1:7" ht="10.050000000000001" customHeight="1">
      <c r="A845" s="45" t="s">
        <v>150</v>
      </c>
      <c r="B845" s="45" t="s">
        <v>87</v>
      </c>
      <c r="C845" s="46">
        <v>2016</v>
      </c>
      <c r="D845" s="45" t="s">
        <v>123</v>
      </c>
      <c r="E845" s="47">
        <v>11</v>
      </c>
      <c r="F845" s="48">
        <v>2235.27</v>
      </c>
      <c r="G845" s="48">
        <v>1630.0360000000001</v>
      </c>
    </row>
    <row r="846" spans="1:7" ht="10.050000000000001" customHeight="1">
      <c r="A846" s="45" t="s">
        <v>150</v>
      </c>
      <c r="B846" s="45" t="s">
        <v>87</v>
      </c>
      <c r="C846" s="46">
        <v>2016</v>
      </c>
      <c r="D846" s="45" t="s">
        <v>123</v>
      </c>
      <c r="E846" s="47">
        <v>12</v>
      </c>
      <c r="F846" s="48">
        <v>2416.9009999999998</v>
      </c>
      <c r="G846" s="48">
        <v>1251.8040000000001</v>
      </c>
    </row>
    <row r="847" spans="1:7" ht="10.050000000000001" customHeight="1">
      <c r="A847" s="45" t="s">
        <v>150</v>
      </c>
      <c r="B847" s="45" t="s">
        <v>87</v>
      </c>
      <c r="C847" s="46">
        <v>2017</v>
      </c>
      <c r="D847" s="45" t="s">
        <v>123</v>
      </c>
      <c r="E847" s="47">
        <v>1</v>
      </c>
      <c r="F847" s="48">
        <v>1888.9190000000001</v>
      </c>
      <c r="G847" s="48">
        <v>1118.548</v>
      </c>
    </row>
    <row r="848" spans="1:7" ht="10.050000000000001" customHeight="1">
      <c r="A848" s="45" t="s">
        <v>150</v>
      </c>
      <c r="B848" s="45" t="s">
        <v>87</v>
      </c>
      <c r="C848" s="46">
        <v>2017</v>
      </c>
      <c r="D848" s="45" t="s">
        <v>123</v>
      </c>
      <c r="E848" s="47">
        <v>2</v>
      </c>
      <c r="F848" s="48">
        <v>1560.123</v>
      </c>
      <c r="G848" s="48">
        <v>1151.1379999999999</v>
      </c>
    </row>
    <row r="849" spans="1:7" ht="10.050000000000001" customHeight="1">
      <c r="A849" s="45" t="s">
        <v>150</v>
      </c>
      <c r="B849" s="45" t="s">
        <v>87</v>
      </c>
      <c r="C849" s="46">
        <v>2017</v>
      </c>
      <c r="D849" s="45" t="s">
        <v>123</v>
      </c>
      <c r="E849" s="47">
        <v>3</v>
      </c>
      <c r="F849" s="48">
        <v>1509.037</v>
      </c>
      <c r="G849" s="48">
        <v>1362.008</v>
      </c>
    </row>
    <row r="850" spans="1:7" ht="10.050000000000001" customHeight="1">
      <c r="A850" s="45" t="s">
        <v>150</v>
      </c>
      <c r="B850" s="45" t="s">
        <v>87</v>
      </c>
      <c r="C850" s="46">
        <v>2017</v>
      </c>
      <c r="D850" s="45" t="s">
        <v>123</v>
      </c>
      <c r="E850" s="47">
        <v>4</v>
      </c>
      <c r="F850" s="48">
        <v>2050.826</v>
      </c>
      <c r="G850" s="48">
        <v>1830.2159999999999</v>
      </c>
    </row>
    <row r="851" spans="1:7" ht="10.050000000000001" customHeight="1">
      <c r="A851" s="45" t="s">
        <v>150</v>
      </c>
      <c r="B851" s="45" t="s">
        <v>87</v>
      </c>
      <c r="C851" s="46">
        <v>2017</v>
      </c>
      <c r="D851" s="45" t="s">
        <v>123</v>
      </c>
      <c r="E851" s="47">
        <v>5</v>
      </c>
      <c r="F851" s="48">
        <v>2199.9569999999999</v>
      </c>
      <c r="G851" s="48">
        <v>2212.8200000000002</v>
      </c>
    </row>
    <row r="852" spans="1:7" ht="10.050000000000001" customHeight="1">
      <c r="A852" s="45" t="s">
        <v>150</v>
      </c>
      <c r="B852" s="45" t="s">
        <v>87</v>
      </c>
      <c r="C852" s="46">
        <v>2017</v>
      </c>
      <c r="D852" s="45" t="s">
        <v>123</v>
      </c>
      <c r="E852" s="47">
        <v>6</v>
      </c>
      <c r="F852" s="48">
        <v>2162.3389999999999</v>
      </c>
      <c r="G852" s="48">
        <v>2356.7600000000002</v>
      </c>
    </row>
    <row r="853" spans="1:7" ht="10.050000000000001" customHeight="1">
      <c r="A853" s="45" t="s">
        <v>150</v>
      </c>
      <c r="B853" s="45" t="s">
        <v>87</v>
      </c>
      <c r="C853" s="46">
        <v>2017</v>
      </c>
      <c r="D853" s="45" t="s">
        <v>124</v>
      </c>
      <c r="E853" s="47">
        <v>7</v>
      </c>
      <c r="F853" s="48">
        <v>2326.9580000000001</v>
      </c>
      <c r="G853" s="48">
        <v>1935.5809999999999</v>
      </c>
    </row>
    <row r="854" spans="1:7" ht="10.050000000000001" customHeight="1">
      <c r="A854" s="45" t="s">
        <v>150</v>
      </c>
      <c r="B854" s="45" t="s">
        <v>87</v>
      </c>
      <c r="C854" s="46">
        <v>2017</v>
      </c>
      <c r="D854" s="45" t="s">
        <v>124</v>
      </c>
      <c r="E854" s="47">
        <v>8</v>
      </c>
      <c r="F854" s="48">
        <v>2864.4360000000001</v>
      </c>
      <c r="G854" s="48">
        <v>1835.627</v>
      </c>
    </row>
    <row r="855" spans="1:7" ht="10.050000000000001" customHeight="1">
      <c r="A855" s="45" t="s">
        <v>150</v>
      </c>
      <c r="B855" s="45" t="s">
        <v>87</v>
      </c>
      <c r="C855" s="46">
        <v>2017</v>
      </c>
      <c r="D855" s="45" t="s">
        <v>124</v>
      </c>
      <c r="E855" s="47">
        <v>9</v>
      </c>
      <c r="F855" s="48">
        <v>3056.6</v>
      </c>
      <c r="G855" s="48">
        <v>2961.9389999999999</v>
      </c>
    </row>
    <row r="856" spans="1:7" ht="10.050000000000001" customHeight="1">
      <c r="A856" s="45" t="s">
        <v>150</v>
      </c>
      <c r="B856" s="45" t="s">
        <v>87</v>
      </c>
      <c r="C856" s="46">
        <v>2017</v>
      </c>
      <c r="D856" s="45" t="s">
        <v>124</v>
      </c>
      <c r="E856" s="47">
        <v>10</v>
      </c>
      <c r="F856" s="48">
        <v>4333.0389999999998</v>
      </c>
      <c r="G856" s="48">
        <v>3843.165</v>
      </c>
    </row>
    <row r="857" spans="1:7" ht="10.050000000000001" customHeight="1">
      <c r="A857" s="45" t="s">
        <v>150</v>
      </c>
      <c r="B857" s="45" t="s">
        <v>87</v>
      </c>
      <c r="C857" s="46">
        <v>2017</v>
      </c>
      <c r="D857" s="45" t="s">
        <v>124</v>
      </c>
      <c r="E857" s="47">
        <v>11</v>
      </c>
      <c r="F857" s="48">
        <v>4144.0370000000003</v>
      </c>
      <c r="G857" s="48">
        <v>2789.58</v>
      </c>
    </row>
    <row r="858" spans="1:7" ht="10.050000000000001" customHeight="1">
      <c r="A858" s="45" t="s">
        <v>150</v>
      </c>
      <c r="B858" s="45" t="s">
        <v>87</v>
      </c>
      <c r="C858" s="46">
        <v>2017</v>
      </c>
      <c r="D858" s="45" t="s">
        <v>124</v>
      </c>
      <c r="E858" s="47">
        <v>12</v>
      </c>
      <c r="F858" s="48">
        <v>3908.8449999999998</v>
      </c>
      <c r="G858" s="48">
        <v>3323.9380000000001</v>
      </c>
    </row>
    <row r="859" spans="1:7" ht="10.050000000000001" customHeight="1">
      <c r="A859" s="45" t="s">
        <v>150</v>
      </c>
      <c r="B859" s="45" t="s">
        <v>87</v>
      </c>
      <c r="C859" s="46">
        <v>2018</v>
      </c>
      <c r="D859" s="45" t="s">
        <v>124</v>
      </c>
      <c r="E859" s="47">
        <v>1</v>
      </c>
      <c r="F859" s="48">
        <v>4534.6729999999998</v>
      </c>
      <c r="G859" s="48">
        <v>3216.1709999999998</v>
      </c>
    </row>
    <row r="860" spans="1:7" ht="10.050000000000001" customHeight="1">
      <c r="A860" s="45" t="s">
        <v>150</v>
      </c>
      <c r="B860" s="45" t="s">
        <v>87</v>
      </c>
      <c r="C860" s="46">
        <v>2018</v>
      </c>
      <c r="D860" s="45" t="s">
        <v>124</v>
      </c>
      <c r="E860" s="47">
        <v>2</v>
      </c>
      <c r="F860" s="48">
        <v>5063.05</v>
      </c>
      <c r="G860" s="48">
        <v>3321.1320000000001</v>
      </c>
    </row>
    <row r="861" spans="1:7" ht="10.050000000000001" customHeight="1">
      <c r="A861" s="45" t="s">
        <v>150</v>
      </c>
      <c r="B861" s="45" t="s">
        <v>87</v>
      </c>
      <c r="C861" s="46">
        <v>2018</v>
      </c>
      <c r="D861" s="45" t="s">
        <v>124</v>
      </c>
      <c r="E861" s="47">
        <v>3</v>
      </c>
      <c r="F861" s="48">
        <v>9358.5969999999998</v>
      </c>
      <c r="G861" s="48">
        <v>3375.741</v>
      </c>
    </row>
    <row r="862" spans="1:7" ht="10.050000000000001" customHeight="1">
      <c r="A862" s="45" t="s">
        <v>150</v>
      </c>
      <c r="B862" s="45" t="s">
        <v>87</v>
      </c>
      <c r="C862" s="46">
        <v>2018</v>
      </c>
      <c r="D862" s="45" t="s">
        <v>124</v>
      </c>
      <c r="E862" s="47">
        <v>4</v>
      </c>
      <c r="F862" s="48">
        <v>11523.063</v>
      </c>
      <c r="G862" s="48">
        <v>4510.5720000000001</v>
      </c>
    </row>
    <row r="863" spans="1:7" ht="10.050000000000001" customHeight="1">
      <c r="A863" s="45" t="s">
        <v>150</v>
      </c>
      <c r="B863" s="45" t="s">
        <v>87</v>
      </c>
      <c r="C863" s="46">
        <v>2018</v>
      </c>
      <c r="D863" s="45" t="s">
        <v>124</v>
      </c>
      <c r="E863" s="47">
        <v>5</v>
      </c>
      <c r="F863" s="48">
        <v>12461.813</v>
      </c>
      <c r="G863" s="48">
        <v>3997.44</v>
      </c>
    </row>
    <row r="864" spans="1:7" ht="10.050000000000001" customHeight="1">
      <c r="A864" s="45" t="s">
        <v>150</v>
      </c>
      <c r="B864" s="45" t="s">
        <v>87</v>
      </c>
      <c r="C864" s="46">
        <v>2018</v>
      </c>
      <c r="D864" s="45" t="s">
        <v>124</v>
      </c>
      <c r="E864" s="47">
        <v>6</v>
      </c>
      <c r="F864" s="48">
        <v>12229.985000000001</v>
      </c>
      <c r="G864" s="48">
        <v>6398.576</v>
      </c>
    </row>
    <row r="865" spans="1:7" ht="10.050000000000001" customHeight="1">
      <c r="A865" s="45" t="s">
        <v>150</v>
      </c>
      <c r="B865" s="45" t="s">
        <v>87</v>
      </c>
      <c r="C865" s="46">
        <v>2018</v>
      </c>
      <c r="D865" s="45" t="s">
        <v>125</v>
      </c>
      <c r="E865" s="47">
        <v>7</v>
      </c>
      <c r="F865" s="48">
        <v>12645.874</v>
      </c>
      <c r="G865" s="48">
        <v>5493.6570000000002</v>
      </c>
    </row>
    <row r="866" spans="1:7" ht="10.050000000000001" customHeight="1">
      <c r="A866" s="45" t="s">
        <v>150</v>
      </c>
      <c r="B866" s="45" t="s">
        <v>87</v>
      </c>
      <c r="C866" s="46">
        <v>2018</v>
      </c>
      <c r="D866" s="45" t="s">
        <v>125</v>
      </c>
      <c r="E866" s="47">
        <v>8</v>
      </c>
      <c r="F866" s="48">
        <v>13911.66</v>
      </c>
      <c r="G866" s="48">
        <v>4175.5110000000004</v>
      </c>
    </row>
    <row r="867" spans="1:7" ht="10.050000000000001" customHeight="1">
      <c r="A867" s="45" t="s">
        <v>150</v>
      </c>
      <c r="B867" s="45" t="s">
        <v>87</v>
      </c>
      <c r="C867" s="46">
        <v>2018</v>
      </c>
      <c r="D867" s="45" t="s">
        <v>125</v>
      </c>
      <c r="E867" s="47">
        <v>9</v>
      </c>
      <c r="F867" s="48">
        <v>11279.9</v>
      </c>
      <c r="G867" s="48">
        <v>5453.9089999999997</v>
      </c>
    </row>
    <row r="868" spans="1:7" ht="10.050000000000001" customHeight="1">
      <c r="A868" s="45" t="s">
        <v>150</v>
      </c>
      <c r="B868" s="45" t="s">
        <v>87</v>
      </c>
      <c r="C868" s="46">
        <v>2018</v>
      </c>
      <c r="D868" s="45" t="s">
        <v>125</v>
      </c>
      <c r="E868" s="47">
        <v>10</v>
      </c>
      <c r="F868" s="48">
        <v>12652.493</v>
      </c>
      <c r="G868" s="48">
        <v>7096.3029999999999</v>
      </c>
    </row>
    <row r="869" spans="1:7" ht="10.050000000000001" customHeight="1">
      <c r="A869" s="45" t="s">
        <v>150</v>
      </c>
      <c r="B869" s="45" t="s">
        <v>87</v>
      </c>
      <c r="C869" s="46">
        <v>2018</v>
      </c>
      <c r="D869" s="45" t="s">
        <v>125</v>
      </c>
      <c r="E869" s="47">
        <v>11</v>
      </c>
      <c r="F869" s="48">
        <v>12720.472</v>
      </c>
      <c r="G869" s="48">
        <v>8014.5020000000004</v>
      </c>
    </row>
    <row r="870" spans="1:7" ht="10.050000000000001" customHeight="1">
      <c r="A870" s="45" t="s">
        <v>150</v>
      </c>
      <c r="B870" s="45" t="s">
        <v>87</v>
      </c>
      <c r="C870" s="46">
        <v>2018</v>
      </c>
      <c r="D870" s="45" t="s">
        <v>125</v>
      </c>
      <c r="E870" s="47">
        <v>12</v>
      </c>
      <c r="F870" s="48">
        <v>10713.727000000001</v>
      </c>
      <c r="G870" s="48">
        <v>6343.527</v>
      </c>
    </row>
    <row r="871" spans="1:7" ht="10.050000000000001" customHeight="1">
      <c r="A871" s="45" t="s">
        <v>150</v>
      </c>
      <c r="B871" s="45" t="s">
        <v>87</v>
      </c>
      <c r="C871" s="46">
        <v>2019</v>
      </c>
      <c r="D871" s="45" t="s">
        <v>125</v>
      </c>
      <c r="E871" s="47">
        <v>1</v>
      </c>
      <c r="F871" s="48">
        <v>11000.148999999999</v>
      </c>
      <c r="G871" s="48">
        <v>6451.7209999999995</v>
      </c>
    </row>
    <row r="872" spans="1:7" ht="10.050000000000001" customHeight="1">
      <c r="A872" s="45" t="s">
        <v>150</v>
      </c>
      <c r="B872" s="45" t="s">
        <v>87</v>
      </c>
      <c r="C872" s="46">
        <v>2019</v>
      </c>
      <c r="D872" s="45" t="s">
        <v>125</v>
      </c>
      <c r="E872" s="47">
        <v>2</v>
      </c>
      <c r="F872" s="48">
        <v>9515.6850000000104</v>
      </c>
      <c r="G872" s="48">
        <v>7362.18</v>
      </c>
    </row>
    <row r="873" spans="1:7" ht="10.050000000000001" customHeight="1">
      <c r="A873" s="45" t="s">
        <v>150</v>
      </c>
      <c r="B873" s="45" t="s">
        <v>87</v>
      </c>
      <c r="C873" s="46">
        <v>2019</v>
      </c>
      <c r="D873" s="45" t="s">
        <v>125</v>
      </c>
      <c r="E873" s="47">
        <v>3</v>
      </c>
      <c r="F873" s="48">
        <v>9341.884</v>
      </c>
      <c r="G873" s="48">
        <v>6147.13</v>
      </c>
    </row>
    <row r="874" spans="1:7" ht="10.050000000000001" customHeight="1">
      <c r="A874" s="45" t="s">
        <v>150</v>
      </c>
      <c r="B874" s="45" t="s">
        <v>87</v>
      </c>
      <c r="C874" s="46">
        <v>2019</v>
      </c>
      <c r="D874" s="45" t="s">
        <v>125</v>
      </c>
      <c r="E874" s="47">
        <v>4</v>
      </c>
      <c r="F874" s="48">
        <v>9667.9359999999997</v>
      </c>
      <c r="G874" s="48">
        <v>6125.3370000000004</v>
      </c>
    </row>
    <row r="875" spans="1:7" ht="10.050000000000001" customHeight="1">
      <c r="A875" s="45" t="s">
        <v>150</v>
      </c>
      <c r="B875" s="45" t="s">
        <v>87</v>
      </c>
      <c r="C875" s="46">
        <v>2019</v>
      </c>
      <c r="D875" s="45" t="s">
        <v>125</v>
      </c>
      <c r="E875" s="47">
        <v>5</v>
      </c>
      <c r="F875" s="48">
        <v>10826.397000000001</v>
      </c>
      <c r="G875" s="48">
        <v>5343.3050000000003</v>
      </c>
    </row>
    <row r="876" spans="1:7" ht="10.050000000000001" customHeight="1">
      <c r="A876" s="45" t="s">
        <v>150</v>
      </c>
      <c r="B876" s="45" t="s">
        <v>87</v>
      </c>
      <c r="C876" s="46">
        <v>2019</v>
      </c>
      <c r="D876" s="45" t="s">
        <v>125</v>
      </c>
      <c r="E876" s="47">
        <v>6</v>
      </c>
      <c r="F876" s="48">
        <v>7430.1040000000003</v>
      </c>
      <c r="G876" s="48">
        <v>4745.5209999999997</v>
      </c>
    </row>
    <row r="877" spans="1:7" ht="10.050000000000001" customHeight="1">
      <c r="A877" s="45" t="s">
        <v>150</v>
      </c>
      <c r="B877" s="45" t="s">
        <v>87</v>
      </c>
      <c r="C877" s="46">
        <v>2019</v>
      </c>
      <c r="D877" s="45" t="s">
        <v>126</v>
      </c>
      <c r="E877" s="47">
        <v>7</v>
      </c>
      <c r="F877" s="48">
        <v>8700.1419999999998</v>
      </c>
      <c r="G877" s="48">
        <v>4881.1909999999998</v>
      </c>
    </row>
    <row r="878" spans="1:7" ht="10.050000000000001" customHeight="1">
      <c r="A878" s="45" t="s">
        <v>150</v>
      </c>
      <c r="B878" s="45" t="s">
        <v>87</v>
      </c>
      <c r="C878" s="46">
        <v>2019</v>
      </c>
      <c r="D878" s="45" t="s">
        <v>126</v>
      </c>
      <c r="E878" s="47">
        <v>8</v>
      </c>
      <c r="F878" s="48">
        <v>9050.8760000000002</v>
      </c>
      <c r="G878" s="48">
        <v>4140.9520000000002</v>
      </c>
    </row>
    <row r="879" spans="1:7" ht="10.050000000000001" customHeight="1">
      <c r="A879" s="45" t="s">
        <v>150</v>
      </c>
      <c r="B879" s="45" t="s">
        <v>87</v>
      </c>
      <c r="C879" s="46">
        <v>2019</v>
      </c>
      <c r="D879" s="45" t="s">
        <v>126</v>
      </c>
      <c r="E879" s="47">
        <v>9</v>
      </c>
      <c r="F879" s="48">
        <v>9653.6530000000002</v>
      </c>
      <c r="G879" s="48">
        <v>4674.6409999999996</v>
      </c>
    </row>
    <row r="880" spans="1:7" ht="10.050000000000001" customHeight="1">
      <c r="A880" s="45" t="s">
        <v>150</v>
      </c>
      <c r="B880" s="45" t="s">
        <v>87</v>
      </c>
      <c r="C880" s="46">
        <v>2019</v>
      </c>
      <c r="D880" s="45" t="s">
        <v>126</v>
      </c>
      <c r="E880" s="47">
        <v>10</v>
      </c>
      <c r="F880" s="48">
        <v>10342.18</v>
      </c>
      <c r="G880" s="48">
        <v>5046.223</v>
      </c>
    </row>
    <row r="881" spans="1:7" ht="10.050000000000001" customHeight="1">
      <c r="A881" s="45" t="s">
        <v>150</v>
      </c>
      <c r="B881" s="45" t="s">
        <v>87</v>
      </c>
      <c r="C881" s="46">
        <v>2019</v>
      </c>
      <c r="D881" s="45" t="s">
        <v>126</v>
      </c>
      <c r="E881" s="47">
        <v>11</v>
      </c>
      <c r="F881" s="48">
        <v>10442.352999999999</v>
      </c>
      <c r="G881" s="48">
        <v>6018.3469999999998</v>
      </c>
    </row>
    <row r="882" spans="1:7" ht="10.050000000000001" customHeight="1">
      <c r="A882" s="45" t="s">
        <v>150</v>
      </c>
      <c r="B882" s="45" t="s">
        <v>87</v>
      </c>
      <c r="C882" s="46">
        <v>2019</v>
      </c>
      <c r="D882" s="45" t="s">
        <v>126</v>
      </c>
      <c r="E882" s="47">
        <v>12</v>
      </c>
      <c r="F882" s="48">
        <v>9948.0470000000005</v>
      </c>
      <c r="G882" s="48">
        <v>5758.558</v>
      </c>
    </row>
    <row r="883" spans="1:7" ht="10.050000000000001" customHeight="1">
      <c r="A883" s="45" t="s">
        <v>150</v>
      </c>
      <c r="B883" s="45" t="s">
        <v>87</v>
      </c>
      <c r="C883" s="46">
        <v>2020</v>
      </c>
      <c r="D883" s="45" t="s">
        <v>126</v>
      </c>
      <c r="E883" s="47">
        <v>1</v>
      </c>
      <c r="F883" s="48">
        <v>8122.0870000000004</v>
      </c>
      <c r="G883" s="48">
        <v>5431.5839999999998</v>
      </c>
    </row>
    <row r="884" spans="1:7" ht="10.050000000000001" customHeight="1">
      <c r="A884" s="45" t="s">
        <v>150</v>
      </c>
      <c r="B884" s="45" t="s">
        <v>87</v>
      </c>
      <c r="C884" s="46">
        <v>2020</v>
      </c>
      <c r="D884" s="45" t="s">
        <v>126</v>
      </c>
      <c r="E884" s="47">
        <v>2</v>
      </c>
      <c r="F884" s="48">
        <v>7528.7120000000004</v>
      </c>
      <c r="G884" s="48">
        <v>4939.7969999999996</v>
      </c>
    </row>
    <row r="885" spans="1:7" ht="10.050000000000001" customHeight="1">
      <c r="A885" s="45" t="s">
        <v>150</v>
      </c>
      <c r="B885" s="45" t="s">
        <v>87</v>
      </c>
      <c r="C885" s="46">
        <v>2020</v>
      </c>
      <c r="D885" s="45" t="s">
        <v>126</v>
      </c>
      <c r="E885" s="47">
        <v>3</v>
      </c>
      <c r="F885" s="48">
        <v>7244.0690000000004</v>
      </c>
      <c r="G885" s="48">
        <v>4902.3440000000001</v>
      </c>
    </row>
    <row r="886" spans="1:7" ht="10.050000000000001" customHeight="1">
      <c r="A886" s="45" t="s">
        <v>150</v>
      </c>
      <c r="B886" s="45" t="s">
        <v>87</v>
      </c>
      <c r="C886" s="46">
        <v>2020</v>
      </c>
      <c r="D886" s="45" t="s">
        <v>126</v>
      </c>
      <c r="E886" s="47">
        <v>4</v>
      </c>
      <c r="F886" s="48">
        <v>6954.9530000000004</v>
      </c>
      <c r="G886" s="48">
        <v>4902.91</v>
      </c>
    </row>
    <row r="887" spans="1:7" ht="10.050000000000001" customHeight="1">
      <c r="A887" s="45" t="s">
        <v>150</v>
      </c>
      <c r="B887" s="45" t="s">
        <v>87</v>
      </c>
      <c r="C887" s="46">
        <v>2020</v>
      </c>
      <c r="D887" s="45" t="s">
        <v>126</v>
      </c>
      <c r="E887" s="47">
        <v>5</v>
      </c>
      <c r="F887" s="48">
        <v>6142.8639999999996</v>
      </c>
      <c r="G887" s="48">
        <v>4516.3379999999997</v>
      </c>
    </row>
    <row r="888" spans="1:7" ht="10.050000000000001" customHeight="1">
      <c r="A888" s="45" t="s">
        <v>150</v>
      </c>
      <c r="B888" s="45" t="s">
        <v>87</v>
      </c>
      <c r="C888" s="46">
        <v>2020</v>
      </c>
      <c r="D888" s="45" t="s">
        <v>126</v>
      </c>
      <c r="E888" s="47">
        <v>6</v>
      </c>
      <c r="F888" s="48">
        <v>6295.2049999999999</v>
      </c>
      <c r="G888" s="48">
        <v>4994.2269999999999</v>
      </c>
    </row>
    <row r="889" spans="1:7" ht="10.050000000000001" customHeight="1">
      <c r="A889" s="45" t="s">
        <v>150</v>
      </c>
      <c r="B889" s="45" t="s">
        <v>87</v>
      </c>
      <c r="C889" s="46">
        <v>2020</v>
      </c>
      <c r="D889" s="45" t="s">
        <v>128</v>
      </c>
      <c r="E889" s="47">
        <v>7</v>
      </c>
      <c r="F889" s="48">
        <v>6591.1850000000004</v>
      </c>
      <c r="G889" s="48">
        <v>3943.319</v>
      </c>
    </row>
    <row r="890" spans="1:7" ht="10.050000000000001" customHeight="1">
      <c r="A890" s="45" t="s">
        <v>150</v>
      </c>
      <c r="B890" s="45" t="s">
        <v>87</v>
      </c>
      <c r="C890" s="46">
        <v>2020</v>
      </c>
      <c r="D890" s="45" t="s">
        <v>128</v>
      </c>
      <c r="E890" s="47">
        <v>8</v>
      </c>
      <c r="F890" s="48">
        <v>6871.9319999999998</v>
      </c>
      <c r="G890" s="48">
        <v>3761.4160000000002</v>
      </c>
    </row>
    <row r="891" spans="1:7" ht="10.050000000000001" customHeight="1">
      <c r="A891" s="45" t="s">
        <v>150</v>
      </c>
      <c r="B891" s="45" t="s">
        <v>87</v>
      </c>
      <c r="C891" s="46">
        <v>2020</v>
      </c>
      <c r="D891" s="45" t="s">
        <v>128</v>
      </c>
      <c r="E891" s="47">
        <v>9</v>
      </c>
      <c r="F891" s="48">
        <v>7880.9880000000003</v>
      </c>
      <c r="G891" s="48">
        <v>3774.9769999999999</v>
      </c>
    </row>
    <row r="892" spans="1:7" ht="10.050000000000001" customHeight="1">
      <c r="A892" s="45" t="s">
        <v>150</v>
      </c>
      <c r="B892" s="45" t="s">
        <v>87</v>
      </c>
      <c r="C892" s="46">
        <v>2020</v>
      </c>
      <c r="D892" s="45" t="s">
        <v>128</v>
      </c>
      <c r="E892" s="47">
        <v>10</v>
      </c>
      <c r="F892" s="48">
        <v>8360.3379999999997</v>
      </c>
      <c r="G892" s="48">
        <v>3301.6260000000002</v>
      </c>
    </row>
    <row r="893" spans="1:7" ht="10.050000000000001" customHeight="1">
      <c r="A893" s="45" t="s">
        <v>150</v>
      </c>
      <c r="B893" s="45" t="s">
        <v>87</v>
      </c>
      <c r="C893" s="46">
        <v>2020</v>
      </c>
      <c r="D893" s="45" t="s">
        <v>128</v>
      </c>
      <c r="E893" s="47">
        <v>11</v>
      </c>
      <c r="F893" s="48">
        <v>9569.5259999999998</v>
      </c>
      <c r="G893" s="48">
        <v>5356.3059999999996</v>
      </c>
    </row>
    <row r="894" spans="1:7" ht="10.050000000000001" customHeight="1">
      <c r="A894" s="45" t="s">
        <v>150</v>
      </c>
      <c r="B894" s="45" t="s">
        <v>87</v>
      </c>
      <c r="C894" s="46">
        <v>2020</v>
      </c>
      <c r="D894" s="45" t="s">
        <v>128</v>
      </c>
      <c r="E894" s="47">
        <v>12</v>
      </c>
      <c r="F894" s="48">
        <v>8556.2999999999993</v>
      </c>
      <c r="G894" s="48">
        <v>5890.8559999999998</v>
      </c>
    </row>
    <row r="895" spans="1:7" ht="10.050000000000001" customHeight="1">
      <c r="A895" s="45" t="s">
        <v>150</v>
      </c>
      <c r="B895" s="45" t="s">
        <v>87</v>
      </c>
      <c r="C895" s="46">
        <v>2021</v>
      </c>
      <c r="D895" s="45" t="s">
        <v>128</v>
      </c>
      <c r="E895" s="47">
        <v>1</v>
      </c>
      <c r="F895" s="48">
        <v>7225.3440000000001</v>
      </c>
      <c r="G895" s="48">
        <v>5698.9170000000004</v>
      </c>
    </row>
    <row r="896" spans="1:7" ht="10.050000000000001" customHeight="1">
      <c r="A896" s="45" t="s">
        <v>150</v>
      </c>
      <c r="B896" s="45" t="s">
        <v>87</v>
      </c>
      <c r="C896" s="46">
        <v>2021</v>
      </c>
      <c r="D896" s="45" t="s">
        <v>128</v>
      </c>
      <c r="E896" s="47">
        <v>2</v>
      </c>
      <c r="F896" s="48">
        <v>7528.5709999999999</v>
      </c>
      <c r="G896" s="48">
        <v>5268.5879999999997</v>
      </c>
    </row>
    <row r="897" spans="1:7" ht="10.050000000000001" customHeight="1">
      <c r="A897" s="45" t="s">
        <v>150</v>
      </c>
      <c r="B897" s="45" t="s">
        <v>87</v>
      </c>
      <c r="C897" s="46">
        <v>2021</v>
      </c>
      <c r="D897" s="45" t="s">
        <v>128</v>
      </c>
      <c r="E897" s="47">
        <v>3</v>
      </c>
      <c r="F897" s="48">
        <v>7863.5439999999999</v>
      </c>
      <c r="G897" s="48">
        <v>4570.924</v>
      </c>
    </row>
    <row r="898" spans="1:7" ht="10.050000000000001" customHeight="1">
      <c r="A898" s="45" t="s">
        <v>150</v>
      </c>
      <c r="B898" s="45" t="s">
        <v>87</v>
      </c>
      <c r="C898" s="46">
        <v>2021</v>
      </c>
      <c r="D898" s="45" t="s">
        <v>128</v>
      </c>
      <c r="E898" s="47">
        <v>4</v>
      </c>
      <c r="F898" s="48">
        <v>6347.8919999999998</v>
      </c>
      <c r="G898" s="48">
        <v>4322.4409999999998</v>
      </c>
    </row>
    <row r="899" spans="1:7" ht="10.050000000000001" customHeight="1">
      <c r="A899" s="45" t="s">
        <v>150</v>
      </c>
      <c r="B899" s="45" t="s">
        <v>87</v>
      </c>
      <c r="C899" s="46">
        <v>2021</v>
      </c>
      <c r="D899" s="45" t="s">
        <v>128</v>
      </c>
      <c r="E899" s="47">
        <v>5</v>
      </c>
      <c r="F899" s="48">
        <v>6369.1710000000003</v>
      </c>
      <c r="G899" s="48">
        <v>4133.3220000000001</v>
      </c>
    </row>
    <row r="900" spans="1:7" ht="10.050000000000001" customHeight="1">
      <c r="A900" s="45" t="s">
        <v>150</v>
      </c>
      <c r="B900" s="45" t="s">
        <v>87</v>
      </c>
      <c r="C900" s="46">
        <v>2021</v>
      </c>
      <c r="D900" s="45" t="s">
        <v>128</v>
      </c>
      <c r="E900" s="47">
        <v>6</v>
      </c>
      <c r="F900" s="48">
        <v>6783.32</v>
      </c>
      <c r="G900" s="48">
        <v>4310.6869999999999</v>
      </c>
    </row>
    <row r="901" spans="1:7" ht="10.050000000000001" customHeight="1">
      <c r="A901" s="45" t="s">
        <v>150</v>
      </c>
      <c r="B901" s="45" t="s">
        <v>87</v>
      </c>
      <c r="C901" s="46">
        <v>2021</v>
      </c>
      <c r="D901" s="45" t="s">
        <v>129</v>
      </c>
      <c r="E901" s="47">
        <v>7</v>
      </c>
      <c r="F901" s="48">
        <v>7143.2749999999996</v>
      </c>
      <c r="G901" s="48">
        <v>3474.105</v>
      </c>
    </row>
    <row r="902" spans="1:7" ht="10.050000000000001" customHeight="1">
      <c r="A902" s="45" t="s">
        <v>150</v>
      </c>
      <c r="B902" s="45" t="s">
        <v>87</v>
      </c>
      <c r="C902" s="46">
        <v>2021</v>
      </c>
      <c r="D902" s="45" t="s">
        <v>129</v>
      </c>
      <c r="E902" s="47">
        <v>8</v>
      </c>
      <c r="F902" s="48">
        <v>7595.67</v>
      </c>
      <c r="G902" s="48">
        <v>3191.1179999999999</v>
      </c>
    </row>
    <row r="903" spans="1:7" ht="10.050000000000001" customHeight="1">
      <c r="A903" s="45" t="s">
        <v>150</v>
      </c>
      <c r="B903" s="45" t="s">
        <v>87</v>
      </c>
      <c r="C903" s="46">
        <v>2021</v>
      </c>
      <c r="D903" s="45" t="s">
        <v>129</v>
      </c>
      <c r="E903" s="47">
        <v>9</v>
      </c>
      <c r="F903" s="48">
        <v>7450.3919999999998</v>
      </c>
      <c r="G903" s="48">
        <v>3429.4360000000001</v>
      </c>
    </row>
    <row r="904" spans="1:7" ht="10.050000000000001" customHeight="1">
      <c r="A904" s="45" t="s">
        <v>150</v>
      </c>
      <c r="B904" s="45" t="s">
        <v>87</v>
      </c>
      <c r="C904" s="46">
        <v>2021</v>
      </c>
      <c r="D904" s="45" t="s">
        <v>129</v>
      </c>
      <c r="E904" s="47">
        <v>10</v>
      </c>
      <c r="F904" s="48">
        <v>6357.3040000000001</v>
      </c>
      <c r="G904" s="48">
        <v>3517.0509999999999</v>
      </c>
    </row>
    <row r="905" spans="1:7" ht="10.050000000000001" customHeight="1">
      <c r="A905" s="45" t="s">
        <v>150</v>
      </c>
      <c r="B905" s="45" t="s">
        <v>87</v>
      </c>
      <c r="C905" s="46">
        <v>2021</v>
      </c>
      <c r="D905" s="45" t="s">
        <v>129</v>
      </c>
      <c r="E905" s="47">
        <v>11</v>
      </c>
      <c r="F905" s="48">
        <v>5057.9679999999998</v>
      </c>
      <c r="G905" s="48">
        <v>3018.4369999999999</v>
      </c>
    </row>
    <row r="906" spans="1:7" ht="10.050000000000001" customHeight="1">
      <c r="A906" s="45" t="s">
        <v>150</v>
      </c>
      <c r="B906" s="45" t="s">
        <v>87</v>
      </c>
      <c r="C906" s="46">
        <v>2021</v>
      </c>
      <c r="D906" s="45" t="s">
        <v>129</v>
      </c>
      <c r="E906" s="47">
        <v>12</v>
      </c>
      <c r="F906" s="48">
        <v>4871.1769999999997</v>
      </c>
      <c r="G906" s="48">
        <v>2875.9250000000002</v>
      </c>
    </row>
    <row r="907" spans="1:7" ht="10.050000000000001" customHeight="1">
      <c r="A907" s="45" t="s">
        <v>150</v>
      </c>
      <c r="B907" s="45" t="s">
        <v>87</v>
      </c>
      <c r="C907" s="46">
        <v>2022</v>
      </c>
      <c r="D907" s="45" t="s">
        <v>129</v>
      </c>
      <c r="E907" s="47">
        <v>1</v>
      </c>
      <c r="F907" s="48">
        <v>4245.433</v>
      </c>
      <c r="G907" s="48">
        <v>3326.4560000000001</v>
      </c>
    </row>
    <row r="908" spans="1:7" ht="10.050000000000001" customHeight="1">
      <c r="A908" s="45" t="s">
        <v>150</v>
      </c>
      <c r="B908" s="45" t="s">
        <v>87</v>
      </c>
      <c r="C908" s="46">
        <v>2022</v>
      </c>
      <c r="D908" s="45" t="s">
        <v>129</v>
      </c>
      <c r="E908" s="47">
        <v>2</v>
      </c>
      <c r="F908" s="48">
        <v>4266.6360000000004</v>
      </c>
      <c r="G908" s="48">
        <v>3000.1280000000002</v>
      </c>
    </row>
    <row r="909" spans="1:7" ht="10.050000000000001" customHeight="1">
      <c r="A909" s="45" t="s">
        <v>150</v>
      </c>
      <c r="B909" s="45" t="s">
        <v>87</v>
      </c>
      <c r="C909" s="46">
        <v>2022</v>
      </c>
      <c r="D909" s="45" t="s">
        <v>129</v>
      </c>
      <c r="E909" s="47">
        <v>3</v>
      </c>
      <c r="F909" s="48">
        <v>4797.8370000000004</v>
      </c>
      <c r="G909" s="48">
        <v>3134.6350000000002</v>
      </c>
    </row>
    <row r="910" spans="1:7" ht="10.050000000000001" customHeight="1">
      <c r="A910" s="45" t="s">
        <v>150</v>
      </c>
      <c r="B910" s="45" t="s">
        <v>87</v>
      </c>
      <c r="C910" s="46">
        <v>2022</v>
      </c>
      <c r="D910" s="45" t="s">
        <v>129</v>
      </c>
      <c r="E910" s="47">
        <v>4</v>
      </c>
      <c r="F910" s="48">
        <v>4755.4639999999999</v>
      </c>
      <c r="G910" s="48">
        <v>2956.2150000000001</v>
      </c>
    </row>
    <row r="911" spans="1:7" ht="10.050000000000001" customHeight="1">
      <c r="A911" s="45" t="s">
        <v>150</v>
      </c>
      <c r="B911" s="45" t="s">
        <v>87</v>
      </c>
      <c r="C911" s="46">
        <v>2022</v>
      </c>
      <c r="D911" s="45" t="s">
        <v>129</v>
      </c>
      <c r="E911" s="47">
        <v>5</v>
      </c>
      <c r="F911" s="48">
        <v>4728.6139999999996</v>
      </c>
      <c r="G911" s="48">
        <v>3070.701</v>
      </c>
    </row>
    <row r="912" spans="1:7" ht="10.050000000000001" customHeight="1">
      <c r="A912" s="45" t="s">
        <v>150</v>
      </c>
      <c r="B912" s="45" t="s">
        <v>87</v>
      </c>
      <c r="C912" s="46">
        <v>2022</v>
      </c>
      <c r="D912" s="45" t="s">
        <v>129</v>
      </c>
      <c r="E912" s="47">
        <v>6</v>
      </c>
      <c r="F912" s="48">
        <v>4862.674</v>
      </c>
      <c r="G912" s="48">
        <v>3451.0259999999998</v>
      </c>
    </row>
    <row r="913" spans="1:7" ht="10.050000000000001" customHeight="1">
      <c r="A913" s="45" t="s">
        <v>150</v>
      </c>
      <c r="B913" s="45" t="s">
        <v>87</v>
      </c>
      <c r="C913" s="46">
        <v>2022</v>
      </c>
      <c r="D913" s="45" t="s">
        <v>130</v>
      </c>
      <c r="E913" s="47">
        <v>7</v>
      </c>
      <c r="F913" s="48">
        <v>4387.3959999999997</v>
      </c>
      <c r="G913" s="48">
        <v>2858.8220000000001</v>
      </c>
    </row>
    <row r="914" spans="1:7" ht="10.050000000000001" customHeight="1">
      <c r="A914" s="45" t="s">
        <v>150</v>
      </c>
      <c r="B914" s="45" t="s">
        <v>87</v>
      </c>
      <c r="C914" s="46">
        <v>2022</v>
      </c>
      <c r="D914" s="45" t="s">
        <v>130</v>
      </c>
      <c r="E914" s="47">
        <v>8</v>
      </c>
      <c r="F914" s="48">
        <v>4492.1260000000002</v>
      </c>
      <c r="G914" s="48">
        <v>2645.7130000000002</v>
      </c>
    </row>
    <row r="915" spans="1:7" ht="10.050000000000001" customHeight="1">
      <c r="A915" s="45" t="s">
        <v>150</v>
      </c>
      <c r="B915" s="45" t="s">
        <v>87</v>
      </c>
      <c r="C915" s="46">
        <v>2022</v>
      </c>
      <c r="D915" s="45" t="s">
        <v>130</v>
      </c>
      <c r="E915" s="47">
        <v>9</v>
      </c>
      <c r="F915" s="48">
        <v>4813.6610000000001</v>
      </c>
      <c r="G915" s="48">
        <v>2110.7190000000001</v>
      </c>
    </row>
    <row r="916" spans="1:7" ht="10.050000000000001" customHeight="1">
      <c r="A916" s="45" t="s">
        <v>150</v>
      </c>
      <c r="B916" s="45" t="s">
        <v>87</v>
      </c>
      <c r="C916" s="46">
        <v>2022</v>
      </c>
      <c r="D916" s="45" t="s">
        <v>130</v>
      </c>
      <c r="E916" s="47">
        <v>10</v>
      </c>
      <c r="F916" s="48">
        <v>4410.3540000000003</v>
      </c>
      <c r="G916" s="48">
        <v>2317.364</v>
      </c>
    </row>
    <row r="917" spans="1:7" ht="10.050000000000001" customHeight="1">
      <c r="A917" s="45" t="s">
        <v>150</v>
      </c>
      <c r="B917" s="45" t="s">
        <v>87</v>
      </c>
      <c r="C917" s="46">
        <v>2022</v>
      </c>
      <c r="D917" s="45" t="s">
        <v>130</v>
      </c>
      <c r="E917" s="47">
        <v>11</v>
      </c>
      <c r="F917" s="48">
        <v>4256.6840000000002</v>
      </c>
      <c r="G917" s="48">
        <v>2694.9830000000002</v>
      </c>
    </row>
    <row r="918" spans="1:7" ht="10.050000000000001" customHeight="1">
      <c r="A918" s="45" t="s">
        <v>150</v>
      </c>
      <c r="B918" s="45" t="s">
        <v>87</v>
      </c>
      <c r="C918" s="46">
        <v>2022</v>
      </c>
      <c r="D918" s="45" t="s">
        <v>130</v>
      </c>
      <c r="E918" s="47">
        <v>12</v>
      </c>
      <c r="F918" s="48">
        <v>3579.5810000000001</v>
      </c>
      <c r="G918" s="48">
        <v>2585.2629999999999</v>
      </c>
    </row>
    <row r="919" spans="1:7" ht="10.050000000000001" customHeight="1">
      <c r="A919" s="45" t="s">
        <v>150</v>
      </c>
      <c r="B919" s="45" t="s">
        <v>87</v>
      </c>
      <c r="C919" s="46">
        <v>2023</v>
      </c>
      <c r="D919" s="45" t="s">
        <v>130</v>
      </c>
      <c r="E919" s="47">
        <v>1</v>
      </c>
      <c r="F919" s="48">
        <v>3593.462</v>
      </c>
      <c r="G919" s="48">
        <v>2526.9830000000002</v>
      </c>
    </row>
    <row r="920" spans="1:7" ht="10.050000000000001" customHeight="1">
      <c r="A920" s="45" t="s">
        <v>150</v>
      </c>
      <c r="B920" s="45" t="s">
        <v>87</v>
      </c>
      <c r="C920" s="46">
        <v>2023</v>
      </c>
      <c r="D920" s="45" t="s">
        <v>130</v>
      </c>
      <c r="E920" s="47">
        <v>2</v>
      </c>
      <c r="F920" s="48">
        <v>3610.8069999999998</v>
      </c>
      <c r="G920" s="48">
        <v>2449.9450000000002</v>
      </c>
    </row>
    <row r="921" spans="1:7" ht="10.050000000000001" customHeight="1">
      <c r="A921" s="45" t="s">
        <v>150</v>
      </c>
      <c r="B921" s="45" t="s">
        <v>87</v>
      </c>
      <c r="C921" s="46">
        <v>2023</v>
      </c>
      <c r="D921" s="45" t="s">
        <v>130</v>
      </c>
      <c r="E921" s="47">
        <v>3</v>
      </c>
      <c r="F921" s="48">
        <v>5824.5860000000002</v>
      </c>
      <c r="G921" s="48">
        <v>2266.9989999999998</v>
      </c>
    </row>
    <row r="922" spans="1:7" ht="10.050000000000001" customHeight="1">
      <c r="A922" s="45" t="s">
        <v>150</v>
      </c>
      <c r="B922" s="45" t="s">
        <v>87</v>
      </c>
      <c r="C922" s="46">
        <v>2023</v>
      </c>
      <c r="D922" s="45" t="s">
        <v>130</v>
      </c>
      <c r="E922" s="47">
        <v>4</v>
      </c>
      <c r="F922" s="48">
        <v>5554.2690000000002</v>
      </c>
      <c r="G922" s="48">
        <v>2339.09</v>
      </c>
    </row>
    <row r="923" spans="1:7" ht="10.050000000000001" customHeight="1">
      <c r="A923" s="45" t="s">
        <v>150</v>
      </c>
      <c r="B923" s="45" t="s">
        <v>87</v>
      </c>
      <c r="C923" s="46">
        <v>2023</v>
      </c>
      <c r="D923" s="45" t="s">
        <v>130</v>
      </c>
      <c r="E923" s="47">
        <v>5</v>
      </c>
      <c r="F923" s="48">
        <v>5482.3339999999998</v>
      </c>
      <c r="G923" s="48">
        <v>2561.6790000000001</v>
      </c>
    </row>
    <row r="924" spans="1:7" ht="10.050000000000001" customHeight="1">
      <c r="A924" s="45" t="s">
        <v>150</v>
      </c>
      <c r="B924" s="45" t="s">
        <v>87</v>
      </c>
      <c r="C924" s="46">
        <v>2023</v>
      </c>
      <c r="D924" s="45" t="s">
        <v>130</v>
      </c>
      <c r="E924" s="47">
        <v>6</v>
      </c>
      <c r="F924" s="48">
        <v>6837.0069999999996</v>
      </c>
      <c r="G924" s="48">
        <v>3062.212</v>
      </c>
    </row>
    <row r="925" spans="1:7" ht="10.050000000000001" customHeight="1">
      <c r="A925" s="45" t="s">
        <v>150</v>
      </c>
      <c r="B925" s="45" t="s">
        <v>87</v>
      </c>
      <c r="C925" s="46">
        <v>2023</v>
      </c>
      <c r="D925" s="45" t="s">
        <v>131</v>
      </c>
      <c r="E925" s="47">
        <v>7</v>
      </c>
      <c r="F925" s="48">
        <v>8179.6019999999999</v>
      </c>
      <c r="G925" s="48">
        <v>2609.92</v>
      </c>
    </row>
    <row r="926" spans="1:7" ht="10.050000000000001" customHeight="1">
      <c r="A926" s="45" t="s">
        <v>150</v>
      </c>
      <c r="B926" s="45" t="s">
        <v>87</v>
      </c>
      <c r="C926" s="46">
        <v>2023</v>
      </c>
      <c r="D926" s="45" t="s">
        <v>131</v>
      </c>
      <c r="E926" s="47">
        <v>8</v>
      </c>
      <c r="F926" s="48">
        <v>10247.07</v>
      </c>
      <c r="G926" s="48">
        <v>2432.7460000000001</v>
      </c>
    </row>
    <row r="927" spans="1:7" ht="10.050000000000001" customHeight="1">
      <c r="A927" s="45" t="s">
        <v>150</v>
      </c>
      <c r="B927" s="45" t="s">
        <v>87</v>
      </c>
      <c r="C927" s="46">
        <v>2023</v>
      </c>
      <c r="D927" s="45" t="s">
        <v>131</v>
      </c>
      <c r="E927" s="47">
        <v>9</v>
      </c>
      <c r="F927" s="48">
        <v>9218.2620000000006</v>
      </c>
      <c r="G927" s="48">
        <v>2409.2339999999999</v>
      </c>
    </row>
    <row r="928" spans="1:7" ht="10.050000000000001" customHeight="1">
      <c r="A928" s="45" t="s">
        <v>150</v>
      </c>
      <c r="B928" s="45" t="s">
        <v>87</v>
      </c>
      <c r="C928" s="46">
        <v>2023</v>
      </c>
      <c r="D928" s="45" t="s">
        <v>131</v>
      </c>
      <c r="E928" s="47">
        <v>10</v>
      </c>
      <c r="F928" s="48">
        <v>8893.4500000000007</v>
      </c>
      <c r="G928" s="48">
        <v>2996.5729999999999</v>
      </c>
    </row>
    <row r="929" spans="1:7" ht="10.050000000000001" customHeight="1">
      <c r="A929" s="45" t="s">
        <v>150</v>
      </c>
      <c r="B929" s="45" t="s">
        <v>87</v>
      </c>
      <c r="C929" s="46">
        <v>2023</v>
      </c>
      <c r="D929" s="45" t="s">
        <v>131</v>
      </c>
      <c r="E929" s="47">
        <v>11</v>
      </c>
      <c r="F929" s="48">
        <v>8557.4320000000007</v>
      </c>
      <c r="G929" s="48">
        <v>2765.3620000000001</v>
      </c>
    </row>
    <row r="930" spans="1:7" ht="10.050000000000001" customHeight="1">
      <c r="A930" s="45" t="s">
        <v>150</v>
      </c>
      <c r="B930" s="45" t="s">
        <v>87</v>
      </c>
      <c r="C930" s="46">
        <v>2023</v>
      </c>
      <c r="D930" s="45" t="s">
        <v>131</v>
      </c>
      <c r="E930" s="47">
        <v>12</v>
      </c>
      <c r="F930" s="48">
        <v>9378.7330000000093</v>
      </c>
      <c r="G930" s="48">
        <v>2449.3629999999998</v>
      </c>
    </row>
    <row r="931" spans="1:7" ht="10.050000000000001" customHeight="1">
      <c r="A931" s="45" t="s">
        <v>150</v>
      </c>
      <c r="B931" s="45" t="s">
        <v>87</v>
      </c>
      <c r="C931" s="46">
        <v>2024</v>
      </c>
      <c r="D931" s="45" t="s">
        <v>131</v>
      </c>
      <c r="E931" s="47">
        <v>1</v>
      </c>
      <c r="F931" s="48">
        <v>8081.6880000000101</v>
      </c>
      <c r="G931" s="48">
        <v>2999.672</v>
      </c>
    </row>
    <row r="932" spans="1:7" ht="10.050000000000001" customHeight="1">
      <c r="A932" s="45" t="s">
        <v>150</v>
      </c>
      <c r="B932" s="45" t="s">
        <v>87</v>
      </c>
      <c r="C932" s="46">
        <v>2024</v>
      </c>
      <c r="D932" s="45" t="s">
        <v>131</v>
      </c>
      <c r="E932" s="47">
        <v>2</v>
      </c>
      <c r="F932" s="48">
        <v>5476.4279999999999</v>
      </c>
      <c r="G932" s="48">
        <v>3020.143</v>
      </c>
    </row>
    <row r="933" spans="1:7" ht="10.050000000000001" customHeight="1">
      <c r="A933" s="45" t="s">
        <v>150</v>
      </c>
      <c r="B933" s="45" t="s">
        <v>87</v>
      </c>
      <c r="C933" s="46">
        <v>2024</v>
      </c>
      <c r="D933" s="45" t="s">
        <v>131</v>
      </c>
      <c r="E933" s="47">
        <v>3</v>
      </c>
      <c r="F933" s="48">
        <v>4724.3040000000001</v>
      </c>
      <c r="G933" s="48">
        <v>2819.002</v>
      </c>
    </row>
    <row r="934" spans="1:7" ht="10.050000000000001" customHeight="1">
      <c r="A934" s="45" t="s">
        <v>150</v>
      </c>
      <c r="B934" s="45" t="s">
        <v>87</v>
      </c>
      <c r="C934" s="46">
        <v>2024</v>
      </c>
      <c r="D934" s="45" t="s">
        <v>131</v>
      </c>
      <c r="E934" s="47">
        <v>4</v>
      </c>
      <c r="F934" s="48">
        <v>4146.9480000000003</v>
      </c>
      <c r="G934" s="48">
        <v>2591.6590000000001</v>
      </c>
    </row>
    <row r="935" spans="1:7" ht="10.050000000000001" customHeight="1">
      <c r="A935" s="45" t="s">
        <v>150</v>
      </c>
      <c r="B935" s="45" t="s">
        <v>87</v>
      </c>
      <c r="C935" s="46">
        <v>2024</v>
      </c>
      <c r="D935" s="45" t="s">
        <v>131</v>
      </c>
      <c r="E935" s="47">
        <v>5</v>
      </c>
      <c r="F935" s="48">
        <v>3949.15</v>
      </c>
      <c r="G935" s="48">
        <v>2437.2280000000001</v>
      </c>
    </row>
    <row r="936" spans="1:7" ht="10.050000000000001" customHeight="1">
      <c r="A936" s="45" t="s">
        <v>150</v>
      </c>
      <c r="B936" s="45" t="s">
        <v>87</v>
      </c>
      <c r="C936" s="46">
        <v>2024</v>
      </c>
      <c r="D936" s="45" t="s">
        <v>131</v>
      </c>
      <c r="E936" s="47">
        <v>6</v>
      </c>
      <c r="F936" s="48">
        <v>2784.0210000000002</v>
      </c>
      <c r="G936" s="48">
        <v>1921.9079999999999</v>
      </c>
    </row>
    <row r="937" spans="1:7" ht="10.050000000000001" customHeight="1">
      <c r="A937" s="45" t="s">
        <v>150</v>
      </c>
      <c r="B937" s="45" t="s">
        <v>87</v>
      </c>
      <c r="C937" s="46">
        <v>2024</v>
      </c>
      <c r="D937" s="45" t="s">
        <v>132</v>
      </c>
      <c r="E937" s="47">
        <v>7</v>
      </c>
      <c r="F937" s="48">
        <v>2906.634</v>
      </c>
      <c r="G937" s="48">
        <v>2220.0430000000001</v>
      </c>
    </row>
    <row r="938" spans="1:7" ht="10.050000000000001" customHeight="1">
      <c r="A938" s="45" t="s">
        <v>150</v>
      </c>
      <c r="B938" s="45" t="s">
        <v>87</v>
      </c>
      <c r="C938" s="46">
        <v>2024</v>
      </c>
      <c r="D938" s="45" t="s">
        <v>132</v>
      </c>
      <c r="E938" s="47">
        <v>8</v>
      </c>
      <c r="F938" s="48">
        <v>3249.2429999999999</v>
      </c>
      <c r="G938" s="48">
        <v>2166.9059999999999</v>
      </c>
    </row>
    <row r="939" spans="1:7" ht="10.050000000000001" customHeight="1">
      <c r="A939" s="45" t="s">
        <v>150</v>
      </c>
      <c r="B939" s="45" t="s">
        <v>87</v>
      </c>
      <c r="C939" s="46">
        <v>2024</v>
      </c>
      <c r="D939" s="45" t="s">
        <v>132</v>
      </c>
      <c r="E939" s="47">
        <v>9</v>
      </c>
      <c r="F939" s="48">
        <v>2547.4960000000001</v>
      </c>
      <c r="G939" s="48">
        <v>2302.8760000000002</v>
      </c>
    </row>
    <row r="940" spans="1:7" ht="10.050000000000001" customHeight="1">
      <c r="A940" s="45" t="s">
        <v>150</v>
      </c>
      <c r="B940" s="45" t="s">
        <v>87</v>
      </c>
      <c r="C940" s="46">
        <v>2024</v>
      </c>
      <c r="D940" s="45" t="s">
        <v>132</v>
      </c>
      <c r="E940" s="47">
        <v>10</v>
      </c>
      <c r="F940" s="48">
        <v>2903.924</v>
      </c>
      <c r="G940" s="48">
        <v>2158.1689999999999</v>
      </c>
    </row>
    <row r="941" spans="1:7" ht="10.050000000000001" customHeight="1">
      <c r="A941" s="45" t="s">
        <v>150</v>
      </c>
      <c r="B941" s="45" t="s">
        <v>87</v>
      </c>
      <c r="C941" s="46">
        <v>2024</v>
      </c>
      <c r="D941" s="45" t="s">
        <v>132</v>
      </c>
      <c r="E941" s="47">
        <v>11</v>
      </c>
      <c r="F941" s="48">
        <v>2818.3159999999998</v>
      </c>
      <c r="G941" s="48">
        <v>1693.4159999999999</v>
      </c>
    </row>
    <row r="942" spans="1:7" ht="10.050000000000001" customHeight="1">
      <c r="A942" s="45" t="s">
        <v>150</v>
      </c>
      <c r="B942" s="45" t="s">
        <v>87</v>
      </c>
      <c r="C942" s="46">
        <v>2024</v>
      </c>
      <c r="D942" s="45" t="s">
        <v>132</v>
      </c>
      <c r="E942" s="47">
        <v>12</v>
      </c>
      <c r="F942" s="48">
        <v>2305.5940000000001</v>
      </c>
      <c r="G942" s="48">
        <v>1555.0920000000001</v>
      </c>
    </row>
    <row r="944" spans="1:7" ht="12" customHeight="1">
      <c r="A944" s="1072" t="s">
        <v>151</v>
      </c>
      <c r="B944" s="1072"/>
      <c r="C944" s="1072"/>
      <c r="D944" s="1072"/>
      <c r="E944" s="1072"/>
      <c r="F944" s="1072"/>
      <c r="G944" s="1072"/>
    </row>
    <row r="945" spans="1:7" ht="12" customHeight="1">
      <c r="A945" s="1072" t="s">
        <v>152</v>
      </c>
      <c r="B945" s="1072"/>
      <c r="C945" s="1072"/>
      <c r="D945" s="1072"/>
      <c r="E945" s="1072"/>
      <c r="F945" s="1072"/>
      <c r="G945" s="1072"/>
    </row>
    <row r="946" spans="1:7" ht="12" customHeight="1">
      <c r="A946" s="1072" t="s">
        <v>153</v>
      </c>
      <c r="B946" s="1072"/>
      <c r="C946" s="1072"/>
      <c r="D946" s="1072"/>
      <c r="E946" s="1072"/>
      <c r="F946" s="1072"/>
      <c r="G946" s="1072"/>
    </row>
  </sheetData>
  <autoFilter ref="A5:E942" xr:uid="{00000000-0009-0000-0000-000001000000}"/>
  <mergeCells count="6">
    <mergeCell ref="A946:G946"/>
    <mergeCell ref="A1:G1"/>
    <mergeCell ref="A2:G2"/>
    <mergeCell ref="A3:G3"/>
    <mergeCell ref="A944:G944"/>
    <mergeCell ref="A945:G945"/>
  </mergeCells>
  <printOptions horizontalCentered="1" verticalCentered="1"/>
  <pageMargins left="0.2" right="0.2" top="0.2" bottom="0.2" header="0" footer="0"/>
  <pageSetup paperSize="9" scale="60"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AEBD2-7E7A-4B90-B7C7-4D217468E264}">
  <sheetPr>
    <tabColor rgb="FF92D050"/>
  </sheetPr>
  <dimension ref="A1:S33"/>
  <sheetViews>
    <sheetView workbookViewId="0">
      <pane xSplit="2" ySplit="1" topLeftCell="C2" activePane="bottomRight" state="frozen"/>
      <selection activeCell="B15" sqref="B15"/>
      <selection pane="topRight" activeCell="B15" sqref="B15"/>
      <selection pane="bottomLeft" activeCell="B15" sqref="B15"/>
      <selection pane="bottomRight" activeCell="P22" sqref="P22:Q33"/>
    </sheetView>
  </sheetViews>
  <sheetFormatPr baseColWidth="10" defaultColWidth="9.109375" defaultRowHeight="14.4"/>
  <cols>
    <col min="1" max="1" width="19.5546875" bestFit="1" customWidth="1"/>
    <col min="2" max="2" width="33.21875" bestFit="1" customWidth="1"/>
    <col min="3" max="3" width="7.77734375"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Produits!$B$19</f>
        <v>Produits alimentaires</v>
      </c>
      <c r="B2" t="str">
        <f>Secteurs!$B$19</f>
        <v>GMS</v>
      </c>
      <c r="C2" s="911">
        <f>'Prétraitement consommation'!C3</f>
        <v>2.1</v>
      </c>
      <c r="E2" t="str">
        <f>Etiquettes!$C$3</f>
        <v>kt</v>
      </c>
      <c r="F2" s="21" t="str">
        <f>Etiquettes!$L$6</f>
        <v>Pois</v>
      </c>
      <c r="G2" s="913" t="str">
        <f>Etiquettes!$J$5</f>
        <v>2023-24</v>
      </c>
      <c r="H2">
        <v>0</v>
      </c>
      <c r="I2" s="101" t="s">
        <v>1220</v>
      </c>
      <c r="J2" s="21" t="s">
        <v>1301</v>
      </c>
      <c r="K2" s="21" t="s">
        <v>1215</v>
      </c>
      <c r="L2" s="101" t="s">
        <v>1502</v>
      </c>
      <c r="M2" s="21" t="str">
        <f>Etiquettes!$H$11</f>
        <v>Volume</v>
      </c>
      <c r="N2" s="21" t="str">
        <f t="shared" ref="N2:N29" si="0">_xlfn.CONCAT(I2,IF(ISBLANK(C2),"",_xlfn.CONCAT(" = ",MROUND(C2,1)," ",E2))," (",K2,")")</f>
        <v>Consommation de produits alimentaires par les GMS (en volume de matière première) = 2 kt (OléoProtéines - Terres Univia)</v>
      </c>
      <c r="O2" t="str">
        <f>Etiquettes!$L$15</f>
        <v>Indicative</v>
      </c>
    </row>
    <row r="3" spans="1:19">
      <c r="A3" t="str">
        <f>Produits!$B$19</f>
        <v>Produits alimentaires</v>
      </c>
      <c r="B3" t="str">
        <f>Secteurs!$B$17</f>
        <v>Circuits spécialisés</v>
      </c>
      <c r="C3" s="911">
        <f>'Prétraitement consommation'!D3</f>
        <v>0.10500000000000001</v>
      </c>
      <c r="E3" t="str">
        <f>Etiquettes!$C$3</f>
        <v>kt</v>
      </c>
      <c r="F3" s="21" t="str">
        <f>Etiquettes!$L$6</f>
        <v>Pois</v>
      </c>
      <c r="G3" s="913" t="str">
        <f>Etiquettes!$J$5</f>
        <v>2023-24</v>
      </c>
      <c r="H3">
        <v>0</v>
      </c>
      <c r="I3" s="101" t="s">
        <v>1219</v>
      </c>
      <c r="J3" s="21" t="s">
        <v>1301</v>
      </c>
      <c r="K3" s="21" t="s">
        <v>1215</v>
      </c>
      <c r="L3" s="101" t="s">
        <v>1502</v>
      </c>
      <c r="M3" s="21" t="str">
        <f>Etiquettes!$H$11</f>
        <v>Volume</v>
      </c>
      <c r="N3" s="21" t="str">
        <f t="shared" si="0"/>
        <v>Consommation de produits alimentaires par les circuits spécialisés (en volume de matière première) = 0 kt (OléoProtéines - Terres Univia)</v>
      </c>
      <c r="O3" t="str">
        <f>Etiquettes!$L$15</f>
        <v>Indicative</v>
      </c>
    </row>
    <row r="4" spans="1:19">
      <c r="A4" t="str">
        <f>Produits!$B$19</f>
        <v>Produits alimentaires</v>
      </c>
      <c r="B4" t="str">
        <f>Secteurs!$B$20</f>
        <v>RHD</v>
      </c>
      <c r="C4" s="911">
        <f>'Prétraitement consommation'!E3</f>
        <v>0.65</v>
      </c>
      <c r="E4" t="str">
        <f>Etiquettes!$C$3</f>
        <v>kt</v>
      </c>
      <c r="F4" s="21" t="str">
        <f>Etiquettes!$L$6</f>
        <v>Pois</v>
      </c>
      <c r="G4" s="913" t="str">
        <f>Etiquettes!$J$5</f>
        <v>2023-24</v>
      </c>
      <c r="H4">
        <v>0</v>
      </c>
      <c r="I4" s="101" t="s">
        <v>1221</v>
      </c>
      <c r="J4" s="21" t="s">
        <v>1301</v>
      </c>
      <c r="K4" s="21" t="s">
        <v>1215</v>
      </c>
      <c r="L4" s="101" t="s">
        <v>1502</v>
      </c>
      <c r="M4" s="21" t="str">
        <f>Etiquettes!$H$11</f>
        <v>Volume</v>
      </c>
      <c r="N4" s="21" t="str">
        <f t="shared" si="0"/>
        <v>Consommation de produits alimentaires par la RHD (en volume de matière première) = 1 kt (OléoProtéines - Terres Univia)</v>
      </c>
      <c r="O4" t="str">
        <f>Etiquettes!$L$15</f>
        <v>Indicative</v>
      </c>
    </row>
    <row r="5" spans="1:19">
      <c r="A5" t="str">
        <f>Produits!$B$19</f>
        <v>Produits alimentaires</v>
      </c>
      <c r="B5" t="str">
        <f>Secteurs!$B$21</f>
        <v>Autres IAA</v>
      </c>
      <c r="C5" s="911">
        <f>'Prétraitement consommation'!F3</f>
        <v>1.524</v>
      </c>
      <c r="E5" t="str">
        <f>Etiquettes!$C$3</f>
        <v>kt</v>
      </c>
      <c r="F5" s="21" t="str">
        <f>Etiquettes!$L$6</f>
        <v>Pois</v>
      </c>
      <c r="G5" s="913" t="str">
        <f>Etiquettes!$J$5</f>
        <v>2023-24</v>
      </c>
      <c r="H5">
        <v>0</v>
      </c>
      <c r="I5" s="101" t="s">
        <v>1222</v>
      </c>
      <c r="J5" s="21" t="s">
        <v>1301</v>
      </c>
      <c r="K5" s="21" t="s">
        <v>1215</v>
      </c>
      <c r="L5" s="101" t="s">
        <v>1502</v>
      </c>
      <c r="M5" s="21" t="str">
        <f>Etiquettes!$H$11</f>
        <v>Volume</v>
      </c>
      <c r="N5" s="21" t="str">
        <f t="shared" si="0"/>
        <v>Consommation de produits alimentaires par les autres IAA (en volume de matière première) = 2 kt (OléoProtéines - Terres Univia)</v>
      </c>
      <c r="O5" t="str">
        <f>Etiquettes!$L$15</f>
        <v>Indicative</v>
      </c>
    </row>
    <row r="6" spans="1:19">
      <c r="A6" t="str">
        <f>Produits!$B$19</f>
        <v>Produits alimentaires</v>
      </c>
      <c r="B6" t="str">
        <f>Secteurs!$B$19</f>
        <v>GMS</v>
      </c>
      <c r="C6" s="911">
        <f>'Prétraitement consommation'!C6</f>
        <v>51.54</v>
      </c>
      <c r="E6" t="str">
        <f>Etiquettes!$C$3</f>
        <v>kt</v>
      </c>
      <c r="F6" s="21" t="str">
        <f>Etiquettes!$O$6</f>
        <v>Lentille</v>
      </c>
      <c r="G6" s="913" t="str">
        <f>Etiquettes!$J$5</f>
        <v>2023-24</v>
      </c>
      <c r="H6">
        <v>0</v>
      </c>
      <c r="I6" s="101" t="s">
        <v>1220</v>
      </c>
      <c r="J6" s="21" t="s">
        <v>1301</v>
      </c>
      <c r="K6" s="21" t="s">
        <v>1215</v>
      </c>
      <c r="L6" s="101" t="s">
        <v>1502</v>
      </c>
      <c r="M6" s="21" t="str">
        <f>Etiquettes!$H$11</f>
        <v>Volume</v>
      </c>
      <c r="N6" s="21" t="str">
        <f t="shared" si="0"/>
        <v>Consommation de produits alimentaires par les GMS (en volume de matière première) = 52 kt (OléoProtéines - Terres Univia)</v>
      </c>
      <c r="O6" t="str">
        <f>Etiquettes!$L$15</f>
        <v>Indicative</v>
      </c>
    </row>
    <row r="7" spans="1:19">
      <c r="A7" t="str">
        <f>Produits!$B$19</f>
        <v>Produits alimentaires</v>
      </c>
      <c r="B7" t="str">
        <f>Secteurs!$B$17</f>
        <v>Circuits spécialisés</v>
      </c>
      <c r="C7" s="911">
        <f>'Prétraitement consommation'!D6</f>
        <v>2.577</v>
      </c>
      <c r="E7" t="str">
        <f>Etiquettes!$C$3</f>
        <v>kt</v>
      </c>
      <c r="F7" s="21" t="str">
        <f>Etiquettes!$O$6</f>
        <v>Lentille</v>
      </c>
      <c r="G7" s="913" t="str">
        <f>Etiquettes!$J$5</f>
        <v>2023-24</v>
      </c>
      <c r="H7">
        <v>0</v>
      </c>
      <c r="I7" s="101" t="s">
        <v>1219</v>
      </c>
      <c r="J7" s="21" t="s">
        <v>1301</v>
      </c>
      <c r="K7" s="21" t="s">
        <v>1215</v>
      </c>
      <c r="L7" s="101" t="s">
        <v>1502</v>
      </c>
      <c r="M7" s="21" t="str">
        <f>Etiquettes!$H$11</f>
        <v>Volume</v>
      </c>
      <c r="N7" s="21" t="str">
        <f t="shared" si="0"/>
        <v>Consommation de produits alimentaires par les circuits spécialisés (en volume de matière première) = 3 kt (OléoProtéines - Terres Univia)</v>
      </c>
      <c r="O7" t="str">
        <f>Etiquettes!$L$15</f>
        <v>Indicative</v>
      </c>
    </row>
    <row r="8" spans="1:19">
      <c r="A8" t="str">
        <f>Produits!$B$19</f>
        <v>Produits alimentaires</v>
      </c>
      <c r="B8" t="str">
        <f>Secteurs!$B$20</f>
        <v>RHD</v>
      </c>
      <c r="C8" s="911">
        <f>'Prétraitement consommation'!E6</f>
        <v>7.04</v>
      </c>
      <c r="E8" t="str">
        <f>Etiquettes!$C$3</f>
        <v>kt</v>
      </c>
      <c r="F8" s="21" t="str">
        <f>Etiquettes!$O$6</f>
        <v>Lentille</v>
      </c>
      <c r="G8" s="913" t="str">
        <f>Etiquettes!$J$5</f>
        <v>2023-24</v>
      </c>
      <c r="H8">
        <v>0</v>
      </c>
      <c r="I8" s="101" t="s">
        <v>1221</v>
      </c>
      <c r="J8" s="21" t="s">
        <v>1301</v>
      </c>
      <c r="K8" s="21" t="s">
        <v>1215</v>
      </c>
      <c r="L8" s="101" t="s">
        <v>1502</v>
      </c>
      <c r="M8" s="21" t="str">
        <f>Etiquettes!$H$11</f>
        <v>Volume</v>
      </c>
      <c r="N8" s="21" t="str">
        <f t="shared" si="0"/>
        <v>Consommation de produits alimentaires par la RHD (en volume de matière première) = 7 kt (OléoProtéines - Terres Univia)</v>
      </c>
      <c r="O8" t="str">
        <f>Etiquettes!$L$15</f>
        <v>Indicative</v>
      </c>
    </row>
    <row r="9" spans="1:19">
      <c r="A9" t="str">
        <f>Produits!$B$19</f>
        <v>Produits alimentaires</v>
      </c>
      <c r="B9" t="str">
        <f>Secteurs!$B$21</f>
        <v>Autres IAA</v>
      </c>
      <c r="C9" s="911">
        <f>'Prétraitement consommation'!F6</f>
        <v>3.4160000000000004</v>
      </c>
      <c r="E9" t="str">
        <f>Etiquettes!$C$3</f>
        <v>kt</v>
      </c>
      <c r="F9" s="21" t="str">
        <f>Etiquettes!$O$6</f>
        <v>Lentille</v>
      </c>
      <c r="G9" s="913" t="str">
        <f>Etiquettes!$J$5</f>
        <v>2023-24</v>
      </c>
      <c r="H9">
        <v>0</v>
      </c>
      <c r="I9" s="101" t="s">
        <v>1222</v>
      </c>
      <c r="J9" s="21" t="s">
        <v>1301</v>
      </c>
      <c r="K9" s="21" t="s">
        <v>1215</v>
      </c>
      <c r="L9" s="101" t="s">
        <v>1502</v>
      </c>
      <c r="M9" s="21" t="str">
        <f>Etiquettes!$H$11</f>
        <v>Volume</v>
      </c>
      <c r="N9" s="21" t="str">
        <f t="shared" si="0"/>
        <v>Consommation de produits alimentaires par les autres IAA (en volume de matière première) = 3 kt (OléoProtéines - Terres Univia)</v>
      </c>
      <c r="O9" t="str">
        <f>Etiquettes!$L$15</f>
        <v>Indicative</v>
      </c>
    </row>
    <row r="10" spans="1:19">
      <c r="A10" t="str">
        <f>Produits!$B$19</f>
        <v>Produits alimentaires</v>
      </c>
      <c r="B10" t="str">
        <f>Secteurs!$B$19</f>
        <v>GMS</v>
      </c>
      <c r="C10" s="911">
        <f>'Prétraitement consommation'!C7</f>
        <v>28</v>
      </c>
      <c r="E10" t="str">
        <f>Etiquettes!$C$3</f>
        <v>kt</v>
      </c>
      <c r="F10" s="21" t="str">
        <f>Etiquettes!$P$6</f>
        <v>Pois chiche</v>
      </c>
      <c r="G10" s="913" t="str">
        <f>Etiquettes!$J$5</f>
        <v>2023-24</v>
      </c>
      <c r="H10">
        <v>0</v>
      </c>
      <c r="I10" s="101" t="s">
        <v>1220</v>
      </c>
      <c r="J10" s="21" t="s">
        <v>1301</v>
      </c>
      <c r="K10" s="21" t="s">
        <v>1215</v>
      </c>
      <c r="L10" s="101" t="s">
        <v>1502</v>
      </c>
      <c r="M10" s="21" t="str">
        <f>Etiquettes!$H$11</f>
        <v>Volume</v>
      </c>
      <c r="N10" s="21" t="str">
        <f t="shared" si="0"/>
        <v>Consommation de produits alimentaires par les GMS (en volume de matière première) = 28 kt (OléoProtéines - Terres Univia)</v>
      </c>
      <c r="O10" t="str">
        <f>Etiquettes!$L$15</f>
        <v>Indicative</v>
      </c>
    </row>
    <row r="11" spans="1:19">
      <c r="A11" t="str">
        <f>Produits!$B$19</f>
        <v>Produits alimentaires</v>
      </c>
      <c r="B11" t="str">
        <f>Secteurs!$B$17</f>
        <v>Circuits spécialisés</v>
      </c>
      <c r="C11" s="911">
        <f>'Prétraitement consommation'!D7</f>
        <v>1.4000000000000001</v>
      </c>
      <c r="E11" t="str">
        <f>Etiquettes!$C$3</f>
        <v>kt</v>
      </c>
      <c r="F11" s="21" t="str">
        <f>Etiquettes!$P$6</f>
        <v>Pois chiche</v>
      </c>
      <c r="G11" s="913" t="str">
        <f>Etiquettes!$J$5</f>
        <v>2023-24</v>
      </c>
      <c r="H11">
        <v>0</v>
      </c>
      <c r="I11" s="101" t="s">
        <v>1219</v>
      </c>
      <c r="J11" s="21" t="s">
        <v>1301</v>
      </c>
      <c r="K11" s="21" t="s">
        <v>1215</v>
      </c>
      <c r="L11" s="101" t="s">
        <v>1502</v>
      </c>
      <c r="M11" s="21" t="str">
        <f>Etiquettes!$H$11</f>
        <v>Volume</v>
      </c>
      <c r="N11" s="21" t="str">
        <f t="shared" si="0"/>
        <v>Consommation de produits alimentaires par les circuits spécialisés (en volume de matière première) = 1 kt (OléoProtéines - Terres Univia)</v>
      </c>
      <c r="O11" t="str">
        <f>Etiquettes!$L$15</f>
        <v>Indicative</v>
      </c>
    </row>
    <row r="12" spans="1:19">
      <c r="A12" t="str">
        <f>Produits!$B$19</f>
        <v>Produits alimentaires</v>
      </c>
      <c r="B12" t="str">
        <f>Secteurs!$B$20</f>
        <v>RHD</v>
      </c>
      <c r="C12" s="911">
        <f>'Prétraitement consommation'!E7</f>
        <v>4.6500000000000004</v>
      </c>
      <c r="E12" t="str">
        <f>Etiquettes!$C$3</f>
        <v>kt</v>
      </c>
      <c r="F12" s="21" t="str">
        <f>Etiquettes!$P$6</f>
        <v>Pois chiche</v>
      </c>
      <c r="G12" s="913" t="str">
        <f>Etiquettes!$J$5</f>
        <v>2023-24</v>
      </c>
      <c r="H12">
        <v>0</v>
      </c>
      <c r="I12" s="101" t="s">
        <v>1221</v>
      </c>
      <c r="J12" s="21" t="s">
        <v>1301</v>
      </c>
      <c r="K12" s="21" t="s">
        <v>1215</v>
      </c>
      <c r="L12" s="101" t="s">
        <v>1502</v>
      </c>
      <c r="M12" s="21" t="str">
        <f>Etiquettes!$H$11</f>
        <v>Volume</v>
      </c>
      <c r="N12" s="21" t="str">
        <f t="shared" si="0"/>
        <v>Consommation de produits alimentaires par la RHD (en volume de matière première) = 5 kt (OléoProtéines - Terres Univia)</v>
      </c>
      <c r="O12" t="str">
        <f>Etiquettes!$L$15</f>
        <v>Indicative</v>
      </c>
    </row>
    <row r="13" spans="1:19">
      <c r="A13" t="str">
        <f>Produits!$B$19</f>
        <v>Produits alimentaires</v>
      </c>
      <c r="B13" t="str">
        <f>Secteurs!$B$21</f>
        <v>Autres IAA</v>
      </c>
      <c r="C13" s="911">
        <f>'Prétraitement consommation'!F7</f>
        <v>3.0640000000000001</v>
      </c>
      <c r="E13" t="str">
        <f>Etiquettes!$C$3</f>
        <v>kt</v>
      </c>
      <c r="F13" s="21" t="str">
        <f>Etiquettes!$P$6</f>
        <v>Pois chiche</v>
      </c>
      <c r="G13" s="913" t="str">
        <f>Etiquettes!$J$5</f>
        <v>2023-24</v>
      </c>
      <c r="H13">
        <v>0</v>
      </c>
      <c r="I13" s="101" t="s">
        <v>1222</v>
      </c>
      <c r="J13" s="21" t="s">
        <v>1301</v>
      </c>
      <c r="K13" s="21" t="s">
        <v>1215</v>
      </c>
      <c r="L13" s="101" t="s">
        <v>1502</v>
      </c>
      <c r="M13" s="21" t="str">
        <f>Etiquettes!$H$11</f>
        <v>Volume</v>
      </c>
      <c r="N13" s="21" t="str">
        <f t="shared" si="0"/>
        <v>Consommation de produits alimentaires par les autres IAA (en volume de matière première) = 3 kt (OléoProtéines - Terres Univia)</v>
      </c>
      <c r="O13" t="str">
        <f>Etiquettes!$L$15</f>
        <v>Indicative</v>
      </c>
    </row>
    <row r="14" spans="1:19">
      <c r="A14" t="str">
        <f>Produits!$B$19</f>
        <v>Produits alimentaires</v>
      </c>
      <c r="B14" t="str">
        <f>Secteurs!$B$19</f>
        <v>GMS</v>
      </c>
      <c r="C14" s="911">
        <f>'Prétraitement consommation'!C8</f>
        <v>55</v>
      </c>
      <c r="E14" t="str">
        <f>Etiquettes!$C$3</f>
        <v>kt</v>
      </c>
      <c r="F14" s="21" t="str">
        <f>Etiquettes!$Q$6</f>
        <v>Haricot sec</v>
      </c>
      <c r="G14" s="913" t="str">
        <f>Etiquettes!$J$5</f>
        <v>2023-24</v>
      </c>
      <c r="H14">
        <v>0</v>
      </c>
      <c r="I14" s="101" t="s">
        <v>1220</v>
      </c>
      <c r="J14" s="21" t="s">
        <v>1301</v>
      </c>
      <c r="K14" s="21" t="s">
        <v>1215</v>
      </c>
      <c r="L14" s="101" t="s">
        <v>1502</v>
      </c>
      <c r="M14" s="21" t="str">
        <f>Etiquettes!$H$11</f>
        <v>Volume</v>
      </c>
      <c r="N14" s="21" t="str">
        <f t="shared" si="0"/>
        <v>Consommation de produits alimentaires par les GMS (en volume de matière première) = 55 kt (OléoProtéines - Terres Univia)</v>
      </c>
      <c r="O14" t="str">
        <f>Etiquettes!$L$15</f>
        <v>Indicative</v>
      </c>
    </row>
    <row r="15" spans="1:19">
      <c r="A15" t="str">
        <f>Produits!$B$19</f>
        <v>Produits alimentaires</v>
      </c>
      <c r="B15" t="str">
        <f>Secteurs!$B$17</f>
        <v>Circuits spécialisés</v>
      </c>
      <c r="C15" s="911">
        <f>'Prétraitement consommation'!D8</f>
        <v>2.75</v>
      </c>
      <c r="E15" t="str">
        <f>Etiquettes!$C$3</f>
        <v>kt</v>
      </c>
      <c r="F15" s="21" t="str">
        <f>Etiquettes!$Q$6</f>
        <v>Haricot sec</v>
      </c>
      <c r="G15" s="913" t="str">
        <f>Etiquettes!$J$5</f>
        <v>2023-24</v>
      </c>
      <c r="H15">
        <v>0</v>
      </c>
      <c r="I15" s="101" t="s">
        <v>1219</v>
      </c>
      <c r="J15" s="21" t="s">
        <v>1301</v>
      </c>
      <c r="K15" s="21" t="s">
        <v>1215</v>
      </c>
      <c r="L15" s="101" t="s">
        <v>1502</v>
      </c>
      <c r="M15" s="21" t="str">
        <f>Etiquettes!$H$11</f>
        <v>Volume</v>
      </c>
      <c r="N15" s="21" t="str">
        <f t="shared" si="0"/>
        <v>Consommation de produits alimentaires par les circuits spécialisés (en volume de matière première) = 3 kt (OléoProtéines - Terres Univia)</v>
      </c>
      <c r="O15" t="str">
        <f>Etiquettes!$L$15</f>
        <v>Indicative</v>
      </c>
    </row>
    <row r="16" spans="1:19">
      <c r="A16" t="str">
        <f>Produits!$B$19</f>
        <v>Produits alimentaires</v>
      </c>
      <c r="B16" t="str">
        <f>Secteurs!$B$20</f>
        <v>RHD</v>
      </c>
      <c r="C16" s="911">
        <f>'Prétraitement consommation'!E8</f>
        <v>10.6</v>
      </c>
      <c r="E16" t="str">
        <f>Etiquettes!$C$3</f>
        <v>kt</v>
      </c>
      <c r="F16" s="21" t="str">
        <f>Etiquettes!$Q$6</f>
        <v>Haricot sec</v>
      </c>
      <c r="G16" s="913" t="str">
        <f>Etiquettes!$J$5</f>
        <v>2023-24</v>
      </c>
      <c r="H16">
        <v>0</v>
      </c>
      <c r="I16" s="101" t="s">
        <v>1221</v>
      </c>
      <c r="J16" s="21" t="s">
        <v>1301</v>
      </c>
      <c r="K16" s="21" t="s">
        <v>1215</v>
      </c>
      <c r="L16" s="101" t="s">
        <v>1502</v>
      </c>
      <c r="M16" s="21" t="str">
        <f>Etiquettes!$H$11</f>
        <v>Volume</v>
      </c>
      <c r="N16" s="21" t="str">
        <f t="shared" si="0"/>
        <v>Consommation de produits alimentaires par la RHD (en volume de matière première) = 11 kt (OléoProtéines - Terres Univia)</v>
      </c>
      <c r="O16" t="str">
        <f>Etiquettes!$L$15</f>
        <v>Indicative</v>
      </c>
    </row>
    <row r="17" spans="1:17">
      <c r="A17" t="str">
        <f>Produits!$B$19</f>
        <v>Produits alimentaires</v>
      </c>
      <c r="B17" t="str">
        <f>Secteurs!$B$21</f>
        <v>Autres IAA</v>
      </c>
      <c r="C17" s="911">
        <f>'Prétraitement consommation'!F8</f>
        <v>6.8840000000000003</v>
      </c>
      <c r="E17" t="str">
        <f>Etiquettes!$C$3</f>
        <v>kt</v>
      </c>
      <c r="F17" s="21" t="str">
        <f>Etiquettes!$Q$6</f>
        <v>Haricot sec</v>
      </c>
      <c r="G17" s="913" t="str">
        <f>Etiquettes!$J$5</f>
        <v>2023-24</v>
      </c>
      <c r="H17">
        <v>0</v>
      </c>
      <c r="I17" s="101" t="s">
        <v>1222</v>
      </c>
      <c r="J17" s="21" t="s">
        <v>1301</v>
      </c>
      <c r="K17" s="21" t="s">
        <v>1215</v>
      </c>
      <c r="L17" s="101" t="s">
        <v>1502</v>
      </c>
      <c r="M17" s="21" t="str">
        <f>Etiquettes!$H$11</f>
        <v>Volume</v>
      </c>
      <c r="N17" s="21" t="str">
        <f t="shared" si="0"/>
        <v>Consommation de produits alimentaires par les autres IAA (en volume de matière première) = 7 kt (OléoProtéines - Terres Univia)</v>
      </c>
      <c r="O17" t="str">
        <f>Etiquettes!$L$15</f>
        <v>Indicative</v>
      </c>
    </row>
    <row r="18" spans="1:17">
      <c r="A18" t="str">
        <f>Produits!$B$19</f>
        <v>Produits alimentaires</v>
      </c>
      <c r="B18" t="str">
        <f>Secteurs!$B$19</f>
        <v>GMS</v>
      </c>
      <c r="C18" s="911">
        <f>'Prétraitement consommation'!C3</f>
        <v>2.1</v>
      </c>
      <c r="D18" s="911"/>
      <c r="E18" t="str">
        <f>Etiquettes!$C$3</f>
        <v>kt</v>
      </c>
      <c r="F18" s="21" t="str">
        <f>Etiquettes!$L$6</f>
        <v>Pois</v>
      </c>
      <c r="G18" s="913" t="s">
        <v>1054</v>
      </c>
      <c r="H18">
        <v>0</v>
      </c>
      <c r="I18" s="101" t="s">
        <v>1220</v>
      </c>
      <c r="J18" s="21" t="s">
        <v>1281</v>
      </c>
      <c r="K18" s="21" t="s">
        <v>1215</v>
      </c>
      <c r="L18" s="101" t="s">
        <v>1502</v>
      </c>
      <c r="M18" s="21" t="str">
        <f>Etiquettes!$H$11</f>
        <v>Volume</v>
      </c>
      <c r="N18" s="21" t="str">
        <f t="shared" si="0"/>
        <v>Consommation de produits alimentaires par les GMS (en volume de matière première) = 2 kt (OléoProtéines - Terres Univia)</v>
      </c>
      <c r="O18" t="str">
        <f>Etiquettes!$L$15</f>
        <v>Indicative</v>
      </c>
    </row>
    <row r="19" spans="1:17">
      <c r="A19" t="str">
        <f>Produits!$B$19</f>
        <v>Produits alimentaires</v>
      </c>
      <c r="B19" t="str">
        <f>Secteurs!$B$17</f>
        <v>Circuits spécialisés</v>
      </c>
      <c r="C19" s="911">
        <f>'Prétraitement consommation'!D3</f>
        <v>0.10500000000000001</v>
      </c>
      <c r="D19" s="911"/>
      <c r="E19" t="str">
        <f>Etiquettes!$C$3</f>
        <v>kt</v>
      </c>
      <c r="F19" s="21" t="str">
        <f>Etiquettes!$L$6</f>
        <v>Pois</v>
      </c>
      <c r="G19" s="913" t="s">
        <v>1054</v>
      </c>
      <c r="H19">
        <v>0</v>
      </c>
      <c r="I19" s="101" t="s">
        <v>1219</v>
      </c>
      <c r="J19" s="21" t="s">
        <v>1294</v>
      </c>
      <c r="K19" s="21" t="s">
        <v>1215</v>
      </c>
      <c r="L19" s="101" t="s">
        <v>1502</v>
      </c>
      <c r="M19" s="21" t="str">
        <f>Etiquettes!$H$11</f>
        <v>Volume</v>
      </c>
      <c r="N19" s="21" t="str">
        <f t="shared" si="0"/>
        <v>Consommation de produits alimentaires par les circuits spécialisés (en volume de matière première) = 0 kt (OléoProtéines - Terres Univia)</v>
      </c>
      <c r="O19" t="str">
        <f>Etiquettes!$L$15</f>
        <v>Indicative</v>
      </c>
    </row>
    <row r="20" spans="1:17">
      <c r="A20" t="str">
        <f>Produits!$B$19</f>
        <v>Produits alimentaires</v>
      </c>
      <c r="B20" t="str">
        <f>Secteurs!$B$20</f>
        <v>RHD</v>
      </c>
      <c r="C20" s="911">
        <f>'Prétraitement consommation'!E3</f>
        <v>0.65</v>
      </c>
      <c r="D20" s="911"/>
      <c r="E20" t="str">
        <f>Etiquettes!$C$3</f>
        <v>kt</v>
      </c>
      <c r="F20" s="21" t="str">
        <f>Etiquettes!$L$6</f>
        <v>Pois</v>
      </c>
      <c r="G20" s="913" t="s">
        <v>1054</v>
      </c>
      <c r="H20">
        <v>0</v>
      </c>
      <c r="I20" s="101" t="s">
        <v>1221</v>
      </c>
      <c r="J20" s="21" t="s">
        <v>1295</v>
      </c>
      <c r="K20" s="21" t="s">
        <v>1215</v>
      </c>
      <c r="L20" s="101" t="s">
        <v>1502</v>
      </c>
      <c r="M20" s="21" t="str">
        <f>Etiquettes!$H$11</f>
        <v>Volume</v>
      </c>
      <c r="N20" s="21" t="str">
        <f t="shared" si="0"/>
        <v>Consommation de produits alimentaires par la RHD (en volume de matière première) = 1 kt (OléoProtéines - Terres Univia)</v>
      </c>
      <c r="O20" t="str">
        <f>Etiquettes!$L$15</f>
        <v>Indicative</v>
      </c>
    </row>
    <row r="21" spans="1:17">
      <c r="A21" t="str">
        <f>Produits!$B$19</f>
        <v>Produits alimentaires</v>
      </c>
      <c r="B21" t="str">
        <f>Secteurs!$B$21</f>
        <v>Autres IAA</v>
      </c>
      <c r="C21" s="911">
        <f>'Prétraitement consommation'!F3</f>
        <v>1.524</v>
      </c>
      <c r="D21" s="911"/>
      <c r="E21" t="str">
        <f>Etiquettes!$C$3</f>
        <v>kt</v>
      </c>
      <c r="F21" s="21" t="str">
        <f>Etiquettes!$L$6</f>
        <v>Pois</v>
      </c>
      <c r="G21" s="913" t="s">
        <v>1054</v>
      </c>
      <c r="H21">
        <v>0</v>
      </c>
      <c r="I21" s="101" t="s">
        <v>1222</v>
      </c>
      <c r="J21" s="21" t="s">
        <v>1296</v>
      </c>
      <c r="K21" s="21" t="s">
        <v>1215</v>
      </c>
      <c r="L21" s="101" t="s">
        <v>1502</v>
      </c>
      <c r="M21" s="21" t="str">
        <f>Etiquettes!$H$11</f>
        <v>Volume</v>
      </c>
      <c r="N21" s="21" t="str">
        <f t="shared" si="0"/>
        <v>Consommation de produits alimentaires par les autres IAA (en volume de matière première) = 2 kt (OléoProtéines - Terres Univia)</v>
      </c>
      <c r="O21" t="str">
        <f>Etiquettes!$L$15</f>
        <v>Indicative</v>
      </c>
    </row>
    <row r="22" spans="1:17">
      <c r="A22" t="str">
        <f>Produits!$B$20</f>
        <v>Légumes secs bruts</v>
      </c>
      <c r="B22" t="str">
        <f>Secteurs!$B$20</f>
        <v>RHD</v>
      </c>
      <c r="C22">
        <f>'Consommation - OléoProtéines'!W31/10^3</f>
        <v>3</v>
      </c>
      <c r="E22" t="str">
        <f>Etiquettes!$C$3</f>
        <v>kt</v>
      </c>
      <c r="F22" s="21" t="str">
        <f>Etiquettes!$O$6</f>
        <v>Lentille</v>
      </c>
      <c r="G22" s="913" t="str">
        <f>Etiquettes!$J$5</f>
        <v>2023-24</v>
      </c>
      <c r="H22" t="str">
        <f>Etiquettes!$C$4</f>
        <v>France entière</v>
      </c>
      <c r="I22" s="101" t="s">
        <v>1431</v>
      </c>
      <c r="J22" s="21" t="s">
        <v>1295</v>
      </c>
      <c r="K22" s="21" t="s">
        <v>1215</v>
      </c>
      <c r="L22" s="101" t="s">
        <v>1502</v>
      </c>
      <c r="M22" s="21" t="str">
        <f>Etiquettes!$H$11</f>
        <v>Volume</v>
      </c>
      <c r="N22" s="21" t="str">
        <f t="shared" si="0"/>
        <v>Consommation de LS bruts par la RHD = 3 kt (OléoProtéines - Terres Univia)</v>
      </c>
      <c r="O22" t="str">
        <f>Etiquettes!$K$15</f>
        <v>Approximative</v>
      </c>
      <c r="P22" s="976" t="s">
        <v>1468</v>
      </c>
      <c r="Q22" s="976" t="str">
        <f>Etiquettes!$H$17</f>
        <v>Donnée collectée (valeur du flux ou coefficient)</v>
      </c>
    </row>
    <row r="23" spans="1:17">
      <c r="A23" t="str">
        <f>Produits!$B$21</f>
        <v>Légumes secs appertisés et surgelés</v>
      </c>
      <c r="B23" t="str">
        <f>Secteurs!$B$20</f>
        <v>RHD</v>
      </c>
      <c r="C23">
        <f>'Consommation - OléoProtéines'!X31/'Consommation - OléoProtéines'!V30/10^3</f>
        <v>4</v>
      </c>
      <c r="E23" t="str">
        <f>Etiquettes!$C$3</f>
        <v>kt</v>
      </c>
      <c r="F23" s="21" t="str">
        <f>Etiquettes!$O$6</f>
        <v>Lentille</v>
      </c>
      <c r="G23" s="913" t="str">
        <f>Etiquettes!$J$5</f>
        <v>2023-24</v>
      </c>
      <c r="H23" t="str">
        <f>Etiquettes!$C$4</f>
        <v>France entière</v>
      </c>
      <c r="I23" s="101" t="s">
        <v>1432</v>
      </c>
      <c r="J23" s="21" t="s">
        <v>1295</v>
      </c>
      <c r="K23" s="21" t="s">
        <v>1215</v>
      </c>
      <c r="L23" s="101" t="s">
        <v>1502</v>
      </c>
      <c r="M23" s="21" t="str">
        <f>Etiquettes!$H$11</f>
        <v>Volume</v>
      </c>
      <c r="N23" s="21" t="str">
        <f t="shared" si="0"/>
        <v>Consommation de LS appertisés et surgelés par la RHD = 4 kt (OléoProtéines - Terres Univia)</v>
      </c>
      <c r="O23" t="str">
        <f>Etiquettes!$K$15</f>
        <v>Approximative</v>
      </c>
      <c r="P23" s="976" t="s">
        <v>1468</v>
      </c>
      <c r="Q23" s="976" t="str">
        <f>Etiquettes!$H$17</f>
        <v>Donnée collectée (valeur du flux ou coefficient)</v>
      </c>
    </row>
    <row r="24" spans="1:17">
      <c r="A24" t="str">
        <f>Produits!$B$20</f>
        <v>Légumes secs bruts</v>
      </c>
      <c r="B24" t="str">
        <f>Secteurs!$B$16</f>
        <v>Ménages</v>
      </c>
      <c r="C24">
        <f>'Consommation - OléoProtéines'!Y31/10^3</f>
        <v>16</v>
      </c>
      <c r="E24" t="str">
        <f>Etiquettes!$C$3</f>
        <v>kt</v>
      </c>
      <c r="F24" s="21" t="str">
        <f>Etiquettes!$O$6</f>
        <v>Lentille</v>
      </c>
      <c r="G24" s="913" t="str">
        <f>Etiquettes!$J$5</f>
        <v>2023-24</v>
      </c>
      <c r="H24" t="str">
        <f>Etiquettes!$C$4</f>
        <v>France entière</v>
      </c>
      <c r="I24" s="101" t="s">
        <v>1433</v>
      </c>
      <c r="J24" s="21" t="s">
        <v>1435</v>
      </c>
      <c r="K24" s="21" t="s">
        <v>1215</v>
      </c>
      <c r="L24" s="101" t="s">
        <v>1502</v>
      </c>
      <c r="M24" s="21" t="str">
        <f>Etiquettes!$H$11</f>
        <v>Volume</v>
      </c>
      <c r="N24" s="21" t="str">
        <f t="shared" si="0"/>
        <v>Consommation de LS bruts par les ménages = 16 kt (OléoProtéines - Terres Univia)</v>
      </c>
      <c r="O24" t="str">
        <f>Etiquettes!$K$15</f>
        <v>Approximative</v>
      </c>
      <c r="P24" s="976" t="s">
        <v>1468</v>
      </c>
      <c r="Q24" s="976" t="str">
        <f>Etiquettes!$H$17</f>
        <v>Donnée collectée (valeur du flux ou coefficient)</v>
      </c>
    </row>
    <row r="25" spans="1:17">
      <c r="A25" t="str">
        <f>Produits!$B$21</f>
        <v>Légumes secs appertisés et surgelés</v>
      </c>
      <c r="B25" t="str">
        <f>Secteurs!$B$16</f>
        <v>Ménages</v>
      </c>
      <c r="C25">
        <f>'Consommation - OléoProtéines'!Z31/'Consommation - OléoProtéines'!V30/10^3</f>
        <v>36</v>
      </c>
      <c r="E25" t="str">
        <f>Etiquettes!$C$3</f>
        <v>kt</v>
      </c>
      <c r="F25" s="21" t="str">
        <f>Etiquettes!$O$6</f>
        <v>Lentille</v>
      </c>
      <c r="G25" s="913" t="str">
        <f>Etiquettes!$J$5</f>
        <v>2023-24</v>
      </c>
      <c r="H25" t="str">
        <f>Etiquettes!$C$4</f>
        <v>France entière</v>
      </c>
      <c r="I25" s="101" t="s">
        <v>1434</v>
      </c>
      <c r="J25" s="21" t="s">
        <v>1435</v>
      </c>
      <c r="K25" s="21" t="s">
        <v>1215</v>
      </c>
      <c r="L25" s="101" t="s">
        <v>1502</v>
      </c>
      <c r="M25" s="21" t="str">
        <f>Etiquettes!$H$11</f>
        <v>Volume</v>
      </c>
      <c r="N25" s="21" t="str">
        <f t="shared" si="0"/>
        <v>Consommation de LS appertisés et surgelés par les ménages = 36 kt (OléoProtéines - Terres Univia)</v>
      </c>
      <c r="O25" t="str">
        <f>Etiquettes!$K$15</f>
        <v>Approximative</v>
      </c>
      <c r="P25" s="976" t="s">
        <v>1468</v>
      </c>
      <c r="Q25" s="976" t="str">
        <f>Etiquettes!$H$17</f>
        <v>Donnée collectée (valeur du flux ou coefficient)</v>
      </c>
    </row>
    <row r="26" spans="1:17">
      <c r="A26" t="str">
        <f>Produits!$B$20</f>
        <v>Légumes secs bruts</v>
      </c>
      <c r="B26" t="str">
        <f>Secteurs!$B$20</f>
        <v>RHD</v>
      </c>
      <c r="C26">
        <f>'Consommation - OléoProtéines'!W32/10^3</f>
        <v>0.2</v>
      </c>
      <c r="E26" t="str">
        <f>Etiquettes!$C$3</f>
        <v>kt</v>
      </c>
      <c r="F26" s="21" t="str">
        <f>Etiquettes!$P$6</f>
        <v>Pois chiche</v>
      </c>
      <c r="G26" s="913" t="str">
        <f>Etiquettes!$J$5</f>
        <v>2023-24</v>
      </c>
      <c r="H26" t="str">
        <f>Etiquettes!$C$4</f>
        <v>France entière</v>
      </c>
      <c r="I26" s="101" t="s">
        <v>1431</v>
      </c>
      <c r="J26" s="21" t="s">
        <v>1295</v>
      </c>
      <c r="K26" s="21" t="s">
        <v>1215</v>
      </c>
      <c r="L26" s="101" t="s">
        <v>1502</v>
      </c>
      <c r="M26" s="21" t="str">
        <f>Etiquettes!$H$11</f>
        <v>Volume</v>
      </c>
      <c r="N26" s="21" t="str">
        <f t="shared" si="0"/>
        <v>Consommation de LS bruts par la RHD = 0 kt (OléoProtéines - Terres Univia)</v>
      </c>
      <c r="O26" t="str">
        <f>Etiquettes!$K$15</f>
        <v>Approximative</v>
      </c>
      <c r="P26" s="976" t="s">
        <v>1468</v>
      </c>
      <c r="Q26" s="976" t="str">
        <f>Etiquettes!$H$17</f>
        <v>Donnée collectée (valeur du flux ou coefficient)</v>
      </c>
    </row>
    <row r="27" spans="1:17">
      <c r="A27" t="str">
        <f>Produits!$B$21</f>
        <v>Légumes secs appertisés et surgelés</v>
      </c>
      <c r="B27" t="str">
        <f>Secteurs!$B$20</f>
        <v>RHD</v>
      </c>
      <c r="C27">
        <f>'Consommation - OléoProtéines'!X32/'Consommation - OléoProtéines'!V30/10^3</f>
        <v>4</v>
      </c>
      <c r="E27" t="str">
        <f>Etiquettes!$C$3</f>
        <v>kt</v>
      </c>
      <c r="F27" s="21" t="str">
        <f>Etiquettes!$P$6</f>
        <v>Pois chiche</v>
      </c>
      <c r="G27" s="913" t="str">
        <f>Etiquettes!$J$5</f>
        <v>2023-24</v>
      </c>
      <c r="H27" t="str">
        <f>Etiquettes!$C$4</f>
        <v>France entière</v>
      </c>
      <c r="I27" s="101" t="s">
        <v>1432</v>
      </c>
      <c r="J27" s="21" t="s">
        <v>1295</v>
      </c>
      <c r="K27" s="21" t="s">
        <v>1215</v>
      </c>
      <c r="L27" s="101" t="s">
        <v>1502</v>
      </c>
      <c r="M27" s="21" t="str">
        <f>Etiquettes!$H$11</f>
        <v>Volume</v>
      </c>
      <c r="N27" s="21" t="str">
        <f t="shared" si="0"/>
        <v>Consommation de LS appertisés et surgelés par la RHD = 4 kt (OléoProtéines - Terres Univia)</v>
      </c>
      <c r="O27" t="str">
        <f>Etiquettes!$K$15</f>
        <v>Approximative</v>
      </c>
      <c r="P27" s="976" t="s">
        <v>1468</v>
      </c>
      <c r="Q27" s="976" t="str">
        <f>Etiquettes!$H$17</f>
        <v>Donnée collectée (valeur du flux ou coefficient)</v>
      </c>
    </row>
    <row r="28" spans="1:17">
      <c r="A28" t="str">
        <f>Produits!$B$20</f>
        <v>Légumes secs bruts</v>
      </c>
      <c r="B28" t="str">
        <f>Secteurs!$B$16</f>
        <v>Ménages</v>
      </c>
      <c r="C28">
        <f>'Consommation - OléoProtéines'!Y32/10^3</f>
        <v>1</v>
      </c>
      <c r="E28" t="str">
        <f>Etiquettes!$C$3</f>
        <v>kt</v>
      </c>
      <c r="F28" s="21" t="str">
        <f>Etiquettes!$P$6</f>
        <v>Pois chiche</v>
      </c>
      <c r="G28" s="913" t="str">
        <f>Etiquettes!$J$5</f>
        <v>2023-24</v>
      </c>
      <c r="H28" t="str">
        <f>Etiquettes!$C$4</f>
        <v>France entière</v>
      </c>
      <c r="I28" s="101" t="s">
        <v>1433</v>
      </c>
      <c r="J28" s="21" t="s">
        <v>1435</v>
      </c>
      <c r="K28" s="21" t="s">
        <v>1215</v>
      </c>
      <c r="L28" s="101" t="s">
        <v>1502</v>
      </c>
      <c r="M28" s="21" t="str">
        <f>Etiquettes!$H$11</f>
        <v>Volume</v>
      </c>
      <c r="N28" s="21" t="str">
        <f t="shared" si="0"/>
        <v>Consommation de LS bruts par les ménages = 1 kt (OléoProtéines - Terres Univia)</v>
      </c>
      <c r="O28" t="str">
        <f>Etiquettes!$K$15</f>
        <v>Approximative</v>
      </c>
      <c r="P28" s="976" t="s">
        <v>1468</v>
      </c>
      <c r="Q28" s="976" t="str">
        <f>Etiquettes!$H$17</f>
        <v>Donnée collectée (valeur du flux ou coefficient)</v>
      </c>
    </row>
    <row r="29" spans="1:17">
      <c r="A29" t="str">
        <f>Produits!$B$21</f>
        <v>Légumes secs appertisés et surgelés</v>
      </c>
      <c r="B29" t="str">
        <f>Secteurs!$B$16</f>
        <v>Ménages</v>
      </c>
      <c r="C29">
        <f>'Consommation - OléoProtéines'!Z32/'Consommation - OléoProtéines'!V30/10^3</f>
        <v>29</v>
      </c>
      <c r="E29" t="str">
        <f>Etiquettes!$C$3</f>
        <v>kt</v>
      </c>
      <c r="F29" s="21" t="str">
        <f>Etiquettes!$P$6</f>
        <v>Pois chiche</v>
      </c>
      <c r="G29" s="913" t="str">
        <f>Etiquettes!$J$5</f>
        <v>2023-24</v>
      </c>
      <c r="H29" t="str">
        <f>Etiquettes!$C$4</f>
        <v>France entière</v>
      </c>
      <c r="I29" s="101" t="s">
        <v>1434</v>
      </c>
      <c r="J29" s="21" t="s">
        <v>1435</v>
      </c>
      <c r="K29" s="21" t="s">
        <v>1215</v>
      </c>
      <c r="L29" s="101" t="s">
        <v>1502</v>
      </c>
      <c r="M29" s="21" t="str">
        <f>Etiquettes!$H$11</f>
        <v>Volume</v>
      </c>
      <c r="N29" s="21" t="str">
        <f t="shared" si="0"/>
        <v>Consommation de LS appertisés et surgelés par les ménages = 29 kt (OléoProtéines - Terres Univia)</v>
      </c>
      <c r="O29" t="str">
        <f>Etiquettes!$K$15</f>
        <v>Approximative</v>
      </c>
      <c r="P29" s="976" t="s">
        <v>1468</v>
      </c>
      <c r="Q29" s="976" t="str">
        <f>Etiquettes!$H$17</f>
        <v>Donnée collectée (valeur du flux ou coefficient)</v>
      </c>
    </row>
    <row r="30" spans="1:17">
      <c r="A30" t="str">
        <f>Produits!$B$20</f>
        <v>Légumes secs bruts</v>
      </c>
      <c r="B30" t="str">
        <f>Secteurs!$B$21</f>
        <v>Autres IAA</v>
      </c>
      <c r="C30">
        <v>0</v>
      </c>
      <c r="E30" t="str">
        <f>Etiquettes!$C$3</f>
        <v>kt</v>
      </c>
      <c r="F30" s="21" t="s">
        <v>1439</v>
      </c>
      <c r="G30" s="913" t="str">
        <f>Etiquettes!$J$5</f>
        <v>2023-24</v>
      </c>
      <c r="H30" t="str">
        <f>Etiquettes!$C$4</f>
        <v>France entière</v>
      </c>
      <c r="I30" s="101" t="s">
        <v>1437</v>
      </c>
      <c r="J30" s="21" t="s">
        <v>1436</v>
      </c>
      <c r="K30" s="21" t="s">
        <v>1215</v>
      </c>
      <c r="L30" s="101" t="s">
        <v>1502</v>
      </c>
      <c r="M30" s="21" t="str">
        <f>Etiquettes!$H$11</f>
        <v>Volume</v>
      </c>
      <c r="N30" s="21" t="str">
        <f t="shared" ref="N30:N31" si="1">_xlfn.CONCAT(I30,IF(ISBLANK(C30),"",_xlfn.CONCAT(" = ",MROUND(C30,1)," ",E30))," (",K30,")")</f>
        <v>Consommation de LS bruts par les autres IAA = 0 kt (OléoProtéines - Terres Univia)</v>
      </c>
      <c r="O30" t="str">
        <f>Etiquettes!$K$15</f>
        <v>Approximative</v>
      </c>
      <c r="P30" s="976" t="s">
        <v>1468</v>
      </c>
      <c r="Q30" s="976" t="str">
        <f>Etiquettes!$H$17</f>
        <v>Donnée collectée (valeur du flux ou coefficient)</v>
      </c>
    </row>
    <row r="31" spans="1:17">
      <c r="A31" t="str">
        <f>Produits!$B$21</f>
        <v>Légumes secs appertisés et surgelés</v>
      </c>
      <c r="B31" t="str">
        <f>Secteurs!$B$21</f>
        <v>Autres IAA</v>
      </c>
      <c r="C31">
        <v>0</v>
      </c>
      <c r="E31" t="str">
        <f>Etiquettes!$C$3</f>
        <v>kt</v>
      </c>
      <c r="F31" s="21" t="s">
        <v>1439</v>
      </c>
      <c r="G31" s="913" t="str">
        <f>Etiquettes!$J$5</f>
        <v>2023-24</v>
      </c>
      <c r="H31" t="str">
        <f>Etiquettes!$C$4</f>
        <v>France entière</v>
      </c>
      <c r="I31" s="101" t="s">
        <v>1438</v>
      </c>
      <c r="J31" s="21" t="s">
        <v>1436</v>
      </c>
      <c r="K31" s="21" t="s">
        <v>1215</v>
      </c>
      <c r="L31" s="101" t="s">
        <v>1502</v>
      </c>
      <c r="M31" s="21" t="str">
        <f>Etiquettes!$H$11</f>
        <v>Volume</v>
      </c>
      <c r="N31" s="21" t="str">
        <f t="shared" si="1"/>
        <v>Consommation de LS appertisés et surgelés par les autres IAA = 0 kt (OléoProtéines - Terres Univia)</v>
      </c>
      <c r="O31" t="str">
        <f>Etiquettes!$K$15</f>
        <v>Approximative</v>
      </c>
      <c r="P31" s="976" t="s">
        <v>1468</v>
      </c>
      <c r="Q31" s="976" t="str">
        <f>Etiquettes!$H$17</f>
        <v>Donnée collectée (valeur du flux ou coefficient)</v>
      </c>
    </row>
    <row r="32" spans="1:17">
      <c r="A32" t="str">
        <f>Produits!$B$29</f>
        <v>Eau</v>
      </c>
      <c r="B32" t="str">
        <f>Secteurs!$B$8</f>
        <v>Fabrication de produits alimentaires</v>
      </c>
      <c r="C32">
        <f>('Consommation - OléoProtéines'!X31+'Consommation - OléoProtéines'!Z31)/10^3</f>
        <v>20</v>
      </c>
      <c r="E32" t="str">
        <f>Etiquettes!$C$3</f>
        <v>kt</v>
      </c>
      <c r="F32" s="21" t="str">
        <f>Etiquettes!$O$6</f>
        <v>Lentille</v>
      </c>
      <c r="G32" s="913" t="str">
        <f>Etiquettes!$J$5</f>
        <v>2023-24</v>
      </c>
      <c r="H32" t="str">
        <f>Etiquettes!$C$4</f>
        <v>France entière</v>
      </c>
      <c r="I32" s="21" t="s">
        <v>1440</v>
      </c>
      <c r="K32" s="21" t="s">
        <v>1215</v>
      </c>
      <c r="L32" s="101" t="s">
        <v>1502</v>
      </c>
      <c r="M32" s="21" t="str">
        <f>Etiquettes!$H$11</f>
        <v>Volume</v>
      </c>
      <c r="N32" s="21" t="str">
        <f t="shared" ref="N32:N33" si="2">_xlfn.CONCAT(I32,IF(ISBLANK(C32),"",_xlfn.CONCAT(" = ",MROUND(C32,1)," ",E32))," (",K32,")")</f>
        <v>Consommation d'eau pour la fabrication de produits appertisés = 20 kt (OléoProtéines - Terres Univia)</v>
      </c>
      <c r="O32" t="str">
        <f>Etiquettes!$K$15</f>
        <v>Approximative</v>
      </c>
      <c r="P32" s="976" t="s">
        <v>1468</v>
      </c>
      <c r="Q32" s="976" t="str">
        <f>Etiquettes!$H$17</f>
        <v>Donnée collectée (valeur du flux ou coefficient)</v>
      </c>
    </row>
    <row r="33" spans="1:17">
      <c r="A33" t="str">
        <f>Produits!$B$29</f>
        <v>Eau</v>
      </c>
      <c r="B33" t="str">
        <f>Secteurs!$B$8</f>
        <v>Fabrication de produits alimentaires</v>
      </c>
      <c r="C33">
        <f>('Consommation - OléoProtéines'!X32+'Consommation - OléoProtéines'!Z32)/10^3</f>
        <v>16.5</v>
      </c>
      <c r="E33" t="str">
        <f>Etiquettes!$C$3</f>
        <v>kt</v>
      </c>
      <c r="F33" s="21" t="str">
        <f>Etiquettes!$P$6</f>
        <v>Pois chiche</v>
      </c>
      <c r="G33" s="913" t="str">
        <f>Etiquettes!$J$5</f>
        <v>2023-24</v>
      </c>
      <c r="H33" t="str">
        <f>Etiquettes!$C$4</f>
        <v>France entière</v>
      </c>
      <c r="I33" s="21" t="s">
        <v>1440</v>
      </c>
      <c r="K33" s="21" t="s">
        <v>1215</v>
      </c>
      <c r="L33" s="101" t="s">
        <v>1502</v>
      </c>
      <c r="M33" s="21" t="str">
        <f>Etiquettes!$H$11</f>
        <v>Volume</v>
      </c>
      <c r="N33" s="21" t="str">
        <f t="shared" si="2"/>
        <v>Consommation d'eau pour la fabrication de produits appertisés = 17 kt (OléoProtéines - Terres Univia)</v>
      </c>
      <c r="O33" t="str">
        <f>Etiquettes!$K$15</f>
        <v>Approximative</v>
      </c>
      <c r="P33" s="976" t="s">
        <v>1468</v>
      </c>
      <c r="Q33" s="976" t="str">
        <f>Etiquettes!$H$17</f>
        <v>Donnée collectée (valeur du flux ou coefficient)</v>
      </c>
    </row>
  </sheetData>
  <phoneticPr fontId="114" type="noConversion"/>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F0F2A-8CFC-41F7-B8B1-848147BEAC24}">
  <sheetPr>
    <tabColor rgb="FF92D050"/>
  </sheetPr>
  <dimension ref="A1:U25"/>
  <sheetViews>
    <sheetView workbookViewId="0">
      <pane xSplit="3" ySplit="1" topLeftCell="D2" activePane="bottomRight" state="frozen"/>
      <selection activeCell="B15" sqref="B15"/>
      <selection pane="topRight" activeCell="B15" sqref="B15"/>
      <selection pane="bottomLeft" activeCell="B15" sqref="B15"/>
      <selection pane="bottomRight" activeCell="R1" sqref="R1:S1048576"/>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c r="A2" s="10">
        <f>'Contraintes     '!A20+1</f>
        <v>59</v>
      </c>
      <c r="B2" t="str">
        <f>Secteurs!$B$8</f>
        <v>Fabrication de produits alimentaires</v>
      </c>
      <c r="C2" t="str">
        <f>Produits!$B$19</f>
        <v>Produits alimentaires</v>
      </c>
      <c r="D2" s="888">
        <f>'Prétraitement consommation'!C15</f>
        <v>0.79816641630402807</v>
      </c>
      <c r="G2" t="str">
        <f>Etiquettes!$C$3</f>
        <v>kt</v>
      </c>
      <c r="H2" s="21" t="str">
        <f>Etiquettes!$O$6</f>
        <v>Lentille</v>
      </c>
      <c r="I2" s="913" t="s">
        <v>1054</v>
      </c>
      <c r="J2">
        <v>0</v>
      </c>
      <c r="P2" s="10"/>
    </row>
    <row r="3" spans="1:21">
      <c r="A3" s="10">
        <f>'Contraintes     '!A21+1</f>
        <v>59</v>
      </c>
      <c r="B3" t="str">
        <f>Produits!$B$19</f>
        <v>Produits alimentaires</v>
      </c>
      <c r="C3" t="str">
        <f>Secteurs!$B$19</f>
        <v>GMS</v>
      </c>
      <c r="D3">
        <v>-1</v>
      </c>
      <c r="G3" t="str">
        <f>Etiquettes!$C$3</f>
        <v>kt</v>
      </c>
      <c r="H3" s="21" t="str">
        <f>Etiquettes!$O$6</f>
        <v>Lentille</v>
      </c>
      <c r="I3" s="913" t="s">
        <v>1054</v>
      </c>
      <c r="J3">
        <v>0</v>
      </c>
      <c r="K3" s="101" t="s">
        <v>1282</v>
      </c>
      <c r="L3" s="31" t="s">
        <v>1297</v>
      </c>
      <c r="M3" s="21" t="s">
        <v>1215</v>
      </c>
      <c r="N3" s="101" t="s">
        <v>1502</v>
      </c>
      <c r="O3" t="str">
        <f>Etiquettes!$J$11</f>
        <v>Répartition</v>
      </c>
      <c r="P3" t="str">
        <f>_xlfn.CONCAT(K3," = ",MROUND(D2*100,0.01)," % (",M3,")")</f>
        <v>Part de consommation de produits alimentaires par les GMS (en volume de matière première) = 79,82 % (OléoProtéines - Terres Univia)</v>
      </c>
      <c r="Q3" t="str">
        <f>Etiquettes!$L$15</f>
        <v>Indicative</v>
      </c>
    </row>
    <row r="4" spans="1:21">
      <c r="A4" s="10">
        <f t="shared" ref="A4:A25" si="0">A2+1</f>
        <v>60</v>
      </c>
      <c r="B4" t="str">
        <f>Secteurs!$B$8</f>
        <v>Fabrication de produits alimentaires</v>
      </c>
      <c r="C4" t="str">
        <f>Produits!$B$19</f>
        <v>Produits alimentaires</v>
      </c>
      <c r="D4" s="888">
        <f>'Prétraitement consommation'!D15</f>
        <v>3.9908320815201404E-2</v>
      </c>
      <c r="G4" t="str">
        <f>Etiquettes!$C$3</f>
        <v>kt</v>
      </c>
      <c r="H4" s="21" t="str">
        <f>Etiquettes!$O$6</f>
        <v>Lentille</v>
      </c>
      <c r="I4" s="913" t="s">
        <v>1054</v>
      </c>
      <c r="J4">
        <v>0</v>
      </c>
      <c r="P4" s="10"/>
    </row>
    <row r="5" spans="1:21">
      <c r="A5" s="10">
        <f t="shared" si="0"/>
        <v>60</v>
      </c>
      <c r="B5" t="str">
        <f>Produits!$B$19</f>
        <v>Produits alimentaires</v>
      </c>
      <c r="C5" t="str">
        <f>Secteurs!$B$17</f>
        <v>Circuits spécialisés</v>
      </c>
      <c r="D5">
        <v>-1</v>
      </c>
      <c r="G5" t="str">
        <f>Etiquettes!$C$3</f>
        <v>kt</v>
      </c>
      <c r="H5" s="21" t="str">
        <f>Etiquettes!$O$6</f>
        <v>Lentille</v>
      </c>
      <c r="I5" s="913" t="s">
        <v>1054</v>
      </c>
      <c r="J5">
        <v>0</v>
      </c>
      <c r="K5" s="101" t="s">
        <v>1283</v>
      </c>
      <c r="L5" s="31" t="s">
        <v>1297</v>
      </c>
      <c r="M5" s="21" t="s">
        <v>1215</v>
      </c>
      <c r="N5" s="101" t="s">
        <v>1502</v>
      </c>
      <c r="O5" t="str">
        <f>Etiquettes!$J$11</f>
        <v>Répartition</v>
      </c>
      <c r="P5" t="str">
        <f>_xlfn.CONCAT(K5," = ",MROUND(D4*100,0.01)," % (",M5,")")</f>
        <v>Part de consommation de produits alimentaires par les circuits spécialisés (en volume de matière première) = 3,99 % (OléoProtéines - Terres Univia)</v>
      </c>
      <c r="Q5" t="str">
        <f>Etiquettes!$L$15</f>
        <v>Indicative</v>
      </c>
    </row>
    <row r="6" spans="1:21">
      <c r="A6" s="10">
        <f t="shared" si="0"/>
        <v>61</v>
      </c>
      <c r="B6" t="str">
        <f>Secteurs!$B$8</f>
        <v>Fabrication de produits alimentaires</v>
      </c>
      <c r="C6" t="str">
        <f>Produits!$B$19</f>
        <v>Produits alimentaires</v>
      </c>
      <c r="D6" s="888">
        <f>'Prétraitement consommation'!E15</f>
        <v>0.10902389543617302</v>
      </c>
      <c r="G6" t="str">
        <f>Etiquettes!$C$3</f>
        <v>kt</v>
      </c>
      <c r="H6" s="21" t="str">
        <f>Etiquettes!$O$6</f>
        <v>Lentille</v>
      </c>
      <c r="I6" s="913" t="s">
        <v>1054</v>
      </c>
      <c r="J6">
        <v>0</v>
      </c>
      <c r="P6" s="10"/>
    </row>
    <row r="7" spans="1:21">
      <c r="A7" s="10">
        <f t="shared" si="0"/>
        <v>61</v>
      </c>
      <c r="B7" t="str">
        <f>Produits!$B$19</f>
        <v>Produits alimentaires</v>
      </c>
      <c r="C7" t="str">
        <f>Secteurs!$B$20</f>
        <v>RHD</v>
      </c>
      <c r="D7">
        <v>-1</v>
      </c>
      <c r="G7" t="str">
        <f>Etiquettes!$C$3</f>
        <v>kt</v>
      </c>
      <c r="H7" s="21" t="str">
        <f>Etiquettes!$O$6</f>
        <v>Lentille</v>
      </c>
      <c r="I7" s="913" t="s">
        <v>1054</v>
      </c>
      <c r="J7">
        <v>0</v>
      </c>
      <c r="K7" s="101" t="s">
        <v>1284</v>
      </c>
      <c r="L7" s="31" t="s">
        <v>1297</v>
      </c>
      <c r="M7" s="21" t="s">
        <v>1215</v>
      </c>
      <c r="N7" s="101" t="s">
        <v>1502</v>
      </c>
      <c r="O7" t="str">
        <f>Etiquettes!$J$11</f>
        <v>Répartition</v>
      </c>
      <c r="P7" t="str">
        <f>_xlfn.CONCAT(K7," = ",MROUND(D6*100,0.01)," % (",M7,")")</f>
        <v>Part de consommation de produits alimentaires par la RHD (en volume de matière première) = 10,9 % (OléoProtéines - Terres Univia)</v>
      </c>
      <c r="Q7" t="str">
        <f>Etiquettes!$L$15</f>
        <v>Indicative</v>
      </c>
    </row>
    <row r="8" spans="1:21">
      <c r="A8" s="10">
        <f t="shared" si="0"/>
        <v>62</v>
      </c>
      <c r="B8" t="str">
        <f>Secteurs!$B$8</f>
        <v>Fabrication de produits alimentaires</v>
      </c>
      <c r="C8" t="str">
        <f>Produits!$B$19</f>
        <v>Produits alimentaires</v>
      </c>
      <c r="D8" s="888">
        <f>'Prétraitement consommation'!F15</f>
        <v>5.29013674445976E-2</v>
      </c>
      <c r="G8" t="str">
        <f>Etiquettes!$C$3</f>
        <v>kt</v>
      </c>
      <c r="H8" s="21" t="str">
        <f>Etiquettes!$O$6</f>
        <v>Lentille</v>
      </c>
      <c r="I8" s="913" t="s">
        <v>1054</v>
      </c>
      <c r="J8">
        <v>0</v>
      </c>
      <c r="P8" s="10"/>
    </row>
    <row r="9" spans="1:21">
      <c r="A9" s="10">
        <f t="shared" si="0"/>
        <v>62</v>
      </c>
      <c r="B9" t="str">
        <f>Produits!$B$19</f>
        <v>Produits alimentaires</v>
      </c>
      <c r="C9" t="str">
        <f>Secteurs!$B$21</f>
        <v>Autres IAA</v>
      </c>
      <c r="D9">
        <v>-1</v>
      </c>
      <c r="G9" t="str">
        <f>Etiquettes!$C$3</f>
        <v>kt</v>
      </c>
      <c r="H9" s="21" t="str">
        <f>Etiquettes!$O$6</f>
        <v>Lentille</v>
      </c>
      <c r="I9" s="913" t="s">
        <v>1054</v>
      </c>
      <c r="J9">
        <v>0</v>
      </c>
      <c r="K9" s="101" t="s">
        <v>1285</v>
      </c>
      <c r="L9" s="31" t="s">
        <v>1297</v>
      </c>
      <c r="M9" s="21" t="s">
        <v>1215</v>
      </c>
      <c r="N9" s="101" t="s">
        <v>1502</v>
      </c>
      <c r="O9" t="str">
        <f>Etiquettes!$J$11</f>
        <v>Répartition</v>
      </c>
      <c r="P9" t="str">
        <f>_xlfn.CONCAT(K9," = ",MROUND(D8*100,0.01)," % (",M9,")")</f>
        <v>Part de consommation de produits alimentaires par les autres IAA (en volume de matière première) = 5,29 % (OléoProtéines - Terres Univia)</v>
      </c>
      <c r="Q9" t="str">
        <f>Etiquettes!$L$15</f>
        <v>Indicative</v>
      </c>
    </row>
    <row r="10" spans="1:21">
      <c r="A10" s="10">
        <f t="shared" si="0"/>
        <v>63</v>
      </c>
      <c r="B10" t="str">
        <f>Secteurs!$B$8</f>
        <v>Fabrication de produits alimentaires</v>
      </c>
      <c r="C10" t="str">
        <f>Produits!$B$19</f>
        <v>Produits alimentaires</v>
      </c>
      <c r="D10" s="888">
        <f>'Prétraitement consommation'!C16</f>
        <v>0.75443228970199927</v>
      </c>
      <c r="G10" t="str">
        <f>Etiquettes!$C$3</f>
        <v>kt</v>
      </c>
      <c r="H10" s="21" t="str">
        <f>Etiquettes!$P$6</f>
        <v>Pois chiche</v>
      </c>
      <c r="I10" s="913" t="s">
        <v>1054</v>
      </c>
      <c r="J10">
        <v>0</v>
      </c>
      <c r="P10" s="10"/>
    </row>
    <row r="11" spans="1:21">
      <c r="A11" s="10">
        <f t="shared" si="0"/>
        <v>63</v>
      </c>
      <c r="B11" t="str">
        <f>Produits!$B$19</f>
        <v>Produits alimentaires</v>
      </c>
      <c r="C11" t="str">
        <f>Secteurs!$B$19</f>
        <v>GMS</v>
      </c>
      <c r="D11">
        <v>-1</v>
      </c>
      <c r="G11" t="str">
        <f>Etiquettes!$C$3</f>
        <v>kt</v>
      </c>
      <c r="H11" s="21" t="str">
        <f>Etiquettes!$P$6</f>
        <v>Pois chiche</v>
      </c>
      <c r="I11" s="913" t="s">
        <v>1054</v>
      </c>
      <c r="J11">
        <v>0</v>
      </c>
      <c r="K11" s="101" t="s">
        <v>1282</v>
      </c>
      <c r="L11" s="31" t="s">
        <v>1297</v>
      </c>
      <c r="M11" s="21" t="s">
        <v>1215</v>
      </c>
      <c r="N11" s="101" t="s">
        <v>1502</v>
      </c>
      <c r="O11" t="str">
        <f>Etiquettes!$J$11</f>
        <v>Répartition</v>
      </c>
      <c r="P11" t="str">
        <f>_xlfn.CONCAT(K11," = ",MROUND(D10*100,0.01)," % (",M11,")")</f>
        <v>Part de consommation de produits alimentaires par les GMS (en volume de matière première) = 75,44 % (OléoProtéines - Terres Univia)</v>
      </c>
      <c r="Q11" t="str">
        <f>Etiquettes!$L$15</f>
        <v>Indicative</v>
      </c>
    </row>
    <row r="12" spans="1:21">
      <c r="A12" s="10">
        <f t="shared" si="0"/>
        <v>64</v>
      </c>
      <c r="B12" t="str">
        <f>Secteurs!$B$8</f>
        <v>Fabrication de produits alimentaires</v>
      </c>
      <c r="C12" t="str">
        <f>Produits!$B$19</f>
        <v>Produits alimentaires</v>
      </c>
      <c r="D12" s="888">
        <f>'Prétraitement consommation'!D16</f>
        <v>3.7721614485099968E-2</v>
      </c>
      <c r="G12" t="str">
        <f>Etiquettes!$C$3</f>
        <v>kt</v>
      </c>
      <c r="H12" s="21" t="str">
        <f>Etiquettes!$P$6</f>
        <v>Pois chiche</v>
      </c>
      <c r="I12" s="913" t="s">
        <v>1054</v>
      </c>
      <c r="J12">
        <v>0</v>
      </c>
      <c r="P12" s="10"/>
    </row>
    <row r="13" spans="1:21">
      <c r="A13" s="10">
        <f t="shared" si="0"/>
        <v>64</v>
      </c>
      <c r="B13" t="str">
        <f>Produits!$B$19</f>
        <v>Produits alimentaires</v>
      </c>
      <c r="C13" t="str">
        <f>Secteurs!$B$17</f>
        <v>Circuits spécialisés</v>
      </c>
      <c r="D13">
        <v>-1</v>
      </c>
      <c r="G13" t="str">
        <f>Etiquettes!$C$3</f>
        <v>kt</v>
      </c>
      <c r="H13" s="21" t="str">
        <f>Etiquettes!$P$6</f>
        <v>Pois chiche</v>
      </c>
      <c r="I13" s="913" t="s">
        <v>1054</v>
      </c>
      <c r="J13">
        <v>0</v>
      </c>
      <c r="K13" s="101" t="s">
        <v>1283</v>
      </c>
      <c r="L13" s="31" t="s">
        <v>1297</v>
      </c>
      <c r="M13" s="21" t="s">
        <v>1215</v>
      </c>
      <c r="N13" s="101" t="s">
        <v>1502</v>
      </c>
      <c r="O13" t="str">
        <f>Etiquettes!$J$11</f>
        <v>Répartition</v>
      </c>
      <c r="P13" t="str">
        <f>_xlfn.CONCAT(K13," = ",MROUND(D12*100,0.01)," % (",M13,")")</f>
        <v>Part de consommation de produits alimentaires par les circuits spécialisés (en volume de matière première) = 3,77 % (OléoProtéines - Terres Univia)</v>
      </c>
      <c r="Q13" t="str">
        <f>Etiquettes!$L$15</f>
        <v>Indicative</v>
      </c>
    </row>
    <row r="14" spans="1:21">
      <c r="A14" s="10">
        <f t="shared" si="0"/>
        <v>65</v>
      </c>
      <c r="B14" t="str">
        <f>Secteurs!$B$8</f>
        <v>Fabrication de produits alimentaires</v>
      </c>
      <c r="C14" t="str">
        <f>Produits!$B$19</f>
        <v>Produits alimentaires</v>
      </c>
      <c r="D14" s="888">
        <f>'Prétraitement consommation'!E16</f>
        <v>0.12528964811122489</v>
      </c>
      <c r="G14" t="str">
        <f>Etiquettes!$C$3</f>
        <v>kt</v>
      </c>
      <c r="H14" s="21" t="str">
        <f>Etiquettes!$P$6</f>
        <v>Pois chiche</v>
      </c>
      <c r="I14" s="913" t="s">
        <v>1054</v>
      </c>
      <c r="J14">
        <v>0</v>
      </c>
      <c r="P14" s="10"/>
    </row>
    <row r="15" spans="1:21">
      <c r="A15" s="10">
        <f t="shared" si="0"/>
        <v>65</v>
      </c>
      <c r="B15" t="str">
        <f>Produits!$B$19</f>
        <v>Produits alimentaires</v>
      </c>
      <c r="C15" t="str">
        <f>Secteurs!$B$20</f>
        <v>RHD</v>
      </c>
      <c r="D15">
        <v>-1</v>
      </c>
      <c r="G15" t="str">
        <f>Etiquettes!$C$3</f>
        <v>kt</v>
      </c>
      <c r="H15" s="21" t="str">
        <f>Etiquettes!$P$6</f>
        <v>Pois chiche</v>
      </c>
      <c r="I15" s="913" t="s">
        <v>1054</v>
      </c>
      <c r="J15">
        <v>0</v>
      </c>
      <c r="K15" s="101" t="s">
        <v>1284</v>
      </c>
      <c r="L15" s="31" t="s">
        <v>1297</v>
      </c>
      <c r="M15" s="21" t="s">
        <v>1215</v>
      </c>
      <c r="N15" s="101" t="s">
        <v>1502</v>
      </c>
      <c r="O15" t="str">
        <f>Etiquettes!$J$11</f>
        <v>Répartition</v>
      </c>
      <c r="P15" t="str">
        <f>_xlfn.CONCAT(K15," = ",MROUND(D14*100,0.01)," % (",M15,")")</f>
        <v>Part de consommation de produits alimentaires par la RHD (en volume de matière première) = 12,53 % (OléoProtéines - Terres Univia)</v>
      </c>
      <c r="Q15" t="str">
        <f>Etiquettes!$L$15</f>
        <v>Indicative</v>
      </c>
    </row>
    <row r="16" spans="1:21">
      <c r="A16" s="10">
        <f t="shared" si="0"/>
        <v>66</v>
      </c>
      <c r="B16" t="str">
        <f>Secteurs!$B$8</f>
        <v>Fabrication de produits alimentaires</v>
      </c>
      <c r="C16" t="str">
        <f>Produits!$B$19</f>
        <v>Produits alimentaires</v>
      </c>
      <c r="D16" s="888">
        <f>'Prétraitement consommation'!F16</f>
        <v>8.2556447701675931E-2</v>
      </c>
      <c r="G16" t="str">
        <f>Etiquettes!$C$3</f>
        <v>kt</v>
      </c>
      <c r="H16" s="21" t="str">
        <f>Etiquettes!$P$6</f>
        <v>Pois chiche</v>
      </c>
      <c r="I16" s="913" t="s">
        <v>1054</v>
      </c>
      <c r="J16">
        <v>0</v>
      </c>
      <c r="P16" s="10"/>
    </row>
    <row r="17" spans="1:17">
      <c r="A17" s="10">
        <f t="shared" si="0"/>
        <v>66</v>
      </c>
      <c r="B17" t="str">
        <f>Produits!$B$19</f>
        <v>Produits alimentaires</v>
      </c>
      <c r="C17" t="str">
        <f>Secteurs!$B$21</f>
        <v>Autres IAA</v>
      </c>
      <c r="D17">
        <v>-1</v>
      </c>
      <c r="G17" t="str">
        <f>Etiquettes!$C$3</f>
        <v>kt</v>
      </c>
      <c r="H17" s="21" t="str">
        <f>Etiquettes!$P$6</f>
        <v>Pois chiche</v>
      </c>
      <c r="I17" s="913" t="s">
        <v>1054</v>
      </c>
      <c r="J17">
        <v>0</v>
      </c>
      <c r="K17" s="101" t="s">
        <v>1285</v>
      </c>
      <c r="L17" s="31" t="s">
        <v>1297</v>
      </c>
      <c r="M17" s="21" t="s">
        <v>1215</v>
      </c>
      <c r="N17" s="101" t="s">
        <v>1502</v>
      </c>
      <c r="O17" t="str">
        <f>Etiquettes!$J$11</f>
        <v>Répartition</v>
      </c>
      <c r="P17" t="str">
        <f>_xlfn.CONCAT(K17," = ",MROUND(D16*100,0.01)," % (",M17,")")</f>
        <v>Part de consommation de produits alimentaires par les autres IAA (en volume de matière première) = 8,26 % (OléoProtéines - Terres Univia)</v>
      </c>
      <c r="Q17" t="str">
        <f>Etiquettes!$L$15</f>
        <v>Indicative</v>
      </c>
    </row>
    <row r="18" spans="1:17">
      <c r="A18" s="10">
        <f t="shared" si="0"/>
        <v>67</v>
      </c>
      <c r="B18" t="str">
        <f>Secteurs!$B$8</f>
        <v>Fabrication de produits alimentaires</v>
      </c>
      <c r="C18" t="str">
        <f>Produits!$B$19</f>
        <v>Produits alimentaires</v>
      </c>
      <c r="D18" s="888">
        <f>'Prétraitement consommation'!C17</f>
        <v>0.7310524496902997</v>
      </c>
      <c r="G18" t="str">
        <f>Etiquettes!$C$3</f>
        <v>kt</v>
      </c>
      <c r="H18" s="21" t="str">
        <f>Etiquettes!$Q$6</f>
        <v>Haricot sec</v>
      </c>
      <c r="I18" s="913" t="s">
        <v>1054</v>
      </c>
      <c r="J18">
        <v>0</v>
      </c>
      <c r="P18" s="10"/>
    </row>
    <row r="19" spans="1:17">
      <c r="A19" s="10">
        <f t="shared" si="0"/>
        <v>67</v>
      </c>
      <c r="B19" t="str">
        <f>Produits!$B$19</f>
        <v>Produits alimentaires</v>
      </c>
      <c r="C19" t="str">
        <f>Secteurs!$B$19</f>
        <v>GMS</v>
      </c>
      <c r="D19">
        <v>-1</v>
      </c>
      <c r="G19" t="str">
        <f>Etiquettes!$C$3</f>
        <v>kt</v>
      </c>
      <c r="H19" s="21" t="str">
        <f>Etiquettes!$Q$6</f>
        <v>Haricot sec</v>
      </c>
      <c r="I19" s="913" t="s">
        <v>1054</v>
      </c>
      <c r="J19">
        <v>0</v>
      </c>
      <c r="K19" s="101" t="s">
        <v>1282</v>
      </c>
      <c r="L19" s="31" t="s">
        <v>1297</v>
      </c>
      <c r="M19" s="21" t="s">
        <v>1215</v>
      </c>
      <c r="N19" s="101" t="s">
        <v>1502</v>
      </c>
      <c r="O19" t="str">
        <f>Etiquettes!$J$11</f>
        <v>Répartition</v>
      </c>
      <c r="P19" t="str">
        <f>_xlfn.CONCAT(K19," = ",MROUND(D18*100,0.01)," % (",M19,")")</f>
        <v>Part de consommation de produits alimentaires par les GMS (en volume de matière première) = 73,11 % (OléoProtéines - Terres Univia)</v>
      </c>
      <c r="Q19" t="str">
        <f>Etiquettes!$L$15</f>
        <v>Indicative</v>
      </c>
    </row>
    <row r="20" spans="1:17">
      <c r="A20" s="10">
        <f t="shared" si="0"/>
        <v>68</v>
      </c>
      <c r="B20" t="str">
        <f>Secteurs!$B$8</f>
        <v>Fabrication de produits alimentaires</v>
      </c>
      <c r="C20" t="str">
        <f>Produits!$B$19</f>
        <v>Produits alimentaires</v>
      </c>
      <c r="D20" s="888">
        <f>'Prétraitement consommation'!D17</f>
        <v>3.6552622484514984E-2</v>
      </c>
      <c r="G20" t="str">
        <f>Etiquettes!$C$3</f>
        <v>kt</v>
      </c>
      <c r="H20" s="21" t="str">
        <f>Etiquettes!$Q$6</f>
        <v>Haricot sec</v>
      </c>
      <c r="I20" s="913" t="s">
        <v>1054</v>
      </c>
      <c r="J20">
        <v>0</v>
      </c>
      <c r="P20" s="10"/>
    </row>
    <row r="21" spans="1:17">
      <c r="A21" s="10">
        <f t="shared" si="0"/>
        <v>68</v>
      </c>
      <c r="B21" t="str">
        <f>Produits!$B$19</f>
        <v>Produits alimentaires</v>
      </c>
      <c r="C21" t="str">
        <f>Secteurs!$B$17</f>
        <v>Circuits spécialisés</v>
      </c>
      <c r="D21">
        <v>-1</v>
      </c>
      <c r="G21" t="str">
        <f>Etiquettes!$C$3</f>
        <v>kt</v>
      </c>
      <c r="H21" s="21" t="str">
        <f>Etiquettes!$Q$6</f>
        <v>Haricot sec</v>
      </c>
      <c r="I21" s="913" t="s">
        <v>1054</v>
      </c>
      <c r="J21">
        <v>0</v>
      </c>
      <c r="K21" s="101" t="s">
        <v>1283</v>
      </c>
      <c r="L21" s="31" t="s">
        <v>1297</v>
      </c>
      <c r="M21" s="21" t="s">
        <v>1215</v>
      </c>
      <c r="N21" s="101" t="s">
        <v>1502</v>
      </c>
      <c r="O21" t="str">
        <f>Etiquettes!$J$11</f>
        <v>Répartition</v>
      </c>
      <c r="P21" t="str">
        <f>_xlfn.CONCAT(K21," = ",MROUND(D20*100,0.01)," % (",M21,")")</f>
        <v>Part de consommation de produits alimentaires par les circuits spécialisés (en volume de matière première) = 3,66 % (OléoProtéines - Terres Univia)</v>
      </c>
      <c r="Q21" t="str">
        <f>Etiquettes!$L$15</f>
        <v>Indicative</v>
      </c>
    </row>
    <row r="22" spans="1:17">
      <c r="A22" s="10">
        <f t="shared" si="0"/>
        <v>69</v>
      </c>
      <c r="B22" t="str">
        <f>Secteurs!$B$8</f>
        <v>Fabrication de produits alimentaires</v>
      </c>
      <c r="C22" t="str">
        <f>Produits!$B$19</f>
        <v>Produits alimentaires</v>
      </c>
      <c r="D22" s="888">
        <f>'Prétraitement consommation'!E17</f>
        <v>0.1408937448494032</v>
      </c>
      <c r="G22" t="str">
        <f>Etiquettes!$C$3</f>
        <v>kt</v>
      </c>
      <c r="H22" s="21" t="str">
        <f>Etiquettes!$Q$6</f>
        <v>Haricot sec</v>
      </c>
      <c r="I22" s="913" t="s">
        <v>1054</v>
      </c>
      <c r="J22">
        <v>0</v>
      </c>
      <c r="P22" s="10"/>
    </row>
    <row r="23" spans="1:17">
      <c r="A23" s="10">
        <f t="shared" si="0"/>
        <v>69</v>
      </c>
      <c r="B23" t="str">
        <f>Produits!$B$19</f>
        <v>Produits alimentaires</v>
      </c>
      <c r="C23" t="str">
        <f>Secteurs!$B$20</f>
        <v>RHD</v>
      </c>
      <c r="D23">
        <v>-1</v>
      </c>
      <c r="G23" t="str">
        <f>Etiquettes!$C$3</f>
        <v>kt</v>
      </c>
      <c r="H23" s="21" t="str">
        <f>Etiquettes!$Q$6</f>
        <v>Haricot sec</v>
      </c>
      <c r="I23" s="913" t="s">
        <v>1054</v>
      </c>
      <c r="J23">
        <v>0</v>
      </c>
      <c r="K23" s="101" t="s">
        <v>1284</v>
      </c>
      <c r="L23" s="31" t="s">
        <v>1297</v>
      </c>
      <c r="M23" s="21" t="s">
        <v>1215</v>
      </c>
      <c r="N23" s="101" t="s">
        <v>1502</v>
      </c>
      <c r="O23" t="str">
        <f>Etiquettes!$J$11</f>
        <v>Répartition</v>
      </c>
      <c r="P23" t="str">
        <f>_xlfn.CONCAT(K23," = ",MROUND(D22*100,0.01)," % (",M23,")")</f>
        <v>Part de consommation de produits alimentaires par la RHD (en volume de matière première) = 14,09 % (OléoProtéines - Terres Univia)</v>
      </c>
      <c r="Q23" t="str">
        <f>Etiquettes!$L$15</f>
        <v>Indicative</v>
      </c>
    </row>
    <row r="24" spans="1:17">
      <c r="A24" s="10">
        <f t="shared" si="0"/>
        <v>70</v>
      </c>
      <c r="B24" t="str">
        <f>Secteurs!$B$8</f>
        <v>Fabrication de produits alimentaires</v>
      </c>
      <c r="C24" t="str">
        <f>Produits!$B$19</f>
        <v>Produits alimentaires</v>
      </c>
      <c r="D24" s="888">
        <f>'Prétraitement consommation'!F17</f>
        <v>9.1501182975782233E-2</v>
      </c>
      <c r="G24" t="str">
        <f>Etiquettes!$C$3</f>
        <v>kt</v>
      </c>
      <c r="H24" s="21" t="str">
        <f>Etiquettes!$Q$6</f>
        <v>Haricot sec</v>
      </c>
      <c r="I24" s="913" t="s">
        <v>1054</v>
      </c>
      <c r="J24">
        <v>0</v>
      </c>
      <c r="P24" s="10"/>
    </row>
    <row r="25" spans="1:17">
      <c r="A25" s="10">
        <f t="shared" si="0"/>
        <v>70</v>
      </c>
      <c r="B25" t="str">
        <f>Produits!$B$19</f>
        <v>Produits alimentaires</v>
      </c>
      <c r="C25" t="str">
        <f>Secteurs!$B$21</f>
        <v>Autres IAA</v>
      </c>
      <c r="D25">
        <v>-1</v>
      </c>
      <c r="G25" t="str">
        <f>Etiquettes!$C$3</f>
        <v>kt</v>
      </c>
      <c r="H25" s="21" t="str">
        <f>Etiquettes!$Q$6</f>
        <v>Haricot sec</v>
      </c>
      <c r="I25" s="913" t="s">
        <v>1054</v>
      </c>
      <c r="J25">
        <v>0</v>
      </c>
      <c r="K25" s="101" t="s">
        <v>1285</v>
      </c>
      <c r="L25" s="31" t="s">
        <v>1297</v>
      </c>
      <c r="M25" s="21" t="s">
        <v>1215</v>
      </c>
      <c r="N25" s="101" t="s">
        <v>1502</v>
      </c>
      <c r="O25" t="str">
        <f>Etiquettes!$J$11</f>
        <v>Répartition</v>
      </c>
      <c r="P25" t="str">
        <f>_xlfn.CONCAT(K25," = ",MROUND(D24*100,0.01)," % (",M25,")")</f>
        <v>Part de consommation de produits alimentaires par les autres IAA (en volume de matière première) = 9,15 % (OléoProtéines - Terres Univia)</v>
      </c>
      <c r="Q25" t="str">
        <f>Etiquettes!$L$15</f>
        <v>Indicative</v>
      </c>
    </row>
  </sheetData>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4BAF-3436-4769-8478-FA423F7BE666}">
  <sheetPr>
    <tabColor theme="1"/>
  </sheetPr>
  <dimension ref="A1:Q52"/>
  <sheetViews>
    <sheetView workbookViewId="0">
      <pane xSplit="2" ySplit="1" topLeftCell="C2" activePane="bottomRight" state="frozen"/>
      <selection activeCell="F19" sqref="F19"/>
      <selection pane="topRight" activeCell="F19" sqref="F19"/>
      <selection pane="bottomLeft" activeCell="F19" sqref="F19"/>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13">_xlfn._xlws.FILTER('Contraintes      '!G1:S190,ISTEXT('Contraintes      '!O1:O190))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13">_xlfn._xlws.FILTER('Contraintes      '!B2:C200,ISTEXT('Contraintes      '!O2:O200))</f>
        <v>Produits alimentaires</v>
      </c>
      <c r="B2" t="str">
        <v>GMS</v>
      </c>
      <c r="E2" t="str">
        <v>kt</v>
      </c>
      <c r="F2" t="str">
        <v>Lentille</v>
      </c>
      <c r="G2" t="str">
        <v>2015-16:2019-20</v>
      </c>
      <c r="H2">
        <v>0</v>
      </c>
      <c r="I2" t="str">
        <v>Part de consommation de produits alimentaires par les GMS (en volume de matière première)</v>
      </c>
      <c r="J2" t="str">
        <v>Même répartition des circuits de distribution des produits alimentaires qu'en 2023</v>
      </c>
      <c r="K2" t="str">
        <v>OléoProtéines - Terres Univia</v>
      </c>
      <c r="L2" t="str">
        <v>Consommation - OléoProtéines</v>
      </c>
      <c r="M2" t="str">
        <v>Répartition</v>
      </c>
      <c r="N2" t="str">
        <v>Part de consommation de produits alimentaires par les GMS (en volume de matière première) = 79,82 % (OléoProtéines - Terres Univia)</v>
      </c>
      <c r="O2" t="str">
        <v>Indicative</v>
      </c>
      <c r="P2">
        <v>0</v>
      </c>
      <c r="Q2">
        <v>0</v>
      </c>
    </row>
    <row r="3" spans="1:17">
      <c r="A3" t="str">
        <v>Produits alimentaires</v>
      </c>
      <c r="B3" t="str">
        <v>Circuits spécialisés</v>
      </c>
      <c r="E3" t="str">
        <v>kt</v>
      </c>
      <c r="F3" t="str">
        <v>Lentille</v>
      </c>
      <c r="G3" t="str">
        <v>2015-16:2019-20</v>
      </c>
      <c r="H3">
        <v>0</v>
      </c>
      <c r="I3" t="str">
        <v>Part de consommation de produits alimentaires par les circuits spécialisés (en volume de matière première)</v>
      </c>
      <c r="J3" t="str">
        <v>Même répartition des circuits de distribution des produits alimentaires qu'en 2023</v>
      </c>
      <c r="K3" t="str">
        <v>OléoProtéines - Terres Univia</v>
      </c>
      <c r="L3" t="str">
        <v>Consommation - OléoProtéines</v>
      </c>
      <c r="M3" t="str">
        <v>Répartition</v>
      </c>
      <c r="N3" t="str">
        <v>Part de consommation de produits alimentaires par les circuits spécialisés (en volume de matière première) = 3,99 % (OléoProtéines - Terres Univia)</v>
      </c>
      <c r="O3" t="str">
        <v>Indicative</v>
      </c>
      <c r="P3">
        <v>0</v>
      </c>
      <c r="Q3">
        <v>0</v>
      </c>
    </row>
    <row r="4" spans="1:17">
      <c r="A4" t="str">
        <v>Produits alimentaires</v>
      </c>
      <c r="B4" t="str">
        <v>RHD</v>
      </c>
      <c r="E4" t="str">
        <v>kt</v>
      </c>
      <c r="F4" t="str">
        <v>Lentille</v>
      </c>
      <c r="G4" t="str">
        <v>2015-16:2019-20</v>
      </c>
      <c r="H4">
        <v>0</v>
      </c>
      <c r="I4" t="str">
        <v>Part de consommation de produits alimentaires par la RHD (en volume de matière première)</v>
      </c>
      <c r="J4" t="str">
        <v>Même répartition des circuits de distribution des produits alimentaires qu'en 2023</v>
      </c>
      <c r="K4" t="str">
        <v>OléoProtéines - Terres Univia</v>
      </c>
      <c r="L4" t="str">
        <v>Consommation - OléoProtéines</v>
      </c>
      <c r="M4" t="str">
        <v>Répartition</v>
      </c>
      <c r="N4" t="str">
        <v>Part de consommation de produits alimentaires par la RHD (en volume de matière première) = 10,9 % (OléoProtéines - Terres Univia)</v>
      </c>
      <c r="O4" t="str">
        <v>Indicative</v>
      </c>
      <c r="P4">
        <v>0</v>
      </c>
      <c r="Q4">
        <v>0</v>
      </c>
    </row>
    <row r="5" spans="1:17">
      <c r="A5" t="str">
        <v>Produits alimentaires</v>
      </c>
      <c r="B5" t="str">
        <v>Autres IAA</v>
      </c>
      <c r="E5" t="str">
        <v>kt</v>
      </c>
      <c r="F5" t="str">
        <v>Lentille</v>
      </c>
      <c r="G5" t="str">
        <v>2015-16:2019-20</v>
      </c>
      <c r="H5">
        <v>0</v>
      </c>
      <c r="I5" t="str">
        <v>Part de consommation de produits alimentaires par les autres IAA (en volume de matière première)</v>
      </c>
      <c r="J5" t="str">
        <v>Même répartition des circuits de distribution des produits alimentaires qu'en 2023</v>
      </c>
      <c r="K5" t="str">
        <v>OléoProtéines - Terres Univia</v>
      </c>
      <c r="L5" t="str">
        <v>Consommation - OléoProtéines</v>
      </c>
      <c r="M5" t="str">
        <v>Répartition</v>
      </c>
      <c r="N5" t="str">
        <v>Part de consommation de produits alimentaires par les autres IAA (en volume de matière première) = 5,29 % (OléoProtéines - Terres Univia)</v>
      </c>
      <c r="O5" t="str">
        <v>Indicative</v>
      </c>
      <c r="P5">
        <v>0</v>
      </c>
      <c r="Q5">
        <v>0</v>
      </c>
    </row>
    <row r="6" spans="1:17">
      <c r="A6" t="str">
        <v>Produits alimentaires</v>
      </c>
      <c r="B6" t="str">
        <v>GMS</v>
      </c>
      <c r="E6" t="str">
        <v>kt</v>
      </c>
      <c r="F6" t="str">
        <v>Pois chiche</v>
      </c>
      <c r="G6" t="str">
        <v>2015-16:2019-20</v>
      </c>
      <c r="H6">
        <v>0</v>
      </c>
      <c r="I6" t="str">
        <v>Part de consommation de produits alimentaires par les GMS (en volume de matière première)</v>
      </c>
      <c r="J6" t="str">
        <v>Même répartition des circuits de distribution des produits alimentaires qu'en 2023</v>
      </c>
      <c r="K6" t="str">
        <v>OléoProtéines - Terres Univia</v>
      </c>
      <c r="L6" t="str">
        <v>Consommation - OléoProtéines</v>
      </c>
      <c r="M6" t="str">
        <v>Répartition</v>
      </c>
      <c r="N6" t="str">
        <v>Part de consommation de produits alimentaires par les GMS (en volume de matière première) = 75,44 % (OléoProtéines - Terres Univia)</v>
      </c>
      <c r="O6" t="str">
        <v>Indicative</v>
      </c>
      <c r="P6">
        <v>0</v>
      </c>
      <c r="Q6">
        <v>0</v>
      </c>
    </row>
    <row r="7" spans="1:17">
      <c r="A7" t="str">
        <v>Produits alimentaires</v>
      </c>
      <c r="B7" t="str">
        <v>Circuits spécialisés</v>
      </c>
      <c r="E7" t="str">
        <v>kt</v>
      </c>
      <c r="F7" t="str">
        <v>Pois chiche</v>
      </c>
      <c r="G7" t="str">
        <v>2015-16:2019-20</v>
      </c>
      <c r="H7">
        <v>0</v>
      </c>
      <c r="I7" t="str">
        <v>Part de consommation de produits alimentaires par les circuits spécialisés (en volume de matière première)</v>
      </c>
      <c r="J7" t="str">
        <v>Même répartition des circuits de distribution des produits alimentaires qu'en 2023</v>
      </c>
      <c r="K7" t="str">
        <v>OléoProtéines - Terres Univia</v>
      </c>
      <c r="L7" t="str">
        <v>Consommation - OléoProtéines</v>
      </c>
      <c r="M7" t="str">
        <v>Répartition</v>
      </c>
      <c r="N7" t="str">
        <v>Part de consommation de produits alimentaires par les circuits spécialisés (en volume de matière première) = 3,77 % (OléoProtéines - Terres Univia)</v>
      </c>
      <c r="O7" t="str">
        <v>Indicative</v>
      </c>
      <c r="P7">
        <v>0</v>
      </c>
      <c r="Q7">
        <v>0</v>
      </c>
    </row>
    <row r="8" spans="1:17">
      <c r="A8" t="str">
        <v>Produits alimentaires</v>
      </c>
      <c r="B8" t="str">
        <v>RHD</v>
      </c>
      <c r="E8" t="str">
        <v>kt</v>
      </c>
      <c r="F8" t="str">
        <v>Pois chiche</v>
      </c>
      <c r="G8" t="str">
        <v>2015-16:2019-20</v>
      </c>
      <c r="H8">
        <v>0</v>
      </c>
      <c r="I8" t="str">
        <v>Part de consommation de produits alimentaires par la RHD (en volume de matière première)</v>
      </c>
      <c r="J8" t="str">
        <v>Même répartition des circuits de distribution des produits alimentaires qu'en 2023</v>
      </c>
      <c r="K8" t="str">
        <v>OléoProtéines - Terres Univia</v>
      </c>
      <c r="L8" t="str">
        <v>Consommation - OléoProtéines</v>
      </c>
      <c r="M8" t="str">
        <v>Répartition</v>
      </c>
      <c r="N8" t="str">
        <v>Part de consommation de produits alimentaires par la RHD (en volume de matière première) = 12,53 % (OléoProtéines - Terres Univia)</v>
      </c>
      <c r="O8" t="str">
        <v>Indicative</v>
      </c>
      <c r="P8">
        <v>0</v>
      </c>
      <c r="Q8">
        <v>0</v>
      </c>
    </row>
    <row r="9" spans="1:17">
      <c r="A9" t="str">
        <v>Produits alimentaires</v>
      </c>
      <c r="B9" t="str">
        <v>Autres IAA</v>
      </c>
      <c r="E9" t="str">
        <v>kt</v>
      </c>
      <c r="F9" t="str">
        <v>Pois chiche</v>
      </c>
      <c r="G9" t="str">
        <v>2015-16:2019-20</v>
      </c>
      <c r="H9">
        <v>0</v>
      </c>
      <c r="I9" t="str">
        <v>Part de consommation de produits alimentaires par les autres IAA (en volume de matière première)</v>
      </c>
      <c r="J9" t="str">
        <v>Même répartition des circuits de distribution des produits alimentaires qu'en 2023</v>
      </c>
      <c r="K9" t="str">
        <v>OléoProtéines - Terres Univia</v>
      </c>
      <c r="L9" t="str">
        <v>Consommation - OléoProtéines</v>
      </c>
      <c r="M9" t="str">
        <v>Répartition</v>
      </c>
      <c r="N9" t="str">
        <v>Part de consommation de produits alimentaires par les autres IAA (en volume de matière première) = 8,26 % (OléoProtéines - Terres Univia)</v>
      </c>
      <c r="O9" t="str">
        <v>Indicative</v>
      </c>
      <c r="P9">
        <v>0</v>
      </c>
      <c r="Q9">
        <v>0</v>
      </c>
    </row>
    <row r="10" spans="1:17">
      <c r="A10" t="str">
        <v>Produits alimentaires</v>
      </c>
      <c r="B10" t="str">
        <v>GMS</v>
      </c>
      <c r="E10" t="str">
        <v>kt</v>
      </c>
      <c r="F10" t="str">
        <v>Haricot sec</v>
      </c>
      <c r="G10" t="str">
        <v>2015-16:2019-20</v>
      </c>
      <c r="H10">
        <v>0</v>
      </c>
      <c r="I10" t="str">
        <v>Part de consommation de produits alimentaires par les GMS (en volume de matière première)</v>
      </c>
      <c r="J10" t="str">
        <v>Même répartition des circuits de distribution des produits alimentaires qu'en 2023</v>
      </c>
      <c r="K10" t="str">
        <v>OléoProtéines - Terres Univia</v>
      </c>
      <c r="L10" t="str">
        <v>Consommation - OléoProtéines</v>
      </c>
      <c r="M10" t="str">
        <v>Répartition</v>
      </c>
      <c r="N10" t="str">
        <v>Part de consommation de produits alimentaires par les GMS (en volume de matière première) = 73,11 % (OléoProtéines - Terres Univia)</v>
      </c>
      <c r="O10" t="str">
        <v>Indicative</v>
      </c>
      <c r="P10">
        <v>0</v>
      </c>
      <c r="Q10">
        <v>0</v>
      </c>
    </row>
    <row r="11" spans="1:17">
      <c r="A11" t="str">
        <v>Produits alimentaires</v>
      </c>
      <c r="B11" t="str">
        <v>Circuits spécialisés</v>
      </c>
      <c r="E11" t="str">
        <v>kt</v>
      </c>
      <c r="F11" t="str">
        <v>Haricot sec</v>
      </c>
      <c r="G11" t="str">
        <v>2015-16:2019-20</v>
      </c>
      <c r="H11">
        <v>0</v>
      </c>
      <c r="I11" t="str">
        <v>Part de consommation de produits alimentaires par les circuits spécialisés (en volume de matière première)</v>
      </c>
      <c r="J11" t="str">
        <v>Même répartition des circuits de distribution des produits alimentaires qu'en 2023</v>
      </c>
      <c r="K11" t="str">
        <v>OléoProtéines - Terres Univia</v>
      </c>
      <c r="L11" t="str">
        <v>Consommation - OléoProtéines</v>
      </c>
      <c r="M11" t="str">
        <v>Répartition</v>
      </c>
      <c r="N11" t="str">
        <v>Part de consommation de produits alimentaires par les circuits spécialisés (en volume de matière première) = 3,66 % (OléoProtéines - Terres Univia)</v>
      </c>
      <c r="O11" t="str">
        <v>Indicative</v>
      </c>
      <c r="P11">
        <v>0</v>
      </c>
      <c r="Q11">
        <v>0</v>
      </c>
    </row>
    <row r="12" spans="1:17">
      <c r="A12" t="str">
        <v>Produits alimentaires</v>
      </c>
      <c r="B12" t="str">
        <v>RHD</v>
      </c>
      <c r="E12" t="str">
        <v>kt</v>
      </c>
      <c r="F12" t="str">
        <v>Haricot sec</v>
      </c>
      <c r="G12" t="str">
        <v>2015-16:2019-20</v>
      </c>
      <c r="H12">
        <v>0</v>
      </c>
      <c r="I12" t="str">
        <v>Part de consommation de produits alimentaires par la RHD (en volume de matière première)</v>
      </c>
      <c r="J12" t="str">
        <v>Même répartition des circuits de distribution des produits alimentaires qu'en 2023</v>
      </c>
      <c r="K12" t="str">
        <v>OléoProtéines - Terres Univia</v>
      </c>
      <c r="L12" t="str">
        <v>Consommation - OléoProtéines</v>
      </c>
      <c r="M12" t="str">
        <v>Répartition</v>
      </c>
      <c r="N12" t="str">
        <v>Part de consommation de produits alimentaires par la RHD (en volume de matière première) = 14,09 % (OléoProtéines - Terres Univia)</v>
      </c>
      <c r="O12" t="str">
        <v>Indicative</v>
      </c>
      <c r="P12">
        <v>0</v>
      </c>
      <c r="Q12">
        <v>0</v>
      </c>
    </row>
    <row r="13" spans="1:17">
      <c r="A13" t="str">
        <v>Produits alimentaires</v>
      </c>
      <c r="B13" t="str">
        <v>Autres IAA</v>
      </c>
      <c r="E13" t="str">
        <v>kt</v>
      </c>
      <c r="F13" t="str">
        <v>Haricot sec</v>
      </c>
      <c r="G13" t="str">
        <v>2015-16:2019-20</v>
      </c>
      <c r="H13">
        <v>0</v>
      </c>
      <c r="I13" t="str">
        <v>Part de consommation de produits alimentaires par les autres IAA (en volume de matière première)</v>
      </c>
      <c r="J13" t="str">
        <v>Même répartition des circuits de distribution des produits alimentaires qu'en 2023</v>
      </c>
      <c r="K13" t="str">
        <v>OléoProtéines - Terres Univia</v>
      </c>
      <c r="L13" t="str">
        <v>Consommation - OléoProtéines</v>
      </c>
      <c r="M13" t="str">
        <v>Répartition</v>
      </c>
      <c r="N13" t="str">
        <v>Part de consommation de produits alimentaires par les autres IAA (en volume de matière première) = 9,15 % (OléoProtéines - Terres Univia)</v>
      </c>
      <c r="O13" t="str">
        <v>Indicative</v>
      </c>
      <c r="P13">
        <v>0</v>
      </c>
      <c r="Q13">
        <v>0</v>
      </c>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374EC-5EC7-474E-AED3-FA64989C3B15}">
  <dimension ref="B1:G21"/>
  <sheetViews>
    <sheetView workbookViewId="0">
      <selection activeCell="D6" sqref="D6"/>
    </sheetView>
  </sheetViews>
  <sheetFormatPr baseColWidth="10" defaultRowHeight="14.4"/>
  <cols>
    <col min="3" max="3" width="6" bestFit="1" customWidth="1"/>
    <col min="4" max="4" width="9.6640625" bestFit="1" customWidth="1"/>
    <col min="5" max="5" width="5" bestFit="1" customWidth="1"/>
    <col min="6" max="6" width="9.44140625" bestFit="1" customWidth="1"/>
    <col min="7" max="7" width="6" bestFit="1" customWidth="1"/>
  </cols>
  <sheetData>
    <row r="1" spans="2:7">
      <c r="C1" s="1068" t="s">
        <v>38</v>
      </c>
      <c r="D1" s="1068"/>
    </row>
    <row r="2" spans="2:7">
      <c r="B2" s="929">
        <v>2023</v>
      </c>
      <c r="C2" s="894" t="s">
        <v>10</v>
      </c>
      <c r="D2" s="894" t="s">
        <v>1211</v>
      </c>
      <c r="E2" s="894" t="s">
        <v>11</v>
      </c>
      <c r="F2" s="894" t="s">
        <v>41</v>
      </c>
      <c r="G2" s="930" t="s">
        <v>1212</v>
      </c>
    </row>
    <row r="3" spans="2:7">
      <c r="B3" t="s">
        <v>87</v>
      </c>
      <c r="C3" s="912">
        <f>SUMIFS('Consommation - OléoProtéines'!$P:$P,'Consommation - OléoProtéines'!$L:$L,$B3)</f>
        <v>2.1</v>
      </c>
      <c r="D3" s="912">
        <f>C3*'Consommation - OléoProtéines'!$P$2</f>
        <v>0.10500000000000001</v>
      </c>
      <c r="E3" s="912">
        <f>SUMIFS('Consommation - OléoProtéines'!$M:$M,'Consommation - OléoProtéines'!$L:$L,$B3)</f>
        <v>0.65</v>
      </c>
      <c r="F3" s="912">
        <f>SUMIFS('Consommation - OléoProtéines'!$T:$T,'Consommation - OléoProtéines'!$L:$L,$B3)</f>
        <v>1.524</v>
      </c>
      <c r="G3" s="931">
        <f>SUM(C3:F3)</f>
        <v>4.3789999999999996</v>
      </c>
    </row>
    <row r="4" spans="2:7">
      <c r="B4" t="s">
        <v>1194</v>
      </c>
      <c r="C4" s="928">
        <f>SUMIFS('Consommation - OléoProtéines'!$P:$P,'Consommation - OléoProtéines'!$L:$L,$B4)</f>
        <v>0</v>
      </c>
      <c r="D4" s="928">
        <f>C4*'Consommation - OléoProtéines'!$P$2</f>
        <v>0</v>
      </c>
      <c r="E4" s="928">
        <f>SUMIFS('Consommation - OléoProtéines'!$M:$M,'Consommation - OléoProtéines'!$L:$L,$B4)</f>
        <v>0</v>
      </c>
      <c r="F4" s="928">
        <f>SUMIFS('Consommation - OléoProtéines'!$T:$T,'Consommation - OléoProtéines'!$L:$L,$B4)</f>
        <v>0.19800000000000001</v>
      </c>
      <c r="G4" s="933">
        <f t="shared" ref="G4:G9" si="0">SUM(C4:F4)</f>
        <v>0.19800000000000001</v>
      </c>
    </row>
    <row r="5" spans="2:7">
      <c r="B5" t="s">
        <v>89</v>
      </c>
      <c r="C5" s="928">
        <f>SUMIFS('Consommation - OléoProtéines'!$P:$P,'Consommation - OléoProtéines'!$L:$L,$B5)</f>
        <v>0.5</v>
      </c>
      <c r="D5" s="928">
        <f>C5*'Consommation - OléoProtéines'!$P$2</f>
        <v>2.5000000000000001E-2</v>
      </c>
      <c r="E5" s="928">
        <f>SUMIFS('Consommation - OléoProtéines'!$M:$M,'Consommation - OléoProtéines'!$L:$L,$B5)</f>
        <v>0</v>
      </c>
      <c r="F5" s="928">
        <f>SUMIFS('Consommation - OléoProtéines'!$T:$T,'Consommation - OléoProtéines'!$L:$L,$B5)</f>
        <v>0</v>
      </c>
      <c r="G5" s="933">
        <f t="shared" si="0"/>
        <v>0.52500000000000002</v>
      </c>
    </row>
    <row r="6" spans="2:7">
      <c r="B6" t="s">
        <v>1044</v>
      </c>
      <c r="C6" s="912">
        <f>SUMIFS('Consommation - OléoProtéines'!$P:$P,'Consommation - OléoProtéines'!$L:$L,$B6)</f>
        <v>51.54</v>
      </c>
      <c r="D6" s="912">
        <f>C6*'Consommation - OléoProtéines'!$P$2</f>
        <v>2.577</v>
      </c>
      <c r="E6" s="912">
        <f>SUMIFS('Consommation - OléoProtéines'!$M:$M,'Consommation - OléoProtéines'!$L:$L,$B6)</f>
        <v>7.04</v>
      </c>
      <c r="F6" s="912">
        <f>SUMIFS('Consommation - OléoProtéines'!$T:$T,'Consommation - OléoProtéines'!$L:$L,$B6)</f>
        <v>3.4160000000000004</v>
      </c>
      <c r="G6" s="931">
        <f t="shared" si="0"/>
        <v>64.572999999999993</v>
      </c>
    </row>
    <row r="7" spans="2:7">
      <c r="B7" t="s">
        <v>127</v>
      </c>
      <c r="C7" s="912">
        <f>SUMIFS('Consommation - OléoProtéines'!$P:$P,'Consommation - OléoProtéines'!$L:$L,$B7)</f>
        <v>28</v>
      </c>
      <c r="D7" s="912">
        <f>C7*'Consommation - OléoProtéines'!$P$2</f>
        <v>1.4000000000000001</v>
      </c>
      <c r="E7" s="912">
        <f>SUMIFS('Consommation - OléoProtéines'!$M:$M,'Consommation - OléoProtéines'!$L:$L,$B7)</f>
        <v>4.6500000000000004</v>
      </c>
      <c r="F7" s="912">
        <f>SUMIFS('Consommation - OléoProtéines'!$T:$T,'Consommation - OléoProtéines'!$L:$L,$B7)</f>
        <v>3.0640000000000001</v>
      </c>
      <c r="G7" s="931">
        <f t="shared" si="0"/>
        <v>37.113999999999997</v>
      </c>
    </row>
    <row r="8" spans="2:7">
      <c r="B8" t="s">
        <v>1043</v>
      </c>
      <c r="C8" s="912">
        <f>SUMIFS('Consommation - OléoProtéines'!$P:$P,'Consommation - OléoProtéines'!$L:$L,$B8)</f>
        <v>55</v>
      </c>
      <c r="D8" s="912">
        <f>C8*'Consommation - OléoProtéines'!$P$2</f>
        <v>2.75</v>
      </c>
      <c r="E8" s="912">
        <f>SUMIFS('Consommation - OléoProtéines'!$M:$M,'Consommation - OléoProtéines'!$L:$L,$B8)</f>
        <v>10.6</v>
      </c>
      <c r="F8" s="912">
        <f>SUMIFS('Consommation - OléoProtéines'!$T:$T,'Consommation - OléoProtéines'!$L:$L,$B8)</f>
        <v>6.8840000000000003</v>
      </c>
      <c r="G8" s="931">
        <f t="shared" si="0"/>
        <v>75.233999999999995</v>
      </c>
    </row>
    <row r="9" spans="2:7">
      <c r="B9" t="s">
        <v>82</v>
      </c>
      <c r="C9" s="928">
        <f>SUMIFS('Consommation - OléoProtéines'!$P:$P,'Consommation - OléoProtéines'!$L:$L,$B9)</f>
        <v>0</v>
      </c>
      <c r="D9" s="928">
        <f>C9*'Consommation - OléoProtéines'!$P$2</f>
        <v>0</v>
      </c>
      <c r="E9" s="928">
        <f>SUMIFS('Consommation - OléoProtéines'!$M:$M,'Consommation - OléoProtéines'!$L:$L,$B9)</f>
        <v>0</v>
      </c>
      <c r="F9" s="928">
        <f>SUMIFS('Consommation - OléoProtéines'!$T:$T,'Consommation - OléoProtéines'!$L:$L,$B9)</f>
        <v>1.054</v>
      </c>
      <c r="G9" s="931">
        <f t="shared" si="0"/>
        <v>1.054</v>
      </c>
    </row>
    <row r="11" spans="2:7">
      <c r="B11" s="929">
        <v>2023</v>
      </c>
      <c r="C11" s="894" t="s">
        <v>10</v>
      </c>
      <c r="D11" s="894" t="s">
        <v>1211</v>
      </c>
      <c r="E11" s="894" t="s">
        <v>11</v>
      </c>
      <c r="F11" s="894" t="s">
        <v>41</v>
      </c>
      <c r="G11" s="930" t="s">
        <v>1212</v>
      </c>
    </row>
    <row r="12" spans="2:7">
      <c r="B12" t="s">
        <v>87</v>
      </c>
      <c r="C12" s="888">
        <f>C3/$G3</f>
        <v>0.47956154373144561</v>
      </c>
      <c r="D12" s="888">
        <f t="shared" ref="D12:G12" si="1">D3/$G3</f>
        <v>2.3978077186572282E-2</v>
      </c>
      <c r="E12" s="888">
        <f t="shared" si="1"/>
        <v>0.14843571591687602</v>
      </c>
      <c r="F12" s="888">
        <f t="shared" si="1"/>
        <v>0.34802466316510622</v>
      </c>
      <c r="G12" s="888">
        <f t="shared" si="1"/>
        <v>1</v>
      </c>
    </row>
    <row r="13" spans="2:7">
      <c r="B13" t="s">
        <v>1194</v>
      </c>
      <c r="C13" s="888">
        <f t="shared" ref="C13:G13" si="2">C4/$G4</f>
        <v>0</v>
      </c>
      <c r="D13" s="888">
        <f t="shared" si="2"/>
        <v>0</v>
      </c>
      <c r="E13" s="888">
        <f t="shared" si="2"/>
        <v>0</v>
      </c>
      <c r="F13" s="888">
        <f t="shared" si="2"/>
        <v>1</v>
      </c>
      <c r="G13" s="888">
        <f t="shared" si="2"/>
        <v>1</v>
      </c>
    </row>
    <row r="14" spans="2:7">
      <c r="B14" t="s">
        <v>89</v>
      </c>
      <c r="C14" s="888">
        <f t="shared" ref="C14:G14" si="3">C5/$G5</f>
        <v>0.95238095238095233</v>
      </c>
      <c r="D14" s="888">
        <f t="shared" si="3"/>
        <v>4.7619047619047616E-2</v>
      </c>
      <c r="E14" s="888">
        <f t="shared" si="3"/>
        <v>0</v>
      </c>
      <c r="F14" s="888">
        <f t="shared" si="3"/>
        <v>0</v>
      </c>
      <c r="G14" s="888">
        <f t="shared" si="3"/>
        <v>1</v>
      </c>
    </row>
    <row r="15" spans="2:7">
      <c r="B15" t="s">
        <v>1044</v>
      </c>
      <c r="C15" s="936">
        <f t="shared" ref="C15:G15" si="4">C6/$G6</f>
        <v>0.79816641630402807</v>
      </c>
      <c r="D15" s="936">
        <f t="shared" si="4"/>
        <v>3.9908320815201404E-2</v>
      </c>
      <c r="E15" s="936">
        <f t="shared" si="4"/>
        <v>0.10902389543617302</v>
      </c>
      <c r="F15" s="936">
        <f t="shared" si="4"/>
        <v>5.29013674445976E-2</v>
      </c>
      <c r="G15" s="888">
        <f t="shared" si="4"/>
        <v>1</v>
      </c>
    </row>
    <row r="16" spans="2:7">
      <c r="B16" t="s">
        <v>127</v>
      </c>
      <c r="C16" s="936">
        <f t="shared" ref="C16:G16" si="5">C7/$G7</f>
        <v>0.75443228970199927</v>
      </c>
      <c r="D16" s="936">
        <f t="shared" si="5"/>
        <v>3.7721614485099968E-2</v>
      </c>
      <c r="E16" s="936">
        <f t="shared" si="5"/>
        <v>0.12528964811122489</v>
      </c>
      <c r="F16" s="936">
        <f t="shared" si="5"/>
        <v>8.2556447701675931E-2</v>
      </c>
      <c r="G16" s="888">
        <f t="shared" si="5"/>
        <v>1</v>
      </c>
    </row>
    <row r="17" spans="2:7">
      <c r="B17" t="s">
        <v>1043</v>
      </c>
      <c r="C17" s="936">
        <f t="shared" ref="C17:G17" si="6">C8/$G8</f>
        <v>0.7310524496902997</v>
      </c>
      <c r="D17" s="936">
        <f t="shared" si="6"/>
        <v>3.6552622484514984E-2</v>
      </c>
      <c r="E17" s="936">
        <f t="shared" si="6"/>
        <v>0.1408937448494032</v>
      </c>
      <c r="F17" s="936">
        <f t="shared" si="6"/>
        <v>9.1501182975782233E-2</v>
      </c>
      <c r="G17" s="888">
        <f t="shared" si="6"/>
        <v>1</v>
      </c>
    </row>
    <row r="18" spans="2:7">
      <c r="B18" t="s">
        <v>82</v>
      </c>
      <c r="C18" s="888">
        <f t="shared" ref="C18:G18" si="7">C9/$G9</f>
        <v>0</v>
      </c>
      <c r="D18" s="888">
        <f t="shared" si="7"/>
        <v>0</v>
      </c>
      <c r="E18" s="888">
        <f t="shared" si="7"/>
        <v>0</v>
      </c>
      <c r="F18" s="888">
        <f t="shared" si="7"/>
        <v>1</v>
      </c>
      <c r="G18" s="888">
        <f t="shared" si="7"/>
        <v>1</v>
      </c>
    </row>
    <row r="20" spans="2:7">
      <c r="B20" t="s">
        <v>1213</v>
      </c>
    </row>
    <row r="21" spans="2:7">
      <c r="B21" s="894" t="s">
        <v>1214</v>
      </c>
    </row>
  </sheetData>
  <mergeCells count="1">
    <mergeCell ref="C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618C8-D217-4CA3-8074-87E5D1E37A25}">
  <sheetPr>
    <tabColor rgb="FF0070C0"/>
  </sheetPr>
  <dimension ref="A1:D49"/>
  <sheetViews>
    <sheetView workbookViewId="0">
      <pane xSplit="2" ySplit="1" topLeftCell="C11" activePane="bottomRight" state="frozen"/>
      <selection activeCell="B30" sqref="B30"/>
      <selection pane="topRight" activeCell="B30" sqref="B30"/>
      <selection pane="bottomLeft" activeCell="B30" sqref="B30"/>
      <selection pane="bottomRight" activeCell="B49" sqref="B49"/>
    </sheetView>
  </sheetViews>
  <sheetFormatPr baseColWidth="10" defaultColWidth="9.109375" defaultRowHeight="14.4"/>
  <cols>
    <col min="1" max="1" width="16.6640625" style="10" customWidth="1"/>
    <col min="2" max="2" width="39.88671875" bestFit="1" customWidth="1"/>
    <col min="3" max="3" width="18.5546875" style="10" customWidth="1"/>
  </cols>
  <sheetData>
    <row r="1" spans="1:4" ht="38.4" thickBot="1">
      <c r="A1" s="1" t="s">
        <v>0</v>
      </c>
      <c r="B1" s="2" t="s">
        <v>6</v>
      </c>
      <c r="C1" s="2" t="s">
        <v>2</v>
      </c>
    </row>
    <row r="2" spans="1:4" s="5" customFormat="1">
      <c r="A2" s="3">
        <v>1</v>
      </c>
      <c r="B2" s="5" t="s">
        <v>722</v>
      </c>
      <c r="C2" s="3">
        <v>0</v>
      </c>
      <c r="D2" s="4"/>
    </row>
    <row r="3" spans="1:4" s="8" customFormat="1">
      <c r="A3" s="6">
        <v>1</v>
      </c>
      <c r="B3" s="7" t="s">
        <v>723</v>
      </c>
      <c r="C3" s="6">
        <v>1</v>
      </c>
      <c r="D3" s="9"/>
    </row>
    <row r="4" spans="1:4" s="8" customFormat="1">
      <c r="A4" s="6">
        <v>1</v>
      </c>
      <c r="B4" s="8" t="s">
        <v>724</v>
      </c>
      <c r="C4" s="6">
        <v>1</v>
      </c>
      <c r="D4" s="9"/>
    </row>
    <row r="5" spans="1:4" s="14" customFormat="1">
      <c r="A5" s="13">
        <v>1</v>
      </c>
      <c r="B5" s="32" t="s">
        <v>861</v>
      </c>
      <c r="C5" s="13">
        <v>1</v>
      </c>
      <c r="D5" s="15"/>
    </row>
    <row r="6" spans="1:4" s="14" customFormat="1">
      <c r="A6" s="13">
        <v>1</v>
      </c>
      <c r="B6" s="32" t="s">
        <v>1129</v>
      </c>
      <c r="C6" s="13">
        <v>1</v>
      </c>
      <c r="D6" s="15"/>
    </row>
    <row r="7" spans="1:4" s="14" customFormat="1">
      <c r="A7" s="13">
        <v>1</v>
      </c>
      <c r="B7" s="32" t="s">
        <v>1130</v>
      </c>
      <c r="C7" s="13">
        <v>1</v>
      </c>
      <c r="D7" s="15"/>
    </row>
    <row r="8" spans="1:4" s="14" customFormat="1">
      <c r="A8" s="13">
        <v>1</v>
      </c>
      <c r="B8" s="32" t="s">
        <v>1217</v>
      </c>
      <c r="C8" s="13">
        <v>1</v>
      </c>
      <c r="D8" s="15"/>
    </row>
    <row r="9" spans="1:4" s="14" customFormat="1">
      <c r="A9" s="13">
        <v>1</v>
      </c>
      <c r="B9" s="32" t="s">
        <v>1250</v>
      </c>
      <c r="C9" s="13">
        <v>1</v>
      </c>
      <c r="D9" s="15"/>
    </row>
    <row r="10" spans="1:4" s="14" customFormat="1">
      <c r="A10" s="13">
        <v>1</v>
      </c>
      <c r="B10" s="32" t="s">
        <v>728</v>
      </c>
      <c r="C10" s="13">
        <v>1</v>
      </c>
      <c r="D10" s="15"/>
    </row>
    <row r="11" spans="1:4" s="14" customFormat="1">
      <c r="A11" s="13">
        <v>1</v>
      </c>
      <c r="B11" s="32" t="s">
        <v>1252</v>
      </c>
      <c r="C11" s="13">
        <v>1</v>
      </c>
      <c r="D11" s="15"/>
    </row>
    <row r="12" spans="1:4" s="30" customFormat="1">
      <c r="A12" s="28">
        <v>1</v>
      </c>
      <c r="B12" s="29" t="s">
        <v>7</v>
      </c>
      <c r="C12" s="28">
        <v>0</v>
      </c>
      <c r="D12" s="35"/>
    </row>
    <row r="13" spans="1:4" s="30" customFormat="1">
      <c r="A13" s="28">
        <v>2</v>
      </c>
      <c r="B13" s="29" t="s">
        <v>36</v>
      </c>
      <c r="C13" s="28">
        <v>0</v>
      </c>
      <c r="D13" s="35"/>
    </row>
    <row r="14" spans="1:4" s="30" customFormat="1">
      <c r="A14" s="28">
        <v>3</v>
      </c>
      <c r="B14" s="29" t="s">
        <v>8</v>
      </c>
      <c r="C14" s="28">
        <v>0</v>
      </c>
      <c r="D14" s="35"/>
    </row>
    <row r="15" spans="1:4" s="30" customFormat="1">
      <c r="A15" s="28">
        <v>4</v>
      </c>
      <c r="B15" s="29" t="s">
        <v>9</v>
      </c>
      <c r="C15" s="28">
        <v>0</v>
      </c>
      <c r="D15" s="35"/>
    </row>
    <row r="16" spans="1:4" s="30" customFormat="1">
      <c r="A16" s="28">
        <v>4</v>
      </c>
      <c r="B16" s="29" t="s">
        <v>38</v>
      </c>
      <c r="C16" s="28">
        <v>0</v>
      </c>
      <c r="D16" s="35"/>
    </row>
    <row r="17" spans="1:4" s="30" customFormat="1">
      <c r="A17" s="28">
        <v>5</v>
      </c>
      <c r="B17" s="29" t="s">
        <v>40</v>
      </c>
      <c r="C17" s="28">
        <v>0</v>
      </c>
      <c r="D17" s="35"/>
    </row>
    <row r="18" spans="1:4" s="30" customFormat="1">
      <c r="A18" s="28">
        <v>5</v>
      </c>
      <c r="B18" s="29" t="s">
        <v>39</v>
      </c>
      <c r="C18" s="28">
        <v>0</v>
      </c>
      <c r="D18" s="35"/>
    </row>
    <row r="19" spans="1:4" s="30" customFormat="1">
      <c r="A19" s="28">
        <v>6</v>
      </c>
      <c r="B19" s="29" t="s">
        <v>10</v>
      </c>
      <c r="C19" s="28">
        <v>0</v>
      </c>
      <c r="D19" s="35"/>
    </row>
    <row r="20" spans="1:4" s="30" customFormat="1">
      <c r="A20" s="28">
        <v>4</v>
      </c>
      <c r="B20" s="29" t="s">
        <v>11</v>
      </c>
      <c r="C20" s="28">
        <v>0</v>
      </c>
      <c r="D20" s="35"/>
    </row>
    <row r="21" spans="1:4" s="30" customFormat="1">
      <c r="A21" s="28">
        <v>4</v>
      </c>
      <c r="B21" s="30" t="s">
        <v>41</v>
      </c>
      <c r="C21" s="28">
        <v>0</v>
      </c>
      <c r="D21" s="35"/>
    </row>
    <row r="22" spans="1:4" s="30" customFormat="1">
      <c r="A22" s="28">
        <v>3</v>
      </c>
      <c r="B22" s="29" t="s">
        <v>37</v>
      </c>
      <c r="C22" s="28">
        <v>0</v>
      </c>
      <c r="D22" s="35"/>
    </row>
    <row r="23" spans="1:4" s="30" customFormat="1">
      <c r="A23" s="28">
        <v>4</v>
      </c>
      <c r="B23" s="29" t="s">
        <v>42</v>
      </c>
      <c r="C23" s="28">
        <v>0</v>
      </c>
      <c r="D23" s="35"/>
    </row>
    <row r="24" spans="1:4" s="30" customFormat="1">
      <c r="A24" s="28">
        <v>5</v>
      </c>
      <c r="B24" s="29" t="s">
        <v>729</v>
      </c>
      <c r="C24" s="28">
        <v>0</v>
      </c>
      <c r="D24" s="35"/>
    </row>
    <row r="25" spans="1:4" s="30" customFormat="1">
      <c r="A25" s="28">
        <v>5</v>
      </c>
      <c r="B25" s="29" t="s">
        <v>730</v>
      </c>
      <c r="C25" s="28">
        <v>0</v>
      </c>
      <c r="D25" s="35"/>
    </row>
    <row r="26" spans="1:4" s="30" customFormat="1">
      <c r="A26" s="28">
        <v>6</v>
      </c>
      <c r="B26" s="29" t="s">
        <v>731</v>
      </c>
      <c r="C26" s="28">
        <v>0</v>
      </c>
      <c r="D26" s="35"/>
    </row>
    <row r="27" spans="1:4" s="30" customFormat="1">
      <c r="A27" s="28">
        <v>6</v>
      </c>
      <c r="B27" s="29" t="s">
        <v>732</v>
      </c>
      <c r="C27" s="28">
        <v>0</v>
      </c>
      <c r="D27" s="35"/>
    </row>
    <row r="28" spans="1:4" s="30" customFormat="1">
      <c r="A28" s="28">
        <v>4</v>
      </c>
      <c r="B28" s="29" t="s">
        <v>43</v>
      </c>
      <c r="C28" s="28">
        <v>0</v>
      </c>
      <c r="D28" s="35"/>
    </row>
    <row r="29" spans="1:4" s="30" customFormat="1">
      <c r="A29" s="28">
        <v>4</v>
      </c>
      <c r="B29" s="29" t="s">
        <v>44</v>
      </c>
      <c r="C29" s="28">
        <v>0</v>
      </c>
      <c r="D29" s="35"/>
    </row>
    <row r="30" spans="1:4" s="30" customFormat="1">
      <c r="A30" s="28">
        <v>2</v>
      </c>
      <c r="B30" s="29" t="s">
        <v>45</v>
      </c>
      <c r="C30" s="28">
        <v>0</v>
      </c>
      <c r="D30" s="35"/>
    </row>
    <row r="31" spans="1:4" s="30" customFormat="1">
      <c r="A31" s="28">
        <v>3</v>
      </c>
      <c r="B31" s="29" t="s">
        <v>46</v>
      </c>
      <c r="C31" s="28">
        <v>0</v>
      </c>
      <c r="D31" s="35"/>
    </row>
    <row r="32" spans="1:4" s="30" customFormat="1">
      <c r="A32" s="28">
        <v>4</v>
      </c>
      <c r="B32" s="29" t="s">
        <v>733</v>
      </c>
      <c r="C32" s="28">
        <v>0</v>
      </c>
      <c r="D32" s="35"/>
    </row>
    <row r="33" spans="1:4" s="30" customFormat="1">
      <c r="A33" s="28">
        <v>4</v>
      </c>
      <c r="B33" s="29" t="s">
        <v>734</v>
      </c>
      <c r="C33" s="28">
        <v>0</v>
      </c>
      <c r="D33" s="35"/>
    </row>
    <row r="34" spans="1:4" s="30" customFormat="1">
      <c r="A34" s="28">
        <v>3</v>
      </c>
      <c r="B34" s="29" t="s">
        <v>47</v>
      </c>
      <c r="C34" s="28">
        <v>0</v>
      </c>
      <c r="D34" s="35"/>
    </row>
    <row r="35" spans="1:4" s="30" customFormat="1">
      <c r="A35" s="28">
        <v>4</v>
      </c>
      <c r="B35" s="29" t="s">
        <v>735</v>
      </c>
      <c r="C35" s="28">
        <v>0</v>
      </c>
      <c r="D35" s="35"/>
    </row>
    <row r="36" spans="1:4" s="30" customFormat="1">
      <c r="A36" s="28">
        <v>4</v>
      </c>
      <c r="B36" s="29" t="s">
        <v>736</v>
      </c>
      <c r="C36" s="28">
        <v>0</v>
      </c>
      <c r="D36" s="35"/>
    </row>
    <row r="37" spans="1:4" s="30" customFormat="1">
      <c r="A37" s="28">
        <v>4</v>
      </c>
      <c r="B37" s="29" t="s">
        <v>737</v>
      </c>
      <c r="C37" s="28">
        <v>0</v>
      </c>
      <c r="D37" s="35"/>
    </row>
    <row r="38" spans="1:4" s="30" customFormat="1">
      <c r="A38" s="28">
        <v>3</v>
      </c>
      <c r="B38" s="29" t="s">
        <v>48</v>
      </c>
      <c r="C38" s="28">
        <v>0</v>
      </c>
      <c r="D38" s="35"/>
    </row>
    <row r="39" spans="1:4" s="30" customFormat="1">
      <c r="A39" s="28">
        <v>4</v>
      </c>
      <c r="B39" s="29" t="s">
        <v>738</v>
      </c>
      <c r="C39" s="28">
        <v>0</v>
      </c>
      <c r="D39" s="35"/>
    </row>
    <row r="40" spans="1:4" s="30" customFormat="1">
      <c r="A40" s="28">
        <v>4</v>
      </c>
      <c r="B40" s="29" t="s">
        <v>739</v>
      </c>
      <c r="C40" s="28">
        <v>0</v>
      </c>
      <c r="D40" s="35"/>
    </row>
    <row r="41" spans="1:4" s="30" customFormat="1">
      <c r="A41" s="28">
        <v>3</v>
      </c>
      <c r="B41" s="29" t="s">
        <v>49</v>
      </c>
      <c r="C41" s="28">
        <v>0</v>
      </c>
      <c r="D41" s="35"/>
    </row>
    <row r="42" spans="1:4" s="30" customFormat="1">
      <c r="A42" s="28">
        <v>3</v>
      </c>
      <c r="B42" s="30" t="s">
        <v>725</v>
      </c>
      <c r="C42" s="28">
        <v>0</v>
      </c>
      <c r="D42" s="35"/>
    </row>
    <row r="43" spans="1:4" s="30" customFormat="1">
      <c r="A43" s="28">
        <v>4</v>
      </c>
      <c r="B43" s="30" t="s">
        <v>726</v>
      </c>
      <c r="C43" s="28">
        <v>0</v>
      </c>
      <c r="D43" s="35"/>
    </row>
    <row r="44" spans="1:4" s="30" customFormat="1">
      <c r="A44" s="28">
        <v>4</v>
      </c>
      <c r="B44" s="30" t="s">
        <v>727</v>
      </c>
      <c r="C44" s="28">
        <v>0</v>
      </c>
      <c r="D44" s="35"/>
    </row>
    <row r="45" spans="1:4">
      <c r="A45" s="10">
        <v>1</v>
      </c>
      <c r="B45" s="66" t="s">
        <v>778</v>
      </c>
      <c r="C45" s="10">
        <v>0</v>
      </c>
    </row>
    <row r="46" spans="1:4">
      <c r="A46" s="10">
        <v>1</v>
      </c>
      <c r="B46" s="66" t="s">
        <v>789</v>
      </c>
      <c r="C46" s="10">
        <v>0</v>
      </c>
    </row>
    <row r="47" spans="1:4">
      <c r="A47" s="10">
        <v>1</v>
      </c>
      <c r="B47" t="s">
        <v>740</v>
      </c>
      <c r="C47" s="10">
        <v>0</v>
      </c>
    </row>
    <row r="48" spans="1:4">
      <c r="A48" s="10">
        <v>1</v>
      </c>
      <c r="B48" t="s">
        <v>1478</v>
      </c>
      <c r="C48" s="10">
        <v>0</v>
      </c>
    </row>
    <row r="49" spans="1:3">
      <c r="A49" s="10">
        <v>1</v>
      </c>
      <c r="B49" t="s">
        <v>1479</v>
      </c>
      <c r="C49" s="10">
        <v>0</v>
      </c>
    </row>
  </sheetData>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8F378-1C49-4FD4-8930-EE5D0B96F305}">
  <sheetPr>
    <tabColor rgb="FFFFC000"/>
  </sheetPr>
  <dimension ref="A1:AA390"/>
  <sheetViews>
    <sheetView workbookViewId="0">
      <selection activeCell="W13" sqref="W13"/>
    </sheetView>
  </sheetViews>
  <sheetFormatPr baseColWidth="10" defaultRowHeight="14.4"/>
  <cols>
    <col min="22" max="22" width="28.21875" customWidth="1"/>
    <col min="23" max="23" width="12.88671875" customWidth="1"/>
    <col min="24" max="24" width="17.44140625" customWidth="1"/>
    <col min="25" max="25" width="22.88671875" customWidth="1"/>
  </cols>
  <sheetData>
    <row r="1" spans="1:27">
      <c r="A1" t="s">
        <v>659</v>
      </c>
      <c r="P1" s="1068" t="s">
        <v>1193</v>
      </c>
      <c r="Q1" s="1068"/>
      <c r="R1" t="s">
        <v>1209</v>
      </c>
      <c r="S1" t="s">
        <v>1206</v>
      </c>
      <c r="T1" t="s">
        <v>1207</v>
      </c>
    </row>
    <row r="2" spans="1:27">
      <c r="P2" s="1079">
        <v>0.05</v>
      </c>
      <c r="Q2" s="1079"/>
      <c r="S2" s="22">
        <v>0.1</v>
      </c>
      <c r="T2" s="22">
        <v>0.2</v>
      </c>
    </row>
    <row r="3" spans="1:27">
      <c r="M3" s="1080" t="s">
        <v>11</v>
      </c>
      <c r="N3" s="1080"/>
      <c r="O3" s="1080"/>
      <c r="P3" s="1080" t="s">
        <v>10</v>
      </c>
      <c r="Q3" s="1080"/>
      <c r="R3" s="1080" t="s">
        <v>41</v>
      </c>
      <c r="S3" s="1080"/>
      <c r="T3" s="1080"/>
      <c r="W3" t="s">
        <v>1381</v>
      </c>
    </row>
    <row r="4" spans="1:27">
      <c r="L4" t="s">
        <v>1108</v>
      </c>
      <c r="M4" s="862">
        <v>2023</v>
      </c>
      <c r="N4" s="862" t="s">
        <v>1183</v>
      </c>
      <c r="O4" s="862">
        <v>2019</v>
      </c>
      <c r="P4" s="862">
        <v>2023</v>
      </c>
      <c r="Q4" s="862">
        <v>2019</v>
      </c>
      <c r="R4" s="862" t="s">
        <v>1205</v>
      </c>
      <c r="S4" s="862" t="s">
        <v>1204</v>
      </c>
      <c r="T4" s="862" t="s">
        <v>1208</v>
      </c>
      <c r="V4" s="894" t="s">
        <v>1388</v>
      </c>
      <c r="W4" s="862" t="s">
        <v>1385</v>
      </c>
      <c r="X4" s="959" t="s">
        <v>1382</v>
      </c>
      <c r="Y4" s="959" t="s">
        <v>1383</v>
      </c>
      <c r="Z4" s="862" t="s">
        <v>1386</v>
      </c>
    </row>
    <row r="5" spans="1:27">
      <c r="K5" s="1027" t="s">
        <v>1182</v>
      </c>
      <c r="L5" t="s">
        <v>87</v>
      </c>
      <c r="M5" s="912">
        <v>0.6</v>
      </c>
      <c r="N5" s="22">
        <v>0.04</v>
      </c>
      <c r="O5" s="927">
        <f>M5/(1+N5)</f>
        <v>0.57692307692307687</v>
      </c>
      <c r="P5" s="912">
        <v>2</v>
      </c>
      <c r="Q5" s="912">
        <v>2</v>
      </c>
      <c r="V5" s="6" t="s">
        <v>11</v>
      </c>
      <c r="X5" s="6">
        <f>X6+X7+X8</f>
        <v>7.04</v>
      </c>
      <c r="Y5" s="6">
        <f>Y6+Y7</f>
        <v>4.9370000000000003</v>
      </c>
    </row>
    <row r="6" spans="1:27">
      <c r="K6" s="1027"/>
      <c r="L6" t="s">
        <v>1044</v>
      </c>
      <c r="M6" s="912">
        <v>3</v>
      </c>
      <c r="N6" s="22">
        <v>-0.13</v>
      </c>
      <c r="O6" s="927">
        <f t="shared" ref="O6:O8" si="0">M6/(1+N6)</f>
        <v>3.4482758620689657</v>
      </c>
      <c r="P6" s="912">
        <v>15</v>
      </c>
      <c r="Q6" s="912">
        <v>15</v>
      </c>
      <c r="V6" t="s">
        <v>1182</v>
      </c>
      <c r="X6" s="10">
        <v>3</v>
      </c>
      <c r="Y6" s="10">
        <v>2.9940000000000002</v>
      </c>
    </row>
    <row r="7" spans="1:27">
      <c r="K7" s="1027"/>
      <c r="L7" t="s">
        <v>127</v>
      </c>
      <c r="M7" s="912">
        <v>0.2</v>
      </c>
      <c r="N7" s="22">
        <v>0.22</v>
      </c>
      <c r="O7" s="927">
        <f t="shared" si="0"/>
        <v>0.16393442622950821</v>
      </c>
      <c r="P7" s="912">
        <v>3</v>
      </c>
      <c r="Q7" s="912">
        <v>3</v>
      </c>
      <c r="V7" t="s">
        <v>1184</v>
      </c>
      <c r="X7" s="10">
        <v>3.9</v>
      </c>
      <c r="Y7" s="10">
        <v>1.9430000000000001</v>
      </c>
      <c r="Z7" s="937" t="s">
        <v>1384</v>
      </c>
      <c r="AA7" t="s">
        <v>1390</v>
      </c>
    </row>
    <row r="8" spans="1:27">
      <c r="K8" s="1027"/>
      <c r="L8" t="s">
        <v>1043</v>
      </c>
      <c r="M8" s="912">
        <v>1.1000000000000001</v>
      </c>
      <c r="N8" s="22">
        <v>0.04</v>
      </c>
      <c r="O8" s="927">
        <f t="shared" si="0"/>
        <v>1.0576923076923077</v>
      </c>
      <c r="P8" s="912">
        <v>4</v>
      </c>
      <c r="Q8" t="s">
        <v>1191</v>
      </c>
      <c r="V8" t="s">
        <v>1185</v>
      </c>
      <c r="X8" s="10">
        <v>0.14000000000000001</v>
      </c>
      <c r="Y8" s="10" t="s">
        <v>1387</v>
      </c>
    </row>
    <row r="9" spans="1:27">
      <c r="K9" s="1027" t="s">
        <v>1184</v>
      </c>
      <c r="L9" t="s">
        <v>1044</v>
      </c>
      <c r="M9" s="912">
        <v>3.9</v>
      </c>
      <c r="N9" s="22">
        <v>0.94</v>
      </c>
      <c r="O9" s="927">
        <f>M9/(1+N9)</f>
        <v>2.0103092783505154</v>
      </c>
      <c r="P9" s="912">
        <v>35</v>
      </c>
      <c r="Q9" s="912">
        <v>25</v>
      </c>
      <c r="V9" s="6" t="s">
        <v>10</v>
      </c>
      <c r="X9" s="6">
        <f>X10+X11+X12</f>
        <v>51.54</v>
      </c>
      <c r="Y9" s="6">
        <f>Y10+Y11</f>
        <v>32.958999999999996</v>
      </c>
    </row>
    <row r="10" spans="1:27">
      <c r="K10" s="1027"/>
      <c r="L10" t="s">
        <v>127</v>
      </c>
      <c r="M10" s="912">
        <v>4.4000000000000004</v>
      </c>
      <c r="N10" s="22">
        <v>0.22</v>
      </c>
      <c r="O10" s="927">
        <f t="shared" ref="O10:O21" si="1">M10/(1+N10)</f>
        <v>3.6065573770491808</v>
      </c>
      <c r="P10" s="912">
        <v>25</v>
      </c>
      <c r="Q10" s="912">
        <v>18</v>
      </c>
      <c r="V10" t="s">
        <v>1182</v>
      </c>
      <c r="X10" s="10">
        <v>15</v>
      </c>
      <c r="Y10" s="10">
        <v>15.222</v>
      </c>
    </row>
    <row r="11" spans="1:27">
      <c r="K11" s="1027"/>
      <c r="L11" t="s">
        <v>1043</v>
      </c>
      <c r="M11" s="912">
        <v>8.6999999999999993</v>
      </c>
      <c r="N11" s="22">
        <v>-0.04</v>
      </c>
      <c r="O11" s="927">
        <f t="shared" si="1"/>
        <v>9.0625</v>
      </c>
      <c r="P11" s="912">
        <v>51</v>
      </c>
      <c r="Q11" t="s">
        <v>1191</v>
      </c>
      <c r="V11" t="s">
        <v>1184</v>
      </c>
      <c r="X11" s="10">
        <v>35</v>
      </c>
      <c r="Y11" s="10">
        <v>17.736999999999998</v>
      </c>
      <c r="Z11" s="937" t="s">
        <v>1389</v>
      </c>
      <c r="AA11" t="s">
        <v>1390</v>
      </c>
    </row>
    <row r="12" spans="1:27">
      <c r="K12" s="1027"/>
      <c r="L12" t="s">
        <v>87</v>
      </c>
      <c r="M12" s="1027">
        <v>0.05</v>
      </c>
      <c r="N12" s="1082">
        <v>0.61</v>
      </c>
      <c r="O12" s="1081">
        <f>M12/(1+N12)</f>
        <v>3.1055900621118016E-2</v>
      </c>
      <c r="P12" s="912">
        <v>0.1</v>
      </c>
      <c r="Q12">
        <v>0</v>
      </c>
      <c r="V12" t="s">
        <v>1203</v>
      </c>
      <c r="X12" s="10">
        <f>2.8*0.55</f>
        <v>1.54</v>
      </c>
      <c r="Y12" s="10" t="s">
        <v>1387</v>
      </c>
    </row>
    <row r="13" spans="1:27">
      <c r="K13" s="1027"/>
      <c r="L13" t="s">
        <v>89</v>
      </c>
      <c r="M13" s="1027"/>
      <c r="N13" s="1082"/>
      <c r="O13" s="1081"/>
      <c r="P13" s="912">
        <v>0.5</v>
      </c>
      <c r="Q13">
        <v>0</v>
      </c>
      <c r="V13" s="6" t="s">
        <v>40</v>
      </c>
      <c r="W13" s="937" t="s">
        <v>1398</v>
      </c>
      <c r="X13" s="6">
        <f>X9*0.05</f>
        <v>2.577</v>
      </c>
      <c r="Y13" s="6" t="s">
        <v>1387</v>
      </c>
      <c r="Z13" t="s">
        <v>1399</v>
      </c>
    </row>
    <row r="14" spans="1:27">
      <c r="K14" s="1027" t="s">
        <v>1185</v>
      </c>
      <c r="L14" t="s">
        <v>1044</v>
      </c>
      <c r="M14" s="912">
        <v>0.14000000000000001</v>
      </c>
      <c r="N14" s="22">
        <v>5</v>
      </c>
      <c r="O14" s="927">
        <f t="shared" si="1"/>
        <v>2.3333333333333334E-2</v>
      </c>
      <c r="V14" s="6" t="s">
        <v>1391</v>
      </c>
      <c r="X14" s="6">
        <f>SUM(X15:X21)</f>
        <v>3.4160000000000004</v>
      </c>
      <c r="Y14" s="6" t="s">
        <v>1387</v>
      </c>
    </row>
    <row r="15" spans="1:27">
      <c r="K15" s="1027"/>
      <c r="L15" t="s">
        <v>127</v>
      </c>
      <c r="M15" s="912">
        <v>0.05</v>
      </c>
      <c r="N15" s="22">
        <v>5</v>
      </c>
      <c r="O15" s="927">
        <f t="shared" si="1"/>
        <v>8.3333333333333332E-3</v>
      </c>
      <c r="V15" t="s">
        <v>1195</v>
      </c>
      <c r="W15" s="937" t="s">
        <v>1392</v>
      </c>
      <c r="X15" s="10">
        <f>T24</f>
        <v>2.7</v>
      </c>
      <c r="Y15" s="10" t="s">
        <v>1387</v>
      </c>
      <c r="Z15" t="s">
        <v>1400</v>
      </c>
    </row>
    <row r="16" spans="1:27">
      <c r="K16" s="1027"/>
      <c r="L16" t="s">
        <v>1043</v>
      </c>
      <c r="M16" s="912">
        <v>0.8</v>
      </c>
      <c r="N16" s="22">
        <v>-0.06</v>
      </c>
      <c r="O16" s="927">
        <f t="shared" si="1"/>
        <v>0.85106382978723416</v>
      </c>
      <c r="V16" t="s">
        <v>1196</v>
      </c>
      <c r="W16" s="937" t="s">
        <v>1393</v>
      </c>
      <c r="X16" s="10">
        <f>T30</f>
        <v>0.45999999999999996</v>
      </c>
      <c r="Y16" s="10" t="s">
        <v>1387</v>
      </c>
      <c r="Z16" t="s">
        <v>1400</v>
      </c>
    </row>
    <row r="17" spans="1:26">
      <c r="K17" s="1027"/>
      <c r="L17" t="s">
        <v>946</v>
      </c>
      <c r="M17" s="912">
        <v>0.47</v>
      </c>
      <c r="N17" s="22">
        <v>-0.16</v>
      </c>
      <c r="O17" s="927">
        <f t="shared" si="1"/>
        <v>0.55952380952380953</v>
      </c>
      <c r="V17" t="s">
        <v>1197</v>
      </c>
      <c r="W17" s="937" t="s">
        <v>1394</v>
      </c>
      <c r="X17" s="10">
        <f>T36</f>
        <v>3.5999999999999997E-2</v>
      </c>
      <c r="Y17" s="10" t="s">
        <v>1387</v>
      </c>
      <c r="Z17" t="s">
        <v>1400</v>
      </c>
    </row>
    <row r="18" spans="1:26" ht="14.4" customHeight="1">
      <c r="K18" s="1027" t="s">
        <v>1186</v>
      </c>
      <c r="L18" t="s">
        <v>1187</v>
      </c>
      <c r="M18">
        <v>0.3</v>
      </c>
      <c r="N18" s="22">
        <v>0</v>
      </c>
      <c r="O18" s="918">
        <f t="shared" si="1"/>
        <v>0.3</v>
      </c>
      <c r="P18">
        <v>25</v>
      </c>
      <c r="V18" t="s">
        <v>1198</v>
      </c>
      <c r="W18" s="937" t="s">
        <v>1395</v>
      </c>
      <c r="X18" s="10">
        <f>T41</f>
        <v>4.8000000000000001E-2</v>
      </c>
      <c r="Y18" s="10" t="s">
        <v>1387</v>
      </c>
      <c r="Z18" t="s">
        <v>1400</v>
      </c>
    </row>
    <row r="19" spans="1:26">
      <c r="K19" s="1027"/>
      <c r="L19" t="s">
        <v>1188</v>
      </c>
      <c r="M19">
        <v>0.2</v>
      </c>
      <c r="N19" s="22">
        <v>0</v>
      </c>
      <c r="O19" s="918">
        <f t="shared" si="1"/>
        <v>0.2</v>
      </c>
      <c r="P19">
        <v>23</v>
      </c>
      <c r="V19" t="s">
        <v>1199</v>
      </c>
      <c r="W19" s="937" t="s">
        <v>1394</v>
      </c>
      <c r="X19" s="10">
        <f>T46</f>
        <v>3.5999999999999997E-2</v>
      </c>
      <c r="Y19" s="10" t="s">
        <v>1387</v>
      </c>
      <c r="Z19" t="s">
        <v>1400</v>
      </c>
    </row>
    <row r="20" spans="1:26">
      <c r="K20" s="1027"/>
      <c r="L20" t="s">
        <v>1192</v>
      </c>
      <c r="M20">
        <v>0</v>
      </c>
      <c r="N20" s="22">
        <v>0</v>
      </c>
      <c r="O20" s="918">
        <f t="shared" si="1"/>
        <v>0</v>
      </c>
      <c r="P20">
        <v>4</v>
      </c>
      <c r="V20" t="s">
        <v>1200</v>
      </c>
      <c r="W20" s="937" t="s">
        <v>1396</v>
      </c>
      <c r="X20" s="10">
        <f>T50</f>
        <v>0.10400000000000001</v>
      </c>
      <c r="Y20" s="10" t="s">
        <v>1387</v>
      </c>
      <c r="Z20" t="s">
        <v>1400</v>
      </c>
    </row>
    <row r="21" spans="1:26">
      <c r="K21" t="s">
        <v>1189</v>
      </c>
      <c r="L21" t="s">
        <v>1190</v>
      </c>
      <c r="M21">
        <f>4.8*0.15</f>
        <v>0.72</v>
      </c>
      <c r="N21" s="22">
        <v>1.7</v>
      </c>
      <c r="O21" s="918">
        <f t="shared" si="1"/>
        <v>0.26666666666666666</v>
      </c>
      <c r="V21" t="s">
        <v>1201</v>
      </c>
      <c r="W21" s="937" t="s">
        <v>1397</v>
      </c>
      <c r="X21" s="10">
        <f>T54</f>
        <v>3.2000000000000001E-2</v>
      </c>
      <c r="Y21" s="10" t="s">
        <v>1387</v>
      </c>
      <c r="Z21" t="s">
        <v>1400</v>
      </c>
    </row>
    <row r="22" spans="1:26">
      <c r="K22" s="1027" t="s">
        <v>1195</v>
      </c>
      <c r="L22" t="s">
        <v>87</v>
      </c>
      <c r="R22">
        <f>0.1</f>
        <v>0.1</v>
      </c>
      <c r="S22">
        <f>R22*$S$2</f>
        <v>1.0000000000000002E-2</v>
      </c>
      <c r="T22" s="912">
        <f>R22*$T$2</f>
        <v>2.0000000000000004E-2</v>
      </c>
    </row>
    <row r="23" spans="1:26">
      <c r="K23" s="1027"/>
      <c r="L23" t="s">
        <v>1194</v>
      </c>
      <c r="R23">
        <f>0.04</f>
        <v>0.04</v>
      </c>
      <c r="S23">
        <f t="shared" ref="S23:S55" si="2">R23*$S$2</f>
        <v>4.0000000000000001E-3</v>
      </c>
      <c r="T23" s="912">
        <f t="shared" ref="T23:T55" si="3">R23*$T$2</f>
        <v>8.0000000000000002E-3</v>
      </c>
      <c r="V23" t="s">
        <v>1422</v>
      </c>
    </row>
    <row r="24" spans="1:26">
      <c r="K24" s="1027"/>
      <c r="L24" t="s">
        <v>1044</v>
      </c>
      <c r="R24">
        <f>13.5</f>
        <v>13.5</v>
      </c>
      <c r="S24">
        <f t="shared" si="2"/>
        <v>1.35</v>
      </c>
      <c r="T24" s="912">
        <f>R24*$T$2</f>
        <v>2.7</v>
      </c>
    </row>
    <row r="25" spans="1:26">
      <c r="A25" t="s">
        <v>660</v>
      </c>
      <c r="K25" s="1027"/>
      <c r="L25" t="s">
        <v>127</v>
      </c>
      <c r="R25">
        <f>0.26</f>
        <v>0.26</v>
      </c>
      <c r="S25">
        <f t="shared" si="2"/>
        <v>2.6000000000000002E-2</v>
      </c>
      <c r="T25" s="912">
        <f t="shared" si="3"/>
        <v>5.2000000000000005E-2</v>
      </c>
    </row>
    <row r="26" spans="1:26">
      <c r="K26" s="1027"/>
      <c r="L26" t="s">
        <v>1043</v>
      </c>
      <c r="R26">
        <f>32.5</f>
        <v>32.5</v>
      </c>
      <c r="S26">
        <f t="shared" si="2"/>
        <v>3.25</v>
      </c>
      <c r="T26" s="912">
        <f t="shared" si="3"/>
        <v>6.5</v>
      </c>
    </row>
    <row r="27" spans="1:26">
      <c r="K27" s="1027"/>
      <c r="L27" t="s">
        <v>82</v>
      </c>
      <c r="R27">
        <f>0.67</f>
        <v>0.67</v>
      </c>
      <c r="S27">
        <f t="shared" si="2"/>
        <v>6.7000000000000004E-2</v>
      </c>
      <c r="T27" s="912">
        <f t="shared" si="3"/>
        <v>0.13400000000000001</v>
      </c>
    </row>
    <row r="28" spans="1:26">
      <c r="K28" s="1027" t="s">
        <v>1196</v>
      </c>
      <c r="L28" t="s">
        <v>87</v>
      </c>
      <c r="R28">
        <f>6.3</f>
        <v>6.3</v>
      </c>
      <c r="S28">
        <f t="shared" si="2"/>
        <v>0.63</v>
      </c>
      <c r="T28" s="912">
        <f t="shared" si="3"/>
        <v>1.26</v>
      </c>
    </row>
    <row r="29" spans="1:26">
      <c r="K29" s="1027"/>
      <c r="L29" t="s">
        <v>1194</v>
      </c>
      <c r="R29">
        <f>0.02</f>
        <v>0.02</v>
      </c>
      <c r="S29">
        <f t="shared" si="2"/>
        <v>2E-3</v>
      </c>
      <c r="T29" s="912">
        <f t="shared" si="3"/>
        <v>4.0000000000000001E-3</v>
      </c>
      <c r="V29" t="s">
        <v>1427</v>
      </c>
      <c r="W29" t="s">
        <v>11</v>
      </c>
      <c r="Y29" t="s">
        <v>1423</v>
      </c>
    </row>
    <row r="30" spans="1:26">
      <c r="K30" s="1027"/>
      <c r="L30" t="s">
        <v>1044</v>
      </c>
      <c r="R30">
        <f>2.3</f>
        <v>2.2999999999999998</v>
      </c>
      <c r="S30">
        <f t="shared" si="2"/>
        <v>0.22999999999999998</v>
      </c>
      <c r="T30" s="912">
        <f t="shared" si="3"/>
        <v>0.45999999999999996</v>
      </c>
      <c r="V30" s="912">
        <v>0.5</v>
      </c>
      <c r="W30" t="s">
        <v>1424</v>
      </c>
      <c r="X30" t="s">
        <v>1425</v>
      </c>
      <c r="Y30" t="s">
        <v>1424</v>
      </c>
      <c r="Z30" t="s">
        <v>1426</v>
      </c>
    </row>
    <row r="31" spans="1:26">
      <c r="K31" s="1027"/>
      <c r="L31" t="s">
        <v>127</v>
      </c>
      <c r="R31">
        <f>0.65</f>
        <v>0.65</v>
      </c>
      <c r="S31">
        <f t="shared" si="2"/>
        <v>6.5000000000000002E-2</v>
      </c>
      <c r="T31" s="912">
        <f t="shared" si="3"/>
        <v>0.13</v>
      </c>
      <c r="V31" t="s">
        <v>1044</v>
      </c>
      <c r="W31" s="912">
        <v>3000</v>
      </c>
      <c r="X31" s="912">
        <v>2000</v>
      </c>
      <c r="Y31" s="912">
        <v>16000</v>
      </c>
      <c r="Z31" s="912">
        <v>18000</v>
      </c>
    </row>
    <row r="32" spans="1:26">
      <c r="K32" s="1027"/>
      <c r="L32" t="s">
        <v>1043</v>
      </c>
      <c r="R32">
        <f>0.6</f>
        <v>0.6</v>
      </c>
      <c r="S32">
        <f t="shared" si="2"/>
        <v>0.06</v>
      </c>
      <c r="T32" s="912">
        <f t="shared" si="3"/>
        <v>0.12</v>
      </c>
      <c r="V32" t="s">
        <v>127</v>
      </c>
      <c r="W32" s="912">
        <v>200</v>
      </c>
      <c r="X32" s="912">
        <v>2000</v>
      </c>
      <c r="Y32" s="912">
        <v>1000</v>
      </c>
      <c r="Z32" s="912">
        <v>14500</v>
      </c>
    </row>
    <row r="33" spans="1:20">
      <c r="K33" s="1027"/>
      <c r="L33" t="s">
        <v>82</v>
      </c>
      <c r="R33">
        <f>0.08</f>
        <v>0.08</v>
      </c>
      <c r="S33">
        <f t="shared" si="2"/>
        <v>8.0000000000000002E-3</v>
      </c>
      <c r="T33" s="912">
        <f t="shared" si="3"/>
        <v>1.6E-2</v>
      </c>
    </row>
    <row r="34" spans="1:20">
      <c r="K34" s="1027" t="s">
        <v>1197</v>
      </c>
      <c r="L34" t="s">
        <v>87</v>
      </c>
      <c r="R34">
        <f>0.86</f>
        <v>0.86</v>
      </c>
      <c r="S34">
        <f t="shared" si="2"/>
        <v>8.6000000000000007E-2</v>
      </c>
      <c r="T34" s="912">
        <f t="shared" si="3"/>
        <v>0.17200000000000001</v>
      </c>
    </row>
    <row r="35" spans="1:20">
      <c r="K35" s="1027"/>
      <c r="L35" t="s">
        <v>1194</v>
      </c>
      <c r="R35">
        <f>0.28</f>
        <v>0.28000000000000003</v>
      </c>
      <c r="S35">
        <f t="shared" si="2"/>
        <v>2.8000000000000004E-2</v>
      </c>
      <c r="T35" s="912">
        <f t="shared" si="3"/>
        <v>5.6000000000000008E-2</v>
      </c>
    </row>
    <row r="36" spans="1:20">
      <c r="K36" s="1027"/>
      <c r="L36" t="s">
        <v>1044</v>
      </c>
      <c r="R36">
        <f>0.18</f>
        <v>0.18</v>
      </c>
      <c r="S36">
        <f t="shared" si="2"/>
        <v>1.7999999999999999E-2</v>
      </c>
      <c r="T36" s="912">
        <f t="shared" si="3"/>
        <v>3.5999999999999997E-2</v>
      </c>
    </row>
    <row r="37" spans="1:20">
      <c r="K37" s="1027"/>
      <c r="L37" t="s">
        <v>127</v>
      </c>
      <c r="R37">
        <f>0.64</f>
        <v>0.64</v>
      </c>
      <c r="S37">
        <f t="shared" si="2"/>
        <v>6.4000000000000001E-2</v>
      </c>
      <c r="T37" s="912">
        <f t="shared" si="3"/>
        <v>0.128</v>
      </c>
    </row>
    <row r="38" spans="1:20">
      <c r="K38" s="1027"/>
      <c r="L38" t="s">
        <v>82</v>
      </c>
      <c r="R38">
        <f>3.4</f>
        <v>3.4</v>
      </c>
      <c r="S38">
        <f t="shared" si="2"/>
        <v>0.34</v>
      </c>
      <c r="T38" s="912">
        <f t="shared" si="3"/>
        <v>0.68</v>
      </c>
    </row>
    <row r="39" spans="1:20">
      <c r="K39" s="1027" t="s">
        <v>1198</v>
      </c>
      <c r="L39" t="s">
        <v>87</v>
      </c>
      <c r="R39">
        <f>0.1</f>
        <v>0.1</v>
      </c>
      <c r="S39">
        <f t="shared" si="2"/>
        <v>1.0000000000000002E-2</v>
      </c>
      <c r="T39" s="912">
        <f t="shared" si="3"/>
        <v>2.0000000000000004E-2</v>
      </c>
    </row>
    <row r="40" spans="1:20">
      <c r="K40" s="1027"/>
      <c r="L40" t="s">
        <v>1194</v>
      </c>
      <c r="R40">
        <f>0.62</f>
        <v>0.62</v>
      </c>
      <c r="S40">
        <f t="shared" si="2"/>
        <v>6.2E-2</v>
      </c>
      <c r="T40" s="912">
        <f t="shared" si="3"/>
        <v>0.124</v>
      </c>
    </row>
    <row r="41" spans="1:20">
      <c r="K41" s="1027"/>
      <c r="L41" t="s">
        <v>1044</v>
      </c>
      <c r="R41">
        <f>0.24</f>
        <v>0.24</v>
      </c>
      <c r="S41">
        <f t="shared" si="2"/>
        <v>2.4E-2</v>
      </c>
      <c r="T41" s="912">
        <f t="shared" si="3"/>
        <v>4.8000000000000001E-2</v>
      </c>
    </row>
    <row r="42" spans="1:20">
      <c r="K42" s="1027"/>
      <c r="L42" t="s">
        <v>127</v>
      </c>
      <c r="R42">
        <f>1.1</f>
        <v>1.1000000000000001</v>
      </c>
      <c r="S42">
        <f t="shared" si="2"/>
        <v>0.11000000000000001</v>
      </c>
      <c r="T42" s="912">
        <f t="shared" si="3"/>
        <v>0.22000000000000003</v>
      </c>
    </row>
    <row r="43" spans="1:20">
      <c r="K43" s="1027"/>
      <c r="L43" t="s">
        <v>1043</v>
      </c>
      <c r="R43">
        <f>0.72</f>
        <v>0.72</v>
      </c>
      <c r="S43">
        <f t="shared" si="2"/>
        <v>7.1999999999999995E-2</v>
      </c>
      <c r="T43" s="912">
        <f t="shared" si="3"/>
        <v>0.14399999999999999</v>
      </c>
    </row>
    <row r="44" spans="1:20">
      <c r="K44" s="1027"/>
      <c r="L44" t="s">
        <v>82</v>
      </c>
      <c r="R44">
        <f>0.58</f>
        <v>0.57999999999999996</v>
      </c>
      <c r="S44">
        <f t="shared" si="2"/>
        <v>5.7999999999999996E-2</v>
      </c>
      <c r="T44" s="912">
        <f t="shared" si="3"/>
        <v>0.11599999999999999</v>
      </c>
    </row>
    <row r="45" spans="1:20">
      <c r="K45" s="1027" t="s">
        <v>1199</v>
      </c>
      <c r="L45" t="s">
        <v>87</v>
      </c>
      <c r="R45">
        <f>0.18</f>
        <v>0.18</v>
      </c>
      <c r="S45">
        <f t="shared" si="2"/>
        <v>1.7999999999999999E-2</v>
      </c>
      <c r="T45" s="912">
        <f t="shared" si="3"/>
        <v>3.5999999999999997E-2</v>
      </c>
    </row>
    <row r="46" spans="1:20">
      <c r="K46" s="1027"/>
      <c r="L46" t="s">
        <v>1044</v>
      </c>
      <c r="R46">
        <f>0.18</f>
        <v>0.18</v>
      </c>
      <c r="S46">
        <f t="shared" si="2"/>
        <v>1.7999999999999999E-2</v>
      </c>
      <c r="T46" s="912">
        <f t="shared" si="3"/>
        <v>3.5999999999999997E-2</v>
      </c>
    </row>
    <row r="47" spans="1:20">
      <c r="A47" t="s">
        <v>661</v>
      </c>
      <c r="K47" s="1027"/>
      <c r="L47" t="s">
        <v>127</v>
      </c>
      <c r="R47">
        <f>0.02</f>
        <v>0.02</v>
      </c>
      <c r="S47">
        <f t="shared" si="2"/>
        <v>2E-3</v>
      </c>
      <c r="T47" s="912">
        <f t="shared" si="3"/>
        <v>4.0000000000000001E-3</v>
      </c>
    </row>
    <row r="48" spans="1:20">
      <c r="K48" s="1027" t="s">
        <v>1200</v>
      </c>
      <c r="L48" t="s">
        <v>87</v>
      </c>
      <c r="R48">
        <f>0.08</f>
        <v>0.08</v>
      </c>
      <c r="S48">
        <f t="shared" si="2"/>
        <v>8.0000000000000002E-3</v>
      </c>
      <c r="T48" s="912">
        <f t="shared" si="3"/>
        <v>1.6E-2</v>
      </c>
    </row>
    <row r="49" spans="11:21">
      <c r="K49" s="1027"/>
      <c r="L49" t="s">
        <v>1194</v>
      </c>
      <c r="R49">
        <f>0.03</f>
        <v>0.03</v>
      </c>
      <c r="S49">
        <f t="shared" si="2"/>
        <v>3.0000000000000001E-3</v>
      </c>
      <c r="T49" s="912">
        <f t="shared" si="3"/>
        <v>6.0000000000000001E-3</v>
      </c>
    </row>
    <row r="50" spans="11:21">
      <c r="K50" s="1027"/>
      <c r="L50" t="s">
        <v>1044</v>
      </c>
      <c r="R50">
        <f>0.52</f>
        <v>0.52</v>
      </c>
      <c r="S50">
        <f t="shared" si="2"/>
        <v>5.2000000000000005E-2</v>
      </c>
      <c r="T50" s="912">
        <f t="shared" si="3"/>
        <v>0.10400000000000001</v>
      </c>
    </row>
    <row r="51" spans="11:21">
      <c r="K51" s="1027"/>
      <c r="L51" t="s">
        <v>127</v>
      </c>
      <c r="R51">
        <f>0.22</f>
        <v>0.22</v>
      </c>
      <c r="S51">
        <f t="shared" si="2"/>
        <v>2.2000000000000002E-2</v>
      </c>
      <c r="T51" s="912">
        <f t="shared" si="3"/>
        <v>4.4000000000000004E-2</v>
      </c>
    </row>
    <row r="52" spans="11:21">
      <c r="K52" s="1027"/>
      <c r="L52" t="s">
        <v>1043</v>
      </c>
      <c r="R52">
        <f>0.6</f>
        <v>0.6</v>
      </c>
      <c r="S52">
        <f t="shared" si="2"/>
        <v>0.06</v>
      </c>
      <c r="T52" s="912">
        <f t="shared" si="3"/>
        <v>0.12</v>
      </c>
    </row>
    <row r="53" spans="11:21">
      <c r="K53" s="1027"/>
      <c r="L53" t="s">
        <v>82</v>
      </c>
      <c r="R53">
        <f>0.54</f>
        <v>0.54</v>
      </c>
      <c r="S53">
        <f t="shared" si="2"/>
        <v>5.4000000000000006E-2</v>
      </c>
      <c r="T53" s="912">
        <f t="shared" si="3"/>
        <v>0.10800000000000001</v>
      </c>
    </row>
    <row r="54" spans="11:21">
      <c r="K54" s="1027" t="s">
        <v>1201</v>
      </c>
      <c r="L54" t="s">
        <v>1044</v>
      </c>
      <c r="R54">
        <v>0.16</v>
      </c>
      <c r="S54">
        <f t="shared" si="2"/>
        <v>1.6E-2</v>
      </c>
      <c r="T54" s="912">
        <f t="shared" si="3"/>
        <v>3.2000000000000001E-2</v>
      </c>
    </row>
    <row r="55" spans="11:21">
      <c r="K55" s="1027"/>
      <c r="L55" t="s">
        <v>127</v>
      </c>
      <c r="R55">
        <v>0.18</v>
      </c>
      <c r="S55">
        <f t="shared" si="2"/>
        <v>1.7999999999999999E-2</v>
      </c>
      <c r="T55" s="912">
        <f t="shared" si="3"/>
        <v>3.5999999999999997E-2</v>
      </c>
    </row>
    <row r="56" spans="11:21">
      <c r="K56" s="10" t="s">
        <v>1202</v>
      </c>
      <c r="L56" t="s">
        <v>127</v>
      </c>
      <c r="R56">
        <f>4.9*50%</f>
        <v>2.4500000000000002</v>
      </c>
      <c r="S56">
        <f>R56</f>
        <v>2.4500000000000002</v>
      </c>
      <c r="T56" s="912">
        <f>S56</f>
        <v>2.4500000000000002</v>
      </c>
      <c r="U56" t="s">
        <v>1210</v>
      </c>
    </row>
    <row r="57" spans="11:21">
      <c r="K57" s="1027" t="s">
        <v>1203</v>
      </c>
      <c r="L57" t="s">
        <v>1044</v>
      </c>
      <c r="P57" s="912">
        <f>2.8*0.55</f>
        <v>1.54</v>
      </c>
    </row>
    <row r="58" spans="11:21">
      <c r="K58" s="1027"/>
      <c r="L58" t="s">
        <v>946</v>
      </c>
      <c r="P58" s="928">
        <f>2.8*0.45</f>
        <v>1.26</v>
      </c>
    </row>
    <row r="68" spans="1:1">
      <c r="A68" t="s">
        <v>662</v>
      </c>
    </row>
    <row r="99" spans="1:1">
      <c r="A99" t="s">
        <v>663</v>
      </c>
    </row>
    <row r="123" spans="1:1">
      <c r="A123" t="s">
        <v>667</v>
      </c>
    </row>
    <row r="141" spans="1:1">
      <c r="A141" t="s">
        <v>666</v>
      </c>
    </row>
    <row r="162" spans="1:1">
      <c r="A162" t="s">
        <v>665</v>
      </c>
    </row>
    <row r="185" spans="1:1">
      <c r="A185" t="s">
        <v>664</v>
      </c>
    </row>
    <row r="207" spans="1:1">
      <c r="A207" t="s">
        <v>668</v>
      </c>
    </row>
    <row r="232" spans="1:1">
      <c r="A232" t="s">
        <v>669</v>
      </c>
    </row>
    <row r="257" spans="1:1">
      <c r="A257" t="s">
        <v>670</v>
      </c>
    </row>
    <row r="282" spans="1:1">
      <c r="A282" t="s">
        <v>671</v>
      </c>
    </row>
    <row r="307" spans="1:1">
      <c r="A307" t="s">
        <v>672</v>
      </c>
    </row>
    <row r="332" spans="1:1">
      <c r="A332" t="s">
        <v>673</v>
      </c>
    </row>
    <row r="357" spans="1:1">
      <c r="A357" t="s">
        <v>674</v>
      </c>
    </row>
    <row r="390" spans="1:1">
      <c r="A390" t="s">
        <v>675</v>
      </c>
    </row>
  </sheetData>
  <mergeCells count="20">
    <mergeCell ref="K54:K55"/>
    <mergeCell ref="K57:K58"/>
    <mergeCell ref="K34:K38"/>
    <mergeCell ref="K39:K44"/>
    <mergeCell ref="K45:K47"/>
    <mergeCell ref="K48:K53"/>
    <mergeCell ref="P1:Q1"/>
    <mergeCell ref="P2:Q2"/>
    <mergeCell ref="R3:T3"/>
    <mergeCell ref="K22:K27"/>
    <mergeCell ref="K28:K33"/>
    <mergeCell ref="P3:Q3"/>
    <mergeCell ref="O12:O13"/>
    <mergeCell ref="N12:N13"/>
    <mergeCell ref="M12:M13"/>
    <mergeCell ref="K18:K20"/>
    <mergeCell ref="K5:K8"/>
    <mergeCell ref="M3:O3"/>
    <mergeCell ref="K9:K13"/>
    <mergeCell ref="K14:K17"/>
  </mergeCells>
  <phoneticPr fontId="114" type="noConversion"/>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5C2AB-2CF3-4107-BCD5-63FF9142FF5E}">
  <sheetPr>
    <tabColor rgb="FF92D050"/>
  </sheetPr>
  <dimension ref="A1:U9"/>
  <sheetViews>
    <sheetView workbookViewId="0">
      <pane xSplit="3" ySplit="1" topLeftCell="E2" activePane="bottomRight" state="frozen"/>
      <selection activeCell="I6" sqref="I6"/>
      <selection pane="topRight" activeCell="I6" sqref="I6"/>
      <selection pane="bottomLeft" activeCell="I6" sqref="I6"/>
      <selection pane="bottomRight" activeCell="R9" sqref="R9:S9"/>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      '!A24+1</f>
        <v>71</v>
      </c>
      <c r="B2" t="str">
        <f>Produits!$B$11</f>
        <v>Graines collectées</v>
      </c>
      <c r="C2" t="str">
        <f>Secteurs!$B$9</f>
        <v>Amidonnerie</v>
      </c>
      <c r="D2" s="888">
        <f>'Fab. ingrédients - Diverses'!H4</f>
        <v>0.4</v>
      </c>
      <c r="G2" t="str">
        <f>Etiquettes!$C$3</f>
        <v>kt</v>
      </c>
      <c r="H2" s="21" t="str">
        <f>Etiquettes!$L$6</f>
        <v>Pois</v>
      </c>
      <c r="I2" s="913" t="str">
        <f>Etiquettes!$C$5</f>
        <v>2015-16:2019-20:2023-24</v>
      </c>
      <c r="J2" t="str">
        <f>Etiquettes!$C$4</f>
        <v>France entière</v>
      </c>
      <c r="P2" s="10"/>
      <c r="U2" s="890"/>
    </row>
    <row r="3" spans="1:21">
      <c r="A3" s="10">
        <f>'Contraintes      '!A25+1</f>
        <v>71</v>
      </c>
      <c r="B3" t="str">
        <f>Secteurs!$B$9</f>
        <v>Amidonnerie</v>
      </c>
      <c r="C3" t="str">
        <f>Produits!$B$22</f>
        <v>Amidon</v>
      </c>
      <c r="D3">
        <v>-1</v>
      </c>
      <c r="G3" t="str">
        <f>Etiquettes!$C$3</f>
        <v>kt</v>
      </c>
      <c r="H3" s="21" t="str">
        <f>Etiquettes!$L$6</f>
        <v>Pois</v>
      </c>
      <c r="I3" s="913" t="str">
        <f>Etiquettes!$C$5</f>
        <v>2015-16:2019-20:2023-24</v>
      </c>
      <c r="J3" t="str">
        <f>Etiquettes!$C$4</f>
        <v>France entière</v>
      </c>
      <c r="K3" s="31" t="s">
        <v>1275</v>
      </c>
      <c r="L3" s="31"/>
      <c r="M3" s="101" t="s">
        <v>1273</v>
      </c>
      <c r="N3" s="101" t="s">
        <v>1503</v>
      </c>
      <c r="O3" t="str">
        <f>Etiquettes!$I$11</f>
        <v>Rendement</v>
      </c>
      <c r="P3" t="str">
        <f>_xlfn.CONCAT(K3," = ",MROUND(D2*100,0.01)," % (",M3,")")</f>
        <v>Rendement de production d'amidon = 40 % (Chiffres clés - USIPA)</v>
      </c>
      <c r="Q3" t="str">
        <f>Etiquettes!$K$15</f>
        <v>Approximative</v>
      </c>
      <c r="R3" s="976" t="s">
        <v>1509</v>
      </c>
      <c r="S3" s="976" t="s">
        <v>1475</v>
      </c>
      <c r="U3" s="891"/>
    </row>
    <row r="4" spans="1:21">
      <c r="A4" s="10">
        <f>A2+1</f>
        <v>72</v>
      </c>
      <c r="B4" t="str">
        <f>Produits!$B$11</f>
        <v>Graines collectées</v>
      </c>
      <c r="C4" t="str">
        <f>Secteurs!$B$9</f>
        <v>Amidonnerie</v>
      </c>
      <c r="D4" s="888">
        <f>'Fab. ingrédients - Diverses'!I4</f>
        <v>0.17</v>
      </c>
      <c r="G4" t="str">
        <f>Etiquettes!$C$3</f>
        <v>kt</v>
      </c>
      <c r="H4" s="21" t="str">
        <f>Etiquettes!$L$6</f>
        <v>Pois</v>
      </c>
      <c r="I4" s="913" t="str">
        <f>Etiquettes!$C$5</f>
        <v>2015-16:2019-20:2023-24</v>
      </c>
      <c r="J4" t="str">
        <f>Etiquettes!$C$4</f>
        <v>France entière</v>
      </c>
      <c r="M4" s="31"/>
      <c r="P4" s="10"/>
      <c r="U4" s="891"/>
    </row>
    <row r="5" spans="1:21">
      <c r="A5" s="10">
        <f t="shared" ref="A5:A9" si="0">A3+1</f>
        <v>72</v>
      </c>
      <c r="B5" t="str">
        <f>Secteurs!$B$9</f>
        <v>Amidonnerie</v>
      </c>
      <c r="C5" t="str">
        <f>Produits!$B$23</f>
        <v>Protéine</v>
      </c>
      <c r="D5">
        <v>-1</v>
      </c>
      <c r="G5" t="str">
        <f>Etiquettes!$C$3</f>
        <v>kt</v>
      </c>
      <c r="H5" s="21" t="str">
        <f>Etiquettes!$L$6</f>
        <v>Pois</v>
      </c>
      <c r="I5" s="913" t="str">
        <f>Etiquettes!$C$5</f>
        <v>2015-16:2019-20:2023-24</v>
      </c>
      <c r="J5" t="str">
        <f>Etiquettes!$C$4</f>
        <v>France entière</v>
      </c>
      <c r="K5" s="31" t="s">
        <v>1276</v>
      </c>
      <c r="L5" s="31"/>
      <c r="M5" s="101" t="s">
        <v>1274</v>
      </c>
      <c r="N5" s="101" t="s">
        <v>1503</v>
      </c>
      <c r="O5" t="str">
        <f>Etiquettes!$I$11</f>
        <v>Rendement</v>
      </c>
      <c r="P5" t="str">
        <f>_xlfn.CONCAT(K5," = ",MROUND(D4*100,0.01)," % (",M5,")")</f>
        <v>Rendement de production de protéine = 17 % (Composition - Feedtables)</v>
      </c>
      <c r="Q5" t="str">
        <f>Etiquettes!$L$15</f>
        <v>Indicative</v>
      </c>
      <c r="R5" s="976" t="s">
        <v>1509</v>
      </c>
      <c r="S5" s="976" t="s">
        <v>1475</v>
      </c>
      <c r="U5" s="891"/>
    </row>
    <row r="6" spans="1:21">
      <c r="A6" s="10">
        <f t="shared" si="0"/>
        <v>73</v>
      </c>
      <c r="B6" t="str">
        <f>Produits!$B$11</f>
        <v>Graines collectées</v>
      </c>
      <c r="C6" t="str">
        <f>Secteurs!$B$10</f>
        <v>Meunerie</v>
      </c>
      <c r="D6" s="888">
        <f>'Fab. ingrédients - Diverses'!G25</f>
        <v>0.76923076923076916</v>
      </c>
      <c r="G6" t="str">
        <f>Etiquettes!$C$3</f>
        <v>kt</v>
      </c>
      <c r="H6" s="21" t="str">
        <f>Etiquettes!$M$6</f>
        <v>Féverole</v>
      </c>
      <c r="I6" s="913" t="str">
        <f>Etiquettes!$C$5</f>
        <v>2015-16:2019-20:2023-24</v>
      </c>
      <c r="J6" t="str">
        <f>Etiquettes!$C$4</f>
        <v>France entière</v>
      </c>
      <c r="M6" s="31"/>
      <c r="P6" s="10"/>
      <c r="U6" s="891"/>
    </row>
    <row r="7" spans="1:21">
      <c r="A7" s="10">
        <f t="shared" si="0"/>
        <v>73</v>
      </c>
      <c r="B7" t="str">
        <f>Secteurs!$B$10</f>
        <v>Meunerie</v>
      </c>
      <c r="C7" t="str">
        <f>Produits!$B$25</f>
        <v>Farine</v>
      </c>
      <c r="D7">
        <v>-1</v>
      </c>
      <c r="G7" t="str">
        <f>Etiquettes!$C$3</f>
        <v>kt</v>
      </c>
      <c r="H7" s="21" t="str">
        <f>Etiquettes!$M$6</f>
        <v>Féverole</v>
      </c>
      <c r="I7" s="913" t="str">
        <f>Etiquettes!$C$5</f>
        <v>2015-16:2019-20:2023-24</v>
      </c>
      <c r="J7" t="str">
        <f>Etiquettes!$C$4</f>
        <v>France entière</v>
      </c>
      <c r="K7" s="31" t="s">
        <v>1277</v>
      </c>
      <c r="L7" s="31"/>
      <c r="M7" s="101" t="s">
        <v>1166</v>
      </c>
      <c r="N7" s="101" t="s">
        <v>1503</v>
      </c>
      <c r="O7" t="str">
        <f>Etiquettes!$I$11</f>
        <v>Rendement</v>
      </c>
      <c r="P7" t="str">
        <f>_xlfn.CONCAT(K7," = ",MROUND(D6*100,0.01)," % (",M7,")")</f>
        <v>Rendement de production de farine = 76,92 % (ONRB - FranceAgriMer)</v>
      </c>
      <c r="Q7" t="str">
        <f>Etiquettes!$K$15</f>
        <v>Approximative</v>
      </c>
      <c r="R7" s="976" t="s">
        <v>1509</v>
      </c>
      <c r="S7" s="976" t="s">
        <v>1475</v>
      </c>
      <c r="U7" s="891"/>
    </row>
    <row r="8" spans="1:21">
      <c r="A8" s="10">
        <f t="shared" si="0"/>
        <v>74</v>
      </c>
      <c r="B8" t="str">
        <f>Produits!$B$11</f>
        <v>Graines collectées</v>
      </c>
      <c r="C8" t="str">
        <f>Secteurs!$B$11</f>
        <v>Fabrication d'ingrédients</v>
      </c>
      <c r="D8" s="888">
        <f>'Fab. ingrédients - Diverses'!I32</f>
        <v>0.3</v>
      </c>
      <c r="G8" t="str">
        <f>Etiquettes!$C$3</f>
        <v>kt</v>
      </c>
      <c r="H8" s="21" t="str">
        <f>Etiquettes!$N$6</f>
        <v>Lupin</v>
      </c>
      <c r="I8" s="913" t="str">
        <f>Etiquettes!$C$5</f>
        <v>2015-16:2019-20:2023-24</v>
      </c>
      <c r="J8" t="str">
        <f>Etiquettes!$C$4</f>
        <v>France entière</v>
      </c>
      <c r="M8" s="31"/>
      <c r="P8" s="10"/>
    </row>
    <row r="9" spans="1:21">
      <c r="A9" s="10">
        <f t="shared" si="0"/>
        <v>74</v>
      </c>
      <c r="B9" t="str">
        <f>Secteurs!$B$11</f>
        <v>Fabrication d'ingrédients</v>
      </c>
      <c r="C9" t="str">
        <f>Produits!$B$27</f>
        <v>MPV</v>
      </c>
      <c r="D9">
        <v>-1</v>
      </c>
      <c r="G9" t="str">
        <f>Etiquettes!$C$3</f>
        <v>kt</v>
      </c>
      <c r="H9" s="21" t="str">
        <f>Etiquettes!$N$6</f>
        <v>Lupin</v>
      </c>
      <c r="I9" s="913" t="str">
        <f>Etiquettes!$C$5</f>
        <v>2015-16:2019-20:2023-24</v>
      </c>
      <c r="J9" t="str">
        <f>Etiquettes!$C$4</f>
        <v>France entière</v>
      </c>
      <c r="K9" s="31" t="s">
        <v>1276</v>
      </c>
      <c r="M9" s="101" t="s">
        <v>1274</v>
      </c>
      <c r="N9" s="101" t="s">
        <v>1503</v>
      </c>
      <c r="O9" t="str">
        <f>Etiquettes!$I$11</f>
        <v>Rendement</v>
      </c>
      <c r="P9" t="str">
        <f>_xlfn.CONCAT(K9," = ",MROUND(D8*100,0.01)," % (",M9,")")</f>
        <v>Rendement de production de protéine = 30 % (Composition - Feedtables)</v>
      </c>
      <c r="Q9" t="str">
        <f>Etiquettes!$L$15</f>
        <v>Indicative</v>
      </c>
      <c r="R9" s="976" t="s">
        <v>1509</v>
      </c>
      <c r="S9" s="976" t="s">
        <v>1475</v>
      </c>
    </row>
  </sheetData>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C4819-4840-403A-91A4-A74308A2E541}">
  <sheetPr>
    <tabColor theme="1"/>
  </sheetPr>
  <dimension ref="A1:Q52"/>
  <sheetViews>
    <sheetView workbookViewId="0">
      <pane xSplit="2" ySplit="1" topLeftCell="C2" activePane="bottomRight" state="frozen"/>
      <selection activeCell="I6" sqref="I6"/>
      <selection pane="topRight" activeCell="I6" sqref="I6"/>
      <selection pane="bottomLeft" activeCell="I6" sqref="I6"/>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5">_xlfn._xlws.FILTER('Contraintes       '!G1:S200,ISTEXT('Contraintes       '!O1:O200))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5">_xlfn._xlws.FILTER('Contraintes       '!B2:C200,ISTEXT('Contraintes       '!O2:O200))</f>
        <v>Amidonnerie</v>
      </c>
      <c r="B2" t="str">
        <v>Amidon</v>
      </c>
      <c r="E2" t="str">
        <v>kt</v>
      </c>
      <c r="F2" t="str">
        <v>Pois</v>
      </c>
      <c r="G2" t="str">
        <v>2015-16:2019-20:2023-24</v>
      </c>
      <c r="H2" t="str">
        <v>France entière</v>
      </c>
      <c r="I2" t="str">
        <v>Rendement de production d'amidon</v>
      </c>
      <c r="J2">
        <v>0</v>
      </c>
      <c r="K2" t="str">
        <v>Chiffres clés - USIPA</v>
      </c>
      <c r="L2" t="str">
        <v>Fab. ingrédients - Diverses</v>
      </c>
      <c r="M2" t="str">
        <v>Rendement</v>
      </c>
      <c r="N2" t="str">
        <v>Rendement de production d'amidon = 40 % (Chiffres clés - USIPA)</v>
      </c>
      <c r="O2" t="str">
        <v>Approximative</v>
      </c>
      <c r="P2" t="str">
        <v>Données collectées:Données déterminées</v>
      </c>
      <c r="Q2" t="str">
        <v>Donnée collectée (valeur du flux ou coefficient)</v>
      </c>
    </row>
    <row r="3" spans="1:17">
      <c r="A3" t="str">
        <v>Amidonnerie</v>
      </c>
      <c r="B3" t="str">
        <v>Protéine</v>
      </c>
      <c r="E3" t="str">
        <v>kt</v>
      </c>
      <c r="F3" t="str">
        <v>Pois</v>
      </c>
      <c r="G3" t="str">
        <v>2015-16:2019-20:2023-24</v>
      </c>
      <c r="H3" t="str">
        <v>France entière</v>
      </c>
      <c r="I3" t="str">
        <v>Rendement de production de protéine</v>
      </c>
      <c r="J3">
        <v>0</v>
      </c>
      <c r="K3" t="str">
        <v>Composition - Feedtables</v>
      </c>
      <c r="L3" t="str">
        <v>Fab. ingrédients - Diverses</v>
      </c>
      <c r="M3" t="str">
        <v>Rendement</v>
      </c>
      <c r="N3" t="str">
        <v>Rendement de production de protéine = 17 % (Composition - Feedtables)</v>
      </c>
      <c r="O3" t="str">
        <v>Indicative</v>
      </c>
      <c r="P3" t="str">
        <v>Données collectées:Données déterminées</v>
      </c>
      <c r="Q3" t="str">
        <v>Donnée collectée (valeur du flux ou coefficient)</v>
      </c>
    </row>
    <row r="4" spans="1:17">
      <c r="A4" t="str">
        <v>Meunerie</v>
      </c>
      <c r="B4" t="str">
        <v>Farine</v>
      </c>
      <c r="E4" t="str">
        <v>kt</v>
      </c>
      <c r="F4" t="str">
        <v>Féverole</v>
      </c>
      <c r="G4" t="str">
        <v>2015-16:2019-20:2023-24</v>
      </c>
      <c r="H4" t="str">
        <v>France entière</v>
      </c>
      <c r="I4" t="str">
        <v>Rendement de production de farine</v>
      </c>
      <c r="J4">
        <v>0</v>
      </c>
      <c r="K4" t="str">
        <v>ONRB - FranceAgriMer</v>
      </c>
      <c r="L4" t="str">
        <v>Fab. ingrédients - Diverses</v>
      </c>
      <c r="M4" t="str">
        <v>Rendement</v>
      </c>
      <c r="N4" t="str">
        <v>Rendement de production de farine = 76,92 % (ONRB - FranceAgriMer)</v>
      </c>
      <c r="O4" t="str">
        <v>Approximative</v>
      </c>
      <c r="P4" t="str">
        <v>Données collectées:Données déterminées</v>
      </c>
      <c r="Q4" t="str">
        <v>Donnée collectée (valeur du flux ou coefficient)</v>
      </c>
    </row>
    <row r="5" spans="1:17">
      <c r="A5" t="str">
        <v>Fabrication d'ingrédients</v>
      </c>
      <c r="B5" t="str">
        <v>MPV</v>
      </c>
      <c r="E5" t="str">
        <v>kt</v>
      </c>
      <c r="F5" t="str">
        <v>Lupin</v>
      </c>
      <c r="G5" t="str">
        <v>2015-16:2019-20:2023-24</v>
      </c>
      <c r="H5" t="str">
        <v>France entière</v>
      </c>
      <c r="I5" t="str">
        <v>Rendement de production de protéine</v>
      </c>
      <c r="J5">
        <v>0</v>
      </c>
      <c r="K5" t="str">
        <v>Composition - Feedtables</v>
      </c>
      <c r="L5" t="str">
        <v>Fab. ingrédients - Diverses</v>
      </c>
      <c r="M5" t="str">
        <v>Rendement</v>
      </c>
      <c r="N5" t="str">
        <v>Rendement de production de protéine = 30 % (Composition - Feedtables)</v>
      </c>
      <c r="O5" t="str">
        <v>Indicative</v>
      </c>
      <c r="P5" t="str">
        <v>Données collectées:Données déterminées</v>
      </c>
      <c r="Q5" t="str">
        <v>Donnée collectée (valeur du flux ou coefficient)</v>
      </c>
    </row>
    <row r="6" spans="1:17">
      <c r="I6"/>
      <c r="J6"/>
      <c r="K6"/>
      <c r="L6"/>
      <c r="M6"/>
    </row>
    <row r="7" spans="1:17">
      <c r="I7"/>
      <c r="J7"/>
      <c r="K7"/>
      <c r="L7"/>
      <c r="M7"/>
    </row>
    <row r="8" spans="1:17">
      <c r="I8"/>
      <c r="J8"/>
      <c r="K8"/>
      <c r="L8"/>
      <c r="M8"/>
    </row>
    <row r="9" spans="1:17">
      <c r="I9"/>
      <c r="J9"/>
      <c r="K9"/>
      <c r="L9"/>
      <c r="M9"/>
    </row>
    <row r="10" spans="1:17">
      <c r="I10"/>
      <c r="J10"/>
      <c r="K10"/>
      <c r="L10"/>
      <c r="M10"/>
    </row>
    <row r="11" spans="1:17">
      <c r="I11"/>
      <c r="J11"/>
      <c r="K11"/>
      <c r="L11"/>
      <c r="M11"/>
    </row>
    <row r="12" spans="1:17">
      <c r="I12"/>
      <c r="J12"/>
      <c r="K12"/>
      <c r="L12"/>
      <c r="M12"/>
    </row>
    <row r="13" spans="1:17">
      <c r="I13"/>
      <c r="J13"/>
      <c r="K13"/>
      <c r="L13"/>
      <c r="M13"/>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AA8C6-92F4-4978-8B93-D3F610666179}">
  <sheetPr>
    <tabColor rgb="FFFFC000"/>
  </sheetPr>
  <dimension ref="B1:J32"/>
  <sheetViews>
    <sheetView workbookViewId="0">
      <selection activeCell="J21" sqref="J21"/>
    </sheetView>
  </sheetViews>
  <sheetFormatPr baseColWidth="10" defaultRowHeight="14.4"/>
  <sheetData>
    <row r="1" spans="2:10">
      <c r="B1" s="894" t="s">
        <v>1269</v>
      </c>
    </row>
    <row r="2" spans="2:10">
      <c r="B2" s="862" t="s">
        <v>17</v>
      </c>
      <c r="C2" s="862" t="s">
        <v>1251</v>
      </c>
    </row>
    <row r="3" spans="2:10">
      <c r="H3" t="s">
        <v>719</v>
      </c>
      <c r="I3" t="s">
        <v>1261</v>
      </c>
    </row>
    <row r="4" spans="2:10">
      <c r="G4" t="s">
        <v>87</v>
      </c>
      <c r="H4" s="936">
        <f>1/2.5</f>
        <v>0.4</v>
      </c>
      <c r="I4" s="936">
        <f>17%</f>
        <v>0.17</v>
      </c>
      <c r="J4" t="s">
        <v>1272</v>
      </c>
    </row>
    <row r="9" spans="2:10">
      <c r="B9" s="862" t="s">
        <v>17</v>
      </c>
      <c r="C9" s="862" t="s">
        <v>1265</v>
      </c>
    </row>
    <row r="24" spans="2:10">
      <c r="B24" s="894" t="s">
        <v>1268</v>
      </c>
    </row>
    <row r="25" spans="2:10">
      <c r="B25" s="862" t="s">
        <v>17</v>
      </c>
      <c r="C25" s="862" t="s">
        <v>1266</v>
      </c>
      <c r="E25" t="s">
        <v>1267</v>
      </c>
      <c r="G25" s="936">
        <f>1/1.3</f>
        <v>0.76923076923076916</v>
      </c>
    </row>
    <row r="27" spans="2:10">
      <c r="B27" s="894" t="s">
        <v>1270</v>
      </c>
    </row>
    <row r="28" spans="2:10">
      <c r="B28" s="862" t="s">
        <v>17</v>
      </c>
      <c r="C28" s="862" t="s">
        <v>1265</v>
      </c>
    </row>
    <row r="32" spans="2:10">
      <c r="G32" t="s">
        <v>1271</v>
      </c>
      <c r="I32" s="892">
        <v>0.3</v>
      </c>
      <c r="J32" t="s">
        <v>1272</v>
      </c>
    </row>
  </sheetData>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A3F83-9D8B-49E2-97AB-A6292F443B2D}">
  <sheetPr>
    <tabColor rgb="FF92D050"/>
  </sheetPr>
  <dimension ref="A1:U36"/>
  <sheetViews>
    <sheetView workbookViewId="0">
      <pane xSplit="3" ySplit="1" topLeftCell="F2" activePane="bottomRight" state="frozen"/>
      <selection activeCell="P28" sqref="P28"/>
      <selection pane="topRight" activeCell="P28" sqref="P28"/>
      <selection pane="bottomLeft" activeCell="P28" sqref="P28"/>
      <selection pane="bottomRight" activeCell="R25" sqref="R25:S25"/>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       '!A8+1</f>
        <v>75</v>
      </c>
      <c r="B2" t="str">
        <f>Produits!$B$11</f>
        <v>Graines collectées</v>
      </c>
      <c r="C2" t="str">
        <f>Secteurs!$B$5</f>
        <v>Trituration</v>
      </c>
      <c r="D2" s="888">
        <f>'Rend. trituration-TERRES UNIVIA'!C5</f>
        <v>0.42399999999999999</v>
      </c>
      <c r="G2" t="str">
        <f>Etiquettes!$C$3</f>
        <v>kt</v>
      </c>
      <c r="H2" s="21" t="str">
        <f>Etiquettes!$H$6</f>
        <v>Colza</v>
      </c>
      <c r="I2" s="913" t="str">
        <f>Etiquettes!$C$5</f>
        <v>2015-16:2019-20:2023-24</v>
      </c>
      <c r="J2" t="str">
        <f>Etiquettes!$C$4</f>
        <v>France entière</v>
      </c>
      <c r="P2" s="10"/>
      <c r="U2" s="1028" t="s">
        <v>1070</v>
      </c>
    </row>
    <row r="3" spans="1:21">
      <c r="A3" s="10">
        <f>'Contraintes       '!A9+1</f>
        <v>75</v>
      </c>
      <c r="B3" t="str">
        <f>Secteurs!$B$5</f>
        <v>Trituration</v>
      </c>
      <c r="C3" t="str">
        <f>Produits!$B$13</f>
        <v>Huile</v>
      </c>
      <c r="D3">
        <v>-1</v>
      </c>
      <c r="G3" t="str">
        <f>Etiquettes!$C$3</f>
        <v>kt</v>
      </c>
      <c r="H3" s="21" t="str">
        <f>Etiquettes!$H$6</f>
        <v>Colza</v>
      </c>
      <c r="I3" s="913" t="str">
        <f>Etiquettes!$C$5</f>
        <v>2015-16:2019-20:2023-24</v>
      </c>
      <c r="J3" t="str">
        <f>Etiquettes!$C$4</f>
        <v>France entière</v>
      </c>
      <c r="K3" s="31" t="s">
        <v>1329</v>
      </c>
      <c r="L3" s="31"/>
      <c r="M3" s="101" t="s">
        <v>1334</v>
      </c>
      <c r="N3" s="101" t="s">
        <v>1504</v>
      </c>
      <c r="O3" t="str">
        <f>Etiquettes!$I$11</f>
        <v>Rendement</v>
      </c>
      <c r="P3" t="str">
        <f>_xlfn.CONCAT(K3," = ",MROUND(D2*100,0.01)," % (",M3,")")</f>
        <v>Rendement de production d'huile = 42,4 % (Rapport méthodo Ademe calcul ACV - Terres Univia)</v>
      </c>
      <c r="Q3" t="str">
        <f>Etiquettes!$J$15</f>
        <v>Probable</v>
      </c>
      <c r="R3" s="976" t="s">
        <v>1509</v>
      </c>
      <c r="S3" s="976" t="s">
        <v>1475</v>
      </c>
      <c r="U3" s="1027"/>
    </row>
    <row r="4" spans="1:21">
      <c r="A4" s="10">
        <f>A2+1</f>
        <v>76</v>
      </c>
      <c r="B4" t="str">
        <f>Produits!$B$11</f>
        <v>Graines collectées</v>
      </c>
      <c r="C4" t="str">
        <f>Secteurs!$B$5</f>
        <v>Trituration</v>
      </c>
      <c r="D4" s="888">
        <f>'Rend. trituration-TERRES UNIVIA'!C6</f>
        <v>0.55800000000000005</v>
      </c>
      <c r="G4" t="str">
        <f>Etiquettes!$C$3</f>
        <v>kt</v>
      </c>
      <c r="H4" s="21" t="str">
        <f>Etiquettes!$H$6</f>
        <v>Colza</v>
      </c>
      <c r="I4" s="913" t="str">
        <f>Etiquettes!$C$5</f>
        <v>2015-16:2019-20:2023-24</v>
      </c>
      <c r="J4" t="str">
        <f>Etiquettes!$C$4</f>
        <v>France entière</v>
      </c>
      <c r="M4" s="31"/>
      <c r="P4" s="10"/>
      <c r="U4" s="1027"/>
    </row>
    <row r="5" spans="1:21">
      <c r="A5" s="10">
        <f t="shared" ref="A5:A25" si="0">A3+1</f>
        <v>76</v>
      </c>
      <c r="B5" t="str">
        <f>Secteurs!$B$5</f>
        <v>Trituration</v>
      </c>
      <c r="C5" t="str">
        <f>Produits!$B$14</f>
        <v>Tourteaux</v>
      </c>
      <c r="D5">
        <v>-1</v>
      </c>
      <c r="G5" t="str">
        <f>Etiquettes!$C$3</f>
        <v>kt</v>
      </c>
      <c r="H5" s="21" t="str">
        <f>Etiquettes!$H$6</f>
        <v>Colza</v>
      </c>
      <c r="I5" s="913" t="str">
        <f>Etiquettes!$C$5</f>
        <v>2015-16:2019-20:2023-24</v>
      </c>
      <c r="J5" t="str">
        <f>Etiquettes!$C$4</f>
        <v>France entière</v>
      </c>
      <c r="K5" s="31" t="s">
        <v>1330</v>
      </c>
      <c r="L5" s="31"/>
      <c r="M5" s="101" t="s">
        <v>1334</v>
      </c>
      <c r="N5" s="101" t="s">
        <v>1504</v>
      </c>
      <c r="O5" t="str">
        <f>Etiquettes!$I$11</f>
        <v>Rendement</v>
      </c>
      <c r="P5" t="str">
        <f>_xlfn.CONCAT(K5," = ",MROUND(D4*100,0.01)," % (",M5,")")</f>
        <v>Rendement de production de tourteau = 55,8 % (Rapport méthodo Ademe calcul ACV - Terres Univia)</v>
      </c>
      <c r="Q5" t="str">
        <f>Etiquettes!$J$15</f>
        <v>Probable</v>
      </c>
      <c r="R5" s="976" t="s">
        <v>1509</v>
      </c>
      <c r="S5" s="976" t="s">
        <v>1475</v>
      </c>
      <c r="U5" s="1027"/>
    </row>
    <row r="6" spans="1:21">
      <c r="A6" s="10">
        <f t="shared" si="0"/>
        <v>77</v>
      </c>
      <c r="B6" t="str">
        <f>Produits!$B$11</f>
        <v>Graines collectées</v>
      </c>
      <c r="C6" t="str">
        <f>Secteurs!$B$5</f>
        <v>Trituration</v>
      </c>
      <c r="D6" s="888">
        <f>'Rend. trituration-TERRES UNIVIA'!C8</f>
        <v>1.8000000000000016E-2</v>
      </c>
      <c r="G6" t="str">
        <f>Etiquettes!$C$3</f>
        <v>kt</v>
      </c>
      <c r="H6" s="21" t="str">
        <f>Etiquettes!$H$6</f>
        <v>Colza</v>
      </c>
      <c r="I6" s="913" t="str">
        <f>Etiquettes!$C$5</f>
        <v>2015-16:2019-20:2023-24</v>
      </c>
      <c r="J6" t="str">
        <f>Etiquettes!$C$4</f>
        <v>France entière</v>
      </c>
      <c r="M6" s="31"/>
      <c r="P6" s="10"/>
      <c r="U6" s="1027"/>
    </row>
    <row r="7" spans="1:21">
      <c r="A7" s="10">
        <f t="shared" si="0"/>
        <v>77</v>
      </c>
      <c r="B7" t="str">
        <f>Secteurs!$B$5</f>
        <v>Trituration</v>
      </c>
      <c r="C7" t="str">
        <f>Produits!$B$15</f>
        <v>Coques (+ eau)</v>
      </c>
      <c r="D7">
        <v>-1</v>
      </c>
      <c r="G7" t="str">
        <f>Etiquettes!$C$3</f>
        <v>kt</v>
      </c>
      <c r="H7" s="21" t="str">
        <f>Etiquettes!$H$6</f>
        <v>Colza</v>
      </c>
      <c r="I7" s="913" t="str">
        <f>Etiquettes!$C$5</f>
        <v>2015-16:2019-20:2023-24</v>
      </c>
      <c r="J7" t="str">
        <f>Etiquettes!$C$4</f>
        <v>France entière</v>
      </c>
      <c r="K7" s="31" t="s">
        <v>1331</v>
      </c>
      <c r="L7" s="31"/>
      <c r="M7" s="101" t="s">
        <v>1334</v>
      </c>
      <c r="N7" s="101" t="s">
        <v>1504</v>
      </c>
      <c r="O7" t="str">
        <f>Etiquettes!$I$11</f>
        <v>Rendement</v>
      </c>
      <c r="P7" t="str">
        <f>_xlfn.CONCAT(K7," = ",MROUND(D6*100,0.01)," % (",M7,")")</f>
        <v>Rendement de production de coques (+ eau) = 1,8 % (Rapport méthodo Ademe calcul ACV - Terres Univia)</v>
      </c>
      <c r="Q7" t="str">
        <f>Etiquettes!$J$15</f>
        <v>Probable</v>
      </c>
      <c r="R7" s="976" t="s">
        <v>1509</v>
      </c>
      <c r="S7" s="976" t="s">
        <v>1475</v>
      </c>
      <c r="U7" s="1027"/>
    </row>
    <row r="8" spans="1:21">
      <c r="A8" s="10">
        <f t="shared" si="0"/>
        <v>78</v>
      </c>
      <c r="B8" t="str">
        <f>Produits!$B$11</f>
        <v>Graines collectées</v>
      </c>
      <c r="C8" t="str">
        <f>Secteurs!$B$5</f>
        <v>Trituration</v>
      </c>
      <c r="D8" s="888">
        <f>'Rend. trituration-TERRES UNIVIA'!C11</f>
        <v>0.443</v>
      </c>
      <c r="G8" t="str">
        <f>Etiquettes!$C$3</f>
        <v>kt</v>
      </c>
      <c r="H8" s="21" t="str">
        <f>Etiquettes!$I$6</f>
        <v>Tournesol</v>
      </c>
      <c r="I8" s="913" t="str">
        <f>Etiquettes!$C$5</f>
        <v>2015-16:2019-20:2023-24</v>
      </c>
      <c r="J8" t="str">
        <f>Etiquettes!$C$4</f>
        <v>France entière</v>
      </c>
      <c r="M8" s="31"/>
      <c r="P8" s="10"/>
      <c r="U8" s="1027"/>
    </row>
    <row r="9" spans="1:21">
      <c r="A9" s="10">
        <f t="shared" si="0"/>
        <v>78</v>
      </c>
      <c r="B9" t="str">
        <f>Secteurs!$B$5</f>
        <v>Trituration</v>
      </c>
      <c r="C9" t="str">
        <f>Produits!$B$13</f>
        <v>Huile</v>
      </c>
      <c r="D9">
        <v>-1</v>
      </c>
      <c r="G9" t="str">
        <f>Etiquettes!$C$3</f>
        <v>kt</v>
      </c>
      <c r="H9" s="21" t="str">
        <f>Etiquettes!$I$6</f>
        <v>Tournesol</v>
      </c>
      <c r="I9" s="913" t="str">
        <f>Etiquettes!$C$5</f>
        <v>2015-16:2019-20:2023-24</v>
      </c>
      <c r="J9" t="str">
        <f>Etiquettes!$C$4</f>
        <v>France entière</v>
      </c>
      <c r="K9" s="31" t="s">
        <v>1329</v>
      </c>
      <c r="M9" s="101" t="s">
        <v>1334</v>
      </c>
      <c r="N9" s="101" t="s">
        <v>1504</v>
      </c>
      <c r="O9" t="str">
        <f>Etiquettes!$I$11</f>
        <v>Rendement</v>
      </c>
      <c r="P9" t="str">
        <f>_xlfn.CONCAT(K9," = ",MROUND(D8*100,0.01)," % (",M9,")")</f>
        <v>Rendement de production d'huile = 44,3 % (Rapport méthodo Ademe calcul ACV - Terres Univia)</v>
      </c>
      <c r="Q9" t="str">
        <f>Etiquettes!$J$15</f>
        <v>Probable</v>
      </c>
      <c r="R9" s="976" t="s">
        <v>1509</v>
      </c>
      <c r="S9" s="976" t="s">
        <v>1475</v>
      </c>
      <c r="U9" s="1027"/>
    </row>
    <row r="10" spans="1:21">
      <c r="A10" s="10">
        <f t="shared" si="0"/>
        <v>79</v>
      </c>
      <c r="B10" t="str">
        <f>Produits!$B$11</f>
        <v>Graines collectées</v>
      </c>
      <c r="C10" t="str">
        <f>Secteurs!$B$5</f>
        <v>Trituration</v>
      </c>
      <c r="D10" s="888">
        <f>'Rend. trituration-TERRES UNIVIA'!C12</f>
        <v>0.54</v>
      </c>
      <c r="G10" t="str">
        <f>Etiquettes!$C$3</f>
        <v>kt</v>
      </c>
      <c r="H10" s="21" t="str">
        <f>Etiquettes!$I$6</f>
        <v>Tournesol</v>
      </c>
      <c r="I10" s="913" t="str">
        <f>Etiquettes!$C$5</f>
        <v>2015-16:2019-20:2023-24</v>
      </c>
      <c r="J10" t="str">
        <f>Etiquettes!$C$4</f>
        <v>France entière</v>
      </c>
      <c r="M10" s="31"/>
      <c r="U10" s="1027"/>
    </row>
    <row r="11" spans="1:21">
      <c r="A11" s="10">
        <f t="shared" si="0"/>
        <v>79</v>
      </c>
      <c r="B11" t="str">
        <f>Secteurs!$B$5</f>
        <v>Trituration</v>
      </c>
      <c r="C11" t="str">
        <f>Produits!$B$14</f>
        <v>Tourteaux</v>
      </c>
      <c r="D11">
        <v>-1</v>
      </c>
      <c r="G11" t="str">
        <f>Etiquettes!$C$3</f>
        <v>kt</v>
      </c>
      <c r="H11" s="21" t="str">
        <f>Etiquettes!$I$6</f>
        <v>Tournesol</v>
      </c>
      <c r="I11" s="913" t="str">
        <f>Etiquettes!$C$5</f>
        <v>2015-16:2019-20:2023-24</v>
      </c>
      <c r="J11" t="str">
        <f>Etiquettes!$C$4</f>
        <v>France entière</v>
      </c>
      <c r="K11" s="31" t="s">
        <v>1330</v>
      </c>
      <c r="M11" s="101" t="s">
        <v>1334</v>
      </c>
      <c r="N11" s="101" t="s">
        <v>1504</v>
      </c>
      <c r="O11" t="str">
        <f>Etiquettes!$I$11</f>
        <v>Rendement</v>
      </c>
      <c r="P11" t="str">
        <f t="shared" ref="P11" si="1">_xlfn.CONCAT(K11," = ",MROUND(D10*100,0.01)," % (",M11,")")</f>
        <v>Rendement de production de tourteau = 54 % (Rapport méthodo Ademe calcul ACV - Terres Univia)</v>
      </c>
      <c r="Q11" t="str">
        <f>Etiquettes!$J$15</f>
        <v>Probable</v>
      </c>
      <c r="R11" s="976" t="s">
        <v>1509</v>
      </c>
      <c r="S11" s="976" t="s">
        <v>1475</v>
      </c>
      <c r="U11" s="1027"/>
    </row>
    <row r="12" spans="1:21">
      <c r="A12" s="10">
        <f t="shared" si="0"/>
        <v>80</v>
      </c>
      <c r="B12" t="str">
        <f>Produits!$B$11</f>
        <v>Graines collectées</v>
      </c>
      <c r="C12" t="str">
        <f>Secteurs!$B$5</f>
        <v>Trituration</v>
      </c>
      <c r="D12" s="888">
        <f>'Rend. trituration-TERRES UNIVIA'!C14</f>
        <v>1.6999999999999904E-2</v>
      </c>
      <c r="G12" t="str">
        <f>Etiquettes!$C$3</f>
        <v>kt</v>
      </c>
      <c r="H12" s="21" t="str">
        <f>Etiquettes!$I$6</f>
        <v>Tournesol</v>
      </c>
      <c r="I12" s="913" t="str">
        <f>Etiquettes!$C$5</f>
        <v>2015-16:2019-20:2023-24</v>
      </c>
      <c r="J12" t="str">
        <f>Etiquettes!$C$4</f>
        <v>France entière</v>
      </c>
      <c r="M12" s="31"/>
      <c r="U12" s="1027"/>
    </row>
    <row r="13" spans="1:21">
      <c r="A13" s="10">
        <f t="shared" si="0"/>
        <v>80</v>
      </c>
      <c r="B13" t="str">
        <f>Secteurs!$B$5</f>
        <v>Trituration</v>
      </c>
      <c r="C13" t="str">
        <f>Produits!$B$15</f>
        <v>Coques (+ eau)</v>
      </c>
      <c r="D13">
        <v>-1</v>
      </c>
      <c r="G13" t="str">
        <f>Etiquettes!$C$3</f>
        <v>kt</v>
      </c>
      <c r="H13" s="21" t="str">
        <f>Etiquettes!$I$6</f>
        <v>Tournesol</v>
      </c>
      <c r="I13" s="913" t="str">
        <f>Etiquettes!$C$5</f>
        <v>2015-16:2019-20:2023-24</v>
      </c>
      <c r="J13" t="str">
        <f>Etiquettes!$C$4</f>
        <v>France entière</v>
      </c>
      <c r="K13" s="31" t="s">
        <v>1331</v>
      </c>
      <c r="M13" s="101" t="s">
        <v>1334</v>
      </c>
      <c r="N13" s="101" t="s">
        <v>1504</v>
      </c>
      <c r="O13" t="str">
        <f>Etiquettes!$I$11</f>
        <v>Rendement</v>
      </c>
      <c r="P13" t="str">
        <f t="shared" ref="P13" si="2">_xlfn.CONCAT(K13," = ",MROUND(D12*100,0.01)," % (",M13,")")</f>
        <v>Rendement de production de coques (+ eau) = 1,7 % (Rapport méthodo Ademe calcul ACV - Terres Univia)</v>
      </c>
      <c r="Q13" t="str">
        <f>Etiquettes!$J$15</f>
        <v>Probable</v>
      </c>
      <c r="R13" s="976" t="s">
        <v>1509</v>
      </c>
      <c r="S13" s="976" t="s">
        <v>1475</v>
      </c>
      <c r="U13" s="1027"/>
    </row>
    <row r="14" spans="1:21">
      <c r="A14" s="10">
        <f t="shared" si="0"/>
        <v>81</v>
      </c>
      <c r="B14" t="str">
        <f>Produits!$B$11</f>
        <v>Graines collectées</v>
      </c>
      <c r="C14" t="str">
        <f>Secteurs!$B$5</f>
        <v>Trituration</v>
      </c>
      <c r="D14" s="888">
        <f>'Rend. trituration-TERRES UNIVIA'!C17</f>
        <v>0.188</v>
      </c>
      <c r="G14" t="str">
        <f>Etiquettes!$C$3</f>
        <v>kt</v>
      </c>
      <c r="H14" s="21" t="str">
        <f>Etiquettes!$J$6</f>
        <v>Soja</v>
      </c>
      <c r="I14" s="913" t="str">
        <f>Etiquettes!$C$5</f>
        <v>2015-16:2019-20:2023-24</v>
      </c>
      <c r="J14" t="str">
        <f>Etiquettes!$C$4</f>
        <v>France entière</v>
      </c>
      <c r="M14" s="31"/>
      <c r="U14" s="1027"/>
    </row>
    <row r="15" spans="1:21">
      <c r="A15" s="10">
        <f t="shared" si="0"/>
        <v>81</v>
      </c>
      <c r="B15" t="str">
        <f>Secteurs!$B$5</f>
        <v>Trituration</v>
      </c>
      <c r="C15" t="str">
        <f>Produits!$B$13</f>
        <v>Huile</v>
      </c>
      <c r="D15">
        <v>-1</v>
      </c>
      <c r="G15" t="str">
        <f>Etiquettes!$C$3</f>
        <v>kt</v>
      </c>
      <c r="H15" s="21" t="str">
        <f>Etiquettes!$J$6</f>
        <v>Soja</v>
      </c>
      <c r="I15" s="913" t="str">
        <f>Etiquettes!$C$5</f>
        <v>2015-16:2019-20:2023-24</v>
      </c>
      <c r="J15" t="str">
        <f>Etiquettes!$C$4</f>
        <v>France entière</v>
      </c>
      <c r="K15" s="31" t="s">
        <v>1329</v>
      </c>
      <c r="M15" s="101" t="s">
        <v>1334</v>
      </c>
      <c r="N15" s="101" t="s">
        <v>1504</v>
      </c>
      <c r="O15" t="str">
        <f>Etiquettes!$I$11</f>
        <v>Rendement</v>
      </c>
      <c r="P15" t="str">
        <f t="shared" ref="P15" si="3">_xlfn.CONCAT(K15," = ",MROUND(D14*100,0.01)," % (",M15,")")</f>
        <v>Rendement de production d'huile = 18,8 % (Rapport méthodo Ademe calcul ACV - Terres Univia)</v>
      </c>
      <c r="Q15" t="str">
        <f>Etiquettes!$J$15</f>
        <v>Probable</v>
      </c>
      <c r="R15" s="976" t="s">
        <v>1509</v>
      </c>
      <c r="S15" s="976" t="s">
        <v>1475</v>
      </c>
      <c r="U15" s="1027"/>
    </row>
    <row r="16" spans="1:21">
      <c r="A16" s="10">
        <f t="shared" si="0"/>
        <v>82</v>
      </c>
      <c r="B16" t="str">
        <f>Produits!$B$11</f>
        <v>Graines collectées</v>
      </c>
      <c r="C16" t="str">
        <f>Secteurs!$B$5</f>
        <v>Trituration</v>
      </c>
      <c r="D16" s="888">
        <f>'Rend. trituration-TERRES UNIVIA'!C18</f>
        <v>0.79400000000000004</v>
      </c>
      <c r="G16" t="str">
        <f>Etiquettes!$C$3</f>
        <v>kt</v>
      </c>
      <c r="H16" s="21" t="str">
        <f>Etiquettes!$J$6</f>
        <v>Soja</v>
      </c>
      <c r="I16" s="913" t="str">
        <f>Etiquettes!$C$5</f>
        <v>2015-16:2019-20:2023-24</v>
      </c>
      <c r="J16" t="str">
        <f>Etiquettes!$C$4</f>
        <v>France entière</v>
      </c>
      <c r="M16" s="31"/>
      <c r="U16" s="1027"/>
    </row>
    <row r="17" spans="1:21">
      <c r="A17" s="10">
        <f t="shared" si="0"/>
        <v>82</v>
      </c>
      <c r="B17" t="str">
        <f>Secteurs!$B$5</f>
        <v>Trituration</v>
      </c>
      <c r="C17" t="str">
        <f>Produits!$B$14</f>
        <v>Tourteaux</v>
      </c>
      <c r="D17">
        <v>-1</v>
      </c>
      <c r="G17" t="str">
        <f>Etiquettes!$C$3</f>
        <v>kt</v>
      </c>
      <c r="H17" s="21" t="str">
        <f>Etiquettes!$J$6</f>
        <v>Soja</v>
      </c>
      <c r="I17" s="913" t="str">
        <f>Etiquettes!$C$5</f>
        <v>2015-16:2019-20:2023-24</v>
      </c>
      <c r="J17" t="str">
        <f>Etiquettes!$C$4</f>
        <v>France entière</v>
      </c>
      <c r="K17" s="31" t="s">
        <v>1330</v>
      </c>
      <c r="M17" s="101" t="s">
        <v>1334</v>
      </c>
      <c r="N17" s="101" t="s">
        <v>1504</v>
      </c>
      <c r="O17" t="str">
        <f>Etiquettes!$I$11</f>
        <v>Rendement</v>
      </c>
      <c r="P17" t="str">
        <f t="shared" ref="P17" si="4">_xlfn.CONCAT(K17," = ",MROUND(D16*100,0.01)," % (",M17,")")</f>
        <v>Rendement de production de tourteau = 79,4 % (Rapport méthodo Ademe calcul ACV - Terres Univia)</v>
      </c>
      <c r="Q17" t="str">
        <f>Etiquettes!$J$15</f>
        <v>Probable</v>
      </c>
      <c r="R17" s="976" t="s">
        <v>1509</v>
      </c>
      <c r="S17" s="976" t="s">
        <v>1475</v>
      </c>
      <c r="U17" s="1027"/>
    </row>
    <row r="18" spans="1:21">
      <c r="A18" s="10">
        <f t="shared" si="0"/>
        <v>83</v>
      </c>
      <c r="B18" t="str">
        <f>Produits!$B$11</f>
        <v>Graines collectées</v>
      </c>
      <c r="C18" t="str">
        <f>Secteurs!$B$5</f>
        <v>Trituration</v>
      </c>
      <c r="D18" s="888">
        <f>'Rend. trituration-TERRES UNIVIA'!C20</f>
        <v>1.8000000000000016E-2</v>
      </c>
      <c r="G18" t="str">
        <f>Etiquettes!$C$3</f>
        <v>kt</v>
      </c>
      <c r="H18" s="21" t="str">
        <f>Etiquettes!$J$6</f>
        <v>Soja</v>
      </c>
      <c r="I18" s="913" t="str">
        <f>Etiquettes!$C$5</f>
        <v>2015-16:2019-20:2023-24</v>
      </c>
      <c r="J18" t="str">
        <f>Etiquettes!$C$4</f>
        <v>France entière</v>
      </c>
      <c r="M18" s="31"/>
      <c r="U18" s="1027"/>
    </row>
    <row r="19" spans="1:21">
      <c r="A19" s="10">
        <f t="shared" si="0"/>
        <v>83</v>
      </c>
      <c r="B19" t="str">
        <f>Secteurs!$B$5</f>
        <v>Trituration</v>
      </c>
      <c r="C19" t="str">
        <f>Produits!$B$15</f>
        <v>Coques (+ eau)</v>
      </c>
      <c r="D19">
        <v>-1</v>
      </c>
      <c r="G19" t="str">
        <f>Etiquettes!$C$3</f>
        <v>kt</v>
      </c>
      <c r="H19" s="21" t="str">
        <f>Etiquettes!$J$6</f>
        <v>Soja</v>
      </c>
      <c r="I19" s="913" t="str">
        <f>Etiquettes!$C$5</f>
        <v>2015-16:2019-20:2023-24</v>
      </c>
      <c r="J19" t="str">
        <f>Etiquettes!$C$4</f>
        <v>France entière</v>
      </c>
      <c r="K19" s="31" t="s">
        <v>1331</v>
      </c>
      <c r="M19" s="101" t="s">
        <v>1334</v>
      </c>
      <c r="N19" s="101" t="s">
        <v>1504</v>
      </c>
      <c r="O19" t="str">
        <f>Etiquettes!$I$11</f>
        <v>Rendement</v>
      </c>
      <c r="P19" t="str">
        <f t="shared" ref="P19" si="5">_xlfn.CONCAT(K19," = ",MROUND(D18*100,0.01)," % (",M19,")")</f>
        <v>Rendement de production de coques (+ eau) = 1,8 % (Rapport méthodo Ademe calcul ACV - Terres Univia)</v>
      </c>
      <c r="Q19" t="str">
        <f>Etiquettes!$J$15</f>
        <v>Probable</v>
      </c>
      <c r="R19" s="976" t="s">
        <v>1509</v>
      </c>
      <c r="S19" s="976" t="s">
        <v>1475</v>
      </c>
      <c r="U19" s="1027"/>
    </row>
    <row r="20" spans="1:21">
      <c r="A20" s="10">
        <f t="shared" si="0"/>
        <v>84</v>
      </c>
      <c r="B20" t="str">
        <f>Secteurs!$B$5</f>
        <v>Trituration</v>
      </c>
      <c r="C20" t="str">
        <f>Produits!$B$15</f>
        <v>Coques (+ eau)</v>
      </c>
      <c r="D20" s="888">
        <f>'Rend. trituration-TERRES UNIVIA'!D8</f>
        <v>1</v>
      </c>
      <c r="G20" t="str">
        <f>Etiquettes!$C$3</f>
        <v>kt</v>
      </c>
      <c r="H20" s="21" t="str">
        <f>Etiquettes!$H$6</f>
        <v>Colza</v>
      </c>
      <c r="I20" s="913" t="str">
        <f>Etiquettes!$C$5</f>
        <v>2015-16:2019-20:2023-24</v>
      </c>
      <c r="J20" t="str">
        <f>Etiquettes!$C$4</f>
        <v>France entière</v>
      </c>
      <c r="M20" s="31"/>
      <c r="U20" s="1027" t="s">
        <v>1336</v>
      </c>
    </row>
    <row r="21" spans="1:21">
      <c r="A21" s="10">
        <f t="shared" si="0"/>
        <v>84</v>
      </c>
      <c r="B21" t="str">
        <f>Produits!$B$15</f>
        <v>Coques (+ eau)</v>
      </c>
      <c r="C21" t="str">
        <f>Secteurs!$B$24</f>
        <v>FAB</v>
      </c>
      <c r="D21">
        <v>-1</v>
      </c>
      <c r="G21" t="str">
        <f>Etiquettes!$C$3</f>
        <v>kt</v>
      </c>
      <c r="H21" s="21" t="str">
        <f>Etiquettes!$H$6</f>
        <v>Colza</v>
      </c>
      <c r="I21" s="913" t="str">
        <f>Etiquettes!$C$5</f>
        <v>2015-16:2019-20:2023-24</v>
      </c>
      <c r="J21" t="str">
        <f>Etiquettes!$C$4</f>
        <v>France entière</v>
      </c>
      <c r="K21" s="31" t="s">
        <v>1332</v>
      </c>
      <c r="M21" s="101" t="s">
        <v>1333</v>
      </c>
      <c r="N21" s="101" t="s">
        <v>1504</v>
      </c>
      <c r="O21" t="str">
        <f>Etiquettes!$J$11</f>
        <v>Répartition</v>
      </c>
      <c r="P21" t="str">
        <f t="shared" ref="P21" si="6">_xlfn.CONCAT(K21," = ",MROUND(D20*100,0.01)," % (",M21,")")</f>
        <v>Part de la consommation des coques (+ eau) par les FAB = 100 % (Terres Univia)</v>
      </c>
      <c r="Q21" t="str">
        <f>Etiquettes!$L$15</f>
        <v>Indicative</v>
      </c>
      <c r="R21" s="976" t="s">
        <v>1509</v>
      </c>
      <c r="S21" s="976" t="s">
        <v>1475</v>
      </c>
      <c r="U21" s="1027"/>
    </row>
    <row r="22" spans="1:21">
      <c r="A22" s="10">
        <f t="shared" si="0"/>
        <v>85</v>
      </c>
      <c r="B22" t="str">
        <f>Secteurs!$B$5</f>
        <v>Trituration</v>
      </c>
      <c r="C22" t="str">
        <f>Produits!$B$15</f>
        <v>Coques (+ eau)</v>
      </c>
      <c r="D22" s="888">
        <f>'Rend. trituration-TERRES UNIVIA'!D14</f>
        <v>1</v>
      </c>
      <c r="G22" t="str">
        <f>Etiquettes!$C$3</f>
        <v>kt</v>
      </c>
      <c r="H22" s="21" t="str">
        <f>Etiquettes!$I$6</f>
        <v>Tournesol</v>
      </c>
      <c r="I22" s="913" t="str">
        <f>Etiquettes!$C$5</f>
        <v>2015-16:2019-20:2023-24</v>
      </c>
      <c r="J22" t="str">
        <f>Etiquettes!$C$4</f>
        <v>France entière</v>
      </c>
      <c r="M22" s="31"/>
      <c r="U22" s="1027"/>
    </row>
    <row r="23" spans="1:21">
      <c r="A23" s="10">
        <f t="shared" si="0"/>
        <v>85</v>
      </c>
      <c r="B23" t="str">
        <f>Produits!$B$15</f>
        <v>Coques (+ eau)</v>
      </c>
      <c r="C23" t="str">
        <f>Secteurs!$B$37</f>
        <v>Combustion</v>
      </c>
      <c r="D23">
        <v>-1</v>
      </c>
      <c r="G23" t="str">
        <f>Etiquettes!$C$3</f>
        <v>kt</v>
      </c>
      <c r="H23" s="21" t="str">
        <f>Etiquettes!$I$6</f>
        <v>Tournesol</v>
      </c>
      <c r="I23" s="913" t="str">
        <f>Etiquettes!$C$5</f>
        <v>2015-16:2019-20:2023-24</v>
      </c>
      <c r="J23" t="str">
        <f>Etiquettes!$C$4</f>
        <v>France entière</v>
      </c>
      <c r="K23" s="31" t="s">
        <v>1335</v>
      </c>
      <c r="M23" s="101" t="s">
        <v>1333</v>
      </c>
      <c r="N23" s="101" t="s">
        <v>1504</v>
      </c>
      <c r="O23" t="str">
        <f>Etiquettes!$J$11</f>
        <v>Répartition</v>
      </c>
      <c r="P23" t="str">
        <f t="shared" ref="P23" si="7">_xlfn.CONCAT(K23," = ",MROUND(D22*100,0.01)," % (",M23,")")</f>
        <v>Part de la consommation des coques (+ eau) pour la combustion = 100 % (Terres Univia)</v>
      </c>
      <c r="Q23" t="str">
        <f>Etiquettes!$L$15</f>
        <v>Indicative</v>
      </c>
      <c r="R23" s="976" t="s">
        <v>1509</v>
      </c>
      <c r="S23" s="976" t="s">
        <v>1475</v>
      </c>
      <c r="U23" s="1027"/>
    </row>
    <row r="24" spans="1:21">
      <c r="A24" s="10">
        <f t="shared" si="0"/>
        <v>86</v>
      </c>
      <c r="B24" t="str">
        <f>Secteurs!$B$5</f>
        <v>Trituration</v>
      </c>
      <c r="C24" t="str">
        <f>Produits!$B$15</f>
        <v>Coques (+ eau)</v>
      </c>
      <c r="D24" s="888">
        <f>'Rend. trituration-TERRES UNIVIA'!D20</f>
        <v>1</v>
      </c>
      <c r="G24" t="str">
        <f>Etiquettes!$C$3</f>
        <v>kt</v>
      </c>
      <c r="H24" s="21" t="str">
        <f>Etiquettes!$J$6</f>
        <v>Soja</v>
      </c>
      <c r="I24" s="913" t="str">
        <f>Etiquettes!$C$5</f>
        <v>2015-16:2019-20:2023-24</v>
      </c>
      <c r="J24" t="str">
        <f>Etiquettes!$C$4</f>
        <v>France entière</v>
      </c>
      <c r="M24" s="31"/>
      <c r="U24" s="1027"/>
    </row>
    <row r="25" spans="1:21">
      <c r="A25" s="10">
        <f t="shared" si="0"/>
        <v>86</v>
      </c>
      <c r="B25" t="str">
        <f>Produits!$B$15</f>
        <v>Coques (+ eau)</v>
      </c>
      <c r="C25" t="str">
        <f>Secteurs!$B$24</f>
        <v>FAB</v>
      </c>
      <c r="D25">
        <v>-1</v>
      </c>
      <c r="G25" t="str">
        <f>Etiquettes!$C$3</f>
        <v>kt</v>
      </c>
      <c r="H25" s="21" t="str">
        <f>Etiquettes!$J$6</f>
        <v>Soja</v>
      </c>
      <c r="I25" s="913" t="str">
        <f>Etiquettes!$C$5</f>
        <v>2015-16:2019-20:2023-24</v>
      </c>
      <c r="J25" t="str">
        <f>Etiquettes!$C$4</f>
        <v>France entière</v>
      </c>
      <c r="K25" s="31" t="s">
        <v>1332</v>
      </c>
      <c r="M25" s="101" t="s">
        <v>1333</v>
      </c>
      <c r="N25" s="101" t="s">
        <v>1504</v>
      </c>
      <c r="O25" t="str">
        <f>Etiquettes!$J$11</f>
        <v>Répartition</v>
      </c>
      <c r="P25" t="str">
        <f t="shared" ref="P25" si="8">_xlfn.CONCAT(K25," = ",MROUND(D24*100,0.01)," % (",M25,")")</f>
        <v>Part de la consommation des coques (+ eau) par les FAB = 100 % (Terres Univia)</v>
      </c>
      <c r="Q25" t="str">
        <f>Etiquettes!$L$15</f>
        <v>Indicative</v>
      </c>
      <c r="R25" s="976" t="s">
        <v>1509</v>
      </c>
      <c r="S25" s="976" t="s">
        <v>1475</v>
      </c>
      <c r="U25" s="1027"/>
    </row>
    <row r="28" spans="1:21">
      <c r="I28"/>
      <c r="J28"/>
    </row>
    <row r="29" spans="1:21">
      <c r="J29"/>
    </row>
    <row r="30" spans="1:21">
      <c r="J30"/>
    </row>
    <row r="31" spans="1:21">
      <c r="I31"/>
      <c r="J31"/>
    </row>
    <row r="32" spans="1:21">
      <c r="J32"/>
    </row>
    <row r="33" spans="9:10">
      <c r="J33"/>
    </row>
    <row r="34" spans="9:10">
      <c r="I34"/>
      <c r="J34"/>
    </row>
    <row r="35" spans="9:10">
      <c r="J35"/>
    </row>
    <row r="36" spans="9:10">
      <c r="J36"/>
    </row>
  </sheetData>
  <mergeCells count="2">
    <mergeCell ref="U2:U19"/>
    <mergeCell ref="U20:U25"/>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AA33B-98B2-48C0-B402-4B26098E9DC4}">
  <sheetPr>
    <tabColor theme="1"/>
  </sheetPr>
  <dimension ref="A1:Q52"/>
  <sheetViews>
    <sheetView workbookViewId="0">
      <pane xSplit="2" ySplit="1" topLeftCell="C2" activePane="bottomRight" state="frozen"/>
      <selection activeCell="P28" sqref="P28"/>
      <selection pane="topRight" activeCell="P28" sqref="P28"/>
      <selection pane="bottomLeft" activeCell="P28" sqref="P28"/>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13">_xlfn._xlws.FILTER('Contraintes        '!G1:S200,ISTEXT('Contraintes        '!O1:O200))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13">_xlfn._xlws.FILTER('Contraintes        '!B2:C200,ISTEXT('Contraintes        '!O2:O200))</f>
        <v>Trituration</v>
      </c>
      <c r="B2" t="str">
        <v>Huile</v>
      </c>
      <c r="E2" t="str">
        <v>kt</v>
      </c>
      <c r="F2" t="str">
        <v>Colza</v>
      </c>
      <c r="G2" t="str">
        <v>2015-16:2019-20:2023-24</v>
      </c>
      <c r="H2" t="str">
        <v>France entière</v>
      </c>
      <c r="I2" t="str">
        <v>Rendement de production d'huile</v>
      </c>
      <c r="J2">
        <v>0</v>
      </c>
      <c r="K2" t="str">
        <v>Rapport méthodo Ademe calcul ACV - Terres Univia</v>
      </c>
      <c r="L2" t="str">
        <v>Rend. trituration-TERRES UNIVIA</v>
      </c>
      <c r="M2" t="str">
        <v>Rendement</v>
      </c>
      <c r="N2" t="str">
        <v>Rendement de production d'huile = 42,4 % (Rapport méthodo Ademe calcul ACV - Terres Univia)</v>
      </c>
      <c r="O2" t="str">
        <v>Probable</v>
      </c>
      <c r="P2" t="str">
        <v>Données collectées:Données déterminées</v>
      </c>
      <c r="Q2" t="str">
        <v>Donnée collectée (valeur du flux ou coefficient)</v>
      </c>
    </row>
    <row r="3" spans="1:17">
      <c r="A3" t="str">
        <v>Trituration</v>
      </c>
      <c r="B3" t="str">
        <v>Tourteaux</v>
      </c>
      <c r="E3" t="str">
        <v>kt</v>
      </c>
      <c r="F3" t="str">
        <v>Colza</v>
      </c>
      <c r="G3" t="str">
        <v>2015-16:2019-20:2023-24</v>
      </c>
      <c r="H3" t="str">
        <v>France entière</v>
      </c>
      <c r="I3" t="str">
        <v>Rendement de production de tourteau</v>
      </c>
      <c r="J3">
        <v>0</v>
      </c>
      <c r="K3" t="str">
        <v>Rapport méthodo Ademe calcul ACV - Terres Univia</v>
      </c>
      <c r="L3" t="str">
        <v>Rend. trituration-TERRES UNIVIA</v>
      </c>
      <c r="M3" t="str">
        <v>Rendement</v>
      </c>
      <c r="N3" t="str">
        <v>Rendement de production de tourteau = 55,8 % (Rapport méthodo Ademe calcul ACV - Terres Univia)</v>
      </c>
      <c r="O3" t="str">
        <v>Probable</v>
      </c>
      <c r="P3" t="str">
        <v>Données collectées:Données déterminées</v>
      </c>
      <c r="Q3" t="str">
        <v>Donnée collectée (valeur du flux ou coefficient)</v>
      </c>
    </row>
    <row r="4" spans="1:17">
      <c r="A4" t="str">
        <v>Trituration</v>
      </c>
      <c r="B4" t="str">
        <v>Coques (+ eau)</v>
      </c>
      <c r="E4" t="str">
        <v>kt</v>
      </c>
      <c r="F4" t="str">
        <v>Colza</v>
      </c>
      <c r="G4" t="str">
        <v>2015-16:2019-20:2023-24</v>
      </c>
      <c r="H4" t="str">
        <v>France entière</v>
      </c>
      <c r="I4" t="str">
        <v>Rendement de production de coques (+ eau)</v>
      </c>
      <c r="J4">
        <v>0</v>
      </c>
      <c r="K4" t="str">
        <v>Rapport méthodo Ademe calcul ACV - Terres Univia</v>
      </c>
      <c r="L4" t="str">
        <v>Rend. trituration-TERRES UNIVIA</v>
      </c>
      <c r="M4" t="str">
        <v>Rendement</v>
      </c>
      <c r="N4" t="str">
        <v>Rendement de production de coques (+ eau) = 1,8 % (Rapport méthodo Ademe calcul ACV - Terres Univia)</v>
      </c>
      <c r="O4" t="str">
        <v>Probable</v>
      </c>
      <c r="P4" t="str">
        <v>Données collectées:Données déterminées</v>
      </c>
      <c r="Q4" t="str">
        <v>Donnée collectée (valeur du flux ou coefficient)</v>
      </c>
    </row>
    <row r="5" spans="1:17">
      <c r="A5" t="str">
        <v>Trituration</v>
      </c>
      <c r="B5" t="str">
        <v>Huile</v>
      </c>
      <c r="E5" t="str">
        <v>kt</v>
      </c>
      <c r="F5" t="str">
        <v>Tournesol</v>
      </c>
      <c r="G5" t="str">
        <v>2015-16:2019-20:2023-24</v>
      </c>
      <c r="H5" t="str">
        <v>France entière</v>
      </c>
      <c r="I5" t="str">
        <v>Rendement de production d'huile</v>
      </c>
      <c r="J5">
        <v>0</v>
      </c>
      <c r="K5" t="str">
        <v>Rapport méthodo Ademe calcul ACV - Terres Univia</v>
      </c>
      <c r="L5" t="str">
        <v>Rend. trituration-TERRES UNIVIA</v>
      </c>
      <c r="M5" t="str">
        <v>Rendement</v>
      </c>
      <c r="N5" t="str">
        <v>Rendement de production d'huile = 44,3 % (Rapport méthodo Ademe calcul ACV - Terres Univia)</v>
      </c>
      <c r="O5" t="str">
        <v>Probable</v>
      </c>
      <c r="P5" t="str">
        <v>Données collectées:Données déterminées</v>
      </c>
      <c r="Q5" t="str">
        <v>Donnée collectée (valeur du flux ou coefficient)</v>
      </c>
    </row>
    <row r="6" spans="1:17">
      <c r="A6" t="str">
        <v>Trituration</v>
      </c>
      <c r="B6" t="str">
        <v>Tourteaux</v>
      </c>
      <c r="E6" t="str">
        <v>kt</v>
      </c>
      <c r="F6" t="str">
        <v>Tournesol</v>
      </c>
      <c r="G6" t="str">
        <v>2015-16:2019-20:2023-24</v>
      </c>
      <c r="H6" t="str">
        <v>France entière</v>
      </c>
      <c r="I6" t="str">
        <v>Rendement de production de tourteau</v>
      </c>
      <c r="J6">
        <v>0</v>
      </c>
      <c r="K6" t="str">
        <v>Rapport méthodo Ademe calcul ACV - Terres Univia</v>
      </c>
      <c r="L6" t="str">
        <v>Rend. trituration-TERRES UNIVIA</v>
      </c>
      <c r="M6" t="str">
        <v>Rendement</v>
      </c>
      <c r="N6" t="str">
        <v>Rendement de production de tourteau = 54 % (Rapport méthodo Ademe calcul ACV - Terres Univia)</v>
      </c>
      <c r="O6" t="str">
        <v>Probable</v>
      </c>
      <c r="P6" t="str">
        <v>Données collectées:Données déterminées</v>
      </c>
      <c r="Q6" t="str">
        <v>Donnée collectée (valeur du flux ou coefficient)</v>
      </c>
    </row>
    <row r="7" spans="1:17">
      <c r="A7" t="str">
        <v>Trituration</v>
      </c>
      <c r="B7" t="str">
        <v>Coques (+ eau)</v>
      </c>
      <c r="E7" t="str">
        <v>kt</v>
      </c>
      <c r="F7" t="str">
        <v>Tournesol</v>
      </c>
      <c r="G7" t="str">
        <v>2015-16:2019-20:2023-24</v>
      </c>
      <c r="H7" t="str">
        <v>France entière</v>
      </c>
      <c r="I7" t="str">
        <v>Rendement de production de coques (+ eau)</v>
      </c>
      <c r="J7">
        <v>0</v>
      </c>
      <c r="K7" t="str">
        <v>Rapport méthodo Ademe calcul ACV - Terres Univia</v>
      </c>
      <c r="L7" t="str">
        <v>Rend. trituration-TERRES UNIVIA</v>
      </c>
      <c r="M7" t="str">
        <v>Rendement</v>
      </c>
      <c r="N7" t="str">
        <v>Rendement de production de coques (+ eau) = 1,7 % (Rapport méthodo Ademe calcul ACV - Terres Univia)</v>
      </c>
      <c r="O7" t="str">
        <v>Probable</v>
      </c>
      <c r="P7" t="str">
        <v>Données collectées:Données déterminées</v>
      </c>
      <c r="Q7" t="str">
        <v>Donnée collectée (valeur du flux ou coefficient)</v>
      </c>
    </row>
    <row r="8" spans="1:17">
      <c r="A8" t="str">
        <v>Trituration</v>
      </c>
      <c r="B8" t="str">
        <v>Huile</v>
      </c>
      <c r="E8" t="str">
        <v>kt</v>
      </c>
      <c r="F8" t="str">
        <v>Soja</v>
      </c>
      <c r="G8" t="str">
        <v>2015-16:2019-20:2023-24</v>
      </c>
      <c r="H8" t="str">
        <v>France entière</v>
      </c>
      <c r="I8" t="str">
        <v>Rendement de production d'huile</v>
      </c>
      <c r="J8">
        <v>0</v>
      </c>
      <c r="K8" t="str">
        <v>Rapport méthodo Ademe calcul ACV - Terres Univia</v>
      </c>
      <c r="L8" t="str">
        <v>Rend. trituration-TERRES UNIVIA</v>
      </c>
      <c r="M8" t="str">
        <v>Rendement</v>
      </c>
      <c r="N8" t="str">
        <v>Rendement de production d'huile = 18,8 % (Rapport méthodo Ademe calcul ACV - Terres Univia)</v>
      </c>
      <c r="O8" t="str">
        <v>Probable</v>
      </c>
      <c r="P8" t="str">
        <v>Données collectées:Données déterminées</v>
      </c>
      <c r="Q8" t="str">
        <v>Donnée collectée (valeur du flux ou coefficient)</v>
      </c>
    </row>
    <row r="9" spans="1:17">
      <c r="A9" t="str">
        <v>Trituration</v>
      </c>
      <c r="B9" t="str">
        <v>Tourteaux</v>
      </c>
      <c r="E9" t="str">
        <v>kt</v>
      </c>
      <c r="F9" t="str">
        <v>Soja</v>
      </c>
      <c r="G9" t="str">
        <v>2015-16:2019-20:2023-24</v>
      </c>
      <c r="H9" t="str">
        <v>France entière</v>
      </c>
      <c r="I9" t="str">
        <v>Rendement de production de tourteau</v>
      </c>
      <c r="J9">
        <v>0</v>
      </c>
      <c r="K9" t="str">
        <v>Rapport méthodo Ademe calcul ACV - Terres Univia</v>
      </c>
      <c r="L9" t="str">
        <v>Rend. trituration-TERRES UNIVIA</v>
      </c>
      <c r="M9" t="str">
        <v>Rendement</v>
      </c>
      <c r="N9" t="str">
        <v>Rendement de production de tourteau = 79,4 % (Rapport méthodo Ademe calcul ACV - Terres Univia)</v>
      </c>
      <c r="O9" t="str">
        <v>Probable</v>
      </c>
      <c r="P9" t="str">
        <v>Données collectées:Données déterminées</v>
      </c>
      <c r="Q9" t="str">
        <v>Donnée collectée (valeur du flux ou coefficient)</v>
      </c>
    </row>
    <row r="10" spans="1:17">
      <c r="A10" t="str">
        <v>Trituration</v>
      </c>
      <c r="B10" t="str">
        <v>Coques (+ eau)</v>
      </c>
      <c r="E10" t="str">
        <v>kt</v>
      </c>
      <c r="F10" t="str">
        <v>Soja</v>
      </c>
      <c r="G10" t="str">
        <v>2015-16:2019-20:2023-24</v>
      </c>
      <c r="H10" t="str">
        <v>France entière</v>
      </c>
      <c r="I10" t="str">
        <v>Rendement de production de coques (+ eau)</v>
      </c>
      <c r="J10">
        <v>0</v>
      </c>
      <c r="K10" t="str">
        <v>Rapport méthodo Ademe calcul ACV - Terres Univia</v>
      </c>
      <c r="L10" t="str">
        <v>Rend. trituration-TERRES UNIVIA</v>
      </c>
      <c r="M10" t="str">
        <v>Rendement</v>
      </c>
      <c r="N10" t="str">
        <v>Rendement de production de coques (+ eau) = 1,8 % (Rapport méthodo Ademe calcul ACV - Terres Univia)</v>
      </c>
      <c r="O10" t="str">
        <v>Probable</v>
      </c>
      <c r="P10" t="str">
        <v>Données collectées:Données déterminées</v>
      </c>
      <c r="Q10" t="str">
        <v>Donnée collectée (valeur du flux ou coefficient)</v>
      </c>
    </row>
    <row r="11" spans="1:17">
      <c r="A11" t="str">
        <v>Coques (+ eau)</v>
      </c>
      <c r="B11" t="str">
        <v>FAB</v>
      </c>
      <c r="E11" t="str">
        <v>kt</v>
      </c>
      <c r="F11" t="str">
        <v>Colza</v>
      </c>
      <c r="G11" t="str">
        <v>2015-16:2019-20:2023-24</v>
      </c>
      <c r="H11" t="str">
        <v>France entière</v>
      </c>
      <c r="I11" t="str">
        <v>Part de la consommation des coques (+ eau) par les FAB</v>
      </c>
      <c r="J11">
        <v>0</v>
      </c>
      <c r="K11" t="str">
        <v>Terres Univia</v>
      </c>
      <c r="L11" t="str">
        <v>Rend. trituration-TERRES UNIVIA</v>
      </c>
      <c r="M11" t="str">
        <v>Répartition</v>
      </c>
      <c r="N11" t="str">
        <v>Part de la consommation des coques (+ eau) par les FAB = 100 % (Terres Univia)</v>
      </c>
      <c r="O11" t="str">
        <v>Indicative</v>
      </c>
      <c r="P11" t="str">
        <v>Données collectées:Données déterminées</v>
      </c>
      <c r="Q11" t="str">
        <v>Donnée collectée (valeur du flux ou coefficient)</v>
      </c>
    </row>
    <row r="12" spans="1:17">
      <c r="A12" t="str">
        <v>Coques (+ eau)</v>
      </c>
      <c r="B12" t="str">
        <v>Combustion</v>
      </c>
      <c r="E12" t="str">
        <v>kt</v>
      </c>
      <c r="F12" t="str">
        <v>Tournesol</v>
      </c>
      <c r="G12" t="str">
        <v>2015-16:2019-20:2023-24</v>
      </c>
      <c r="H12" t="str">
        <v>France entière</v>
      </c>
      <c r="I12" t="str">
        <v>Part de la consommation des coques (+ eau) pour la combustion</v>
      </c>
      <c r="J12">
        <v>0</v>
      </c>
      <c r="K12" t="str">
        <v>Terres Univia</v>
      </c>
      <c r="L12" t="str">
        <v>Rend. trituration-TERRES UNIVIA</v>
      </c>
      <c r="M12" t="str">
        <v>Répartition</v>
      </c>
      <c r="N12" t="str">
        <v>Part de la consommation des coques (+ eau) pour la combustion = 100 % (Terres Univia)</v>
      </c>
      <c r="O12" t="str">
        <v>Indicative</v>
      </c>
      <c r="P12" t="str">
        <v>Données collectées:Données déterminées</v>
      </c>
      <c r="Q12" t="str">
        <v>Donnée collectée (valeur du flux ou coefficient)</v>
      </c>
    </row>
    <row r="13" spans="1:17">
      <c r="A13" t="str">
        <v>Coques (+ eau)</v>
      </c>
      <c r="B13" t="str">
        <v>FAB</v>
      </c>
      <c r="E13" t="str">
        <v>kt</v>
      </c>
      <c r="F13" t="str">
        <v>Soja</v>
      </c>
      <c r="G13" t="str">
        <v>2015-16:2019-20:2023-24</v>
      </c>
      <c r="H13" t="str">
        <v>France entière</v>
      </c>
      <c r="I13" t="str">
        <v>Part de la consommation des coques (+ eau) par les FAB</v>
      </c>
      <c r="J13">
        <v>0</v>
      </c>
      <c r="K13" t="str">
        <v>Terres Univia</v>
      </c>
      <c r="L13" t="str">
        <v>Rend. trituration-TERRES UNIVIA</v>
      </c>
      <c r="M13" t="str">
        <v>Répartition</v>
      </c>
      <c r="N13" t="str">
        <v>Part de la consommation des coques (+ eau) par les FAB = 100 % (Terres Univia)</v>
      </c>
      <c r="O13" t="str">
        <v>Indicative</v>
      </c>
      <c r="P13" t="str">
        <v>Données collectées:Données déterminées</v>
      </c>
      <c r="Q13" t="str">
        <v>Donnée collectée (valeur du flux ou coefficient)</v>
      </c>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50891-EFC4-4EE2-9CAA-24978F619ABB}">
  <sheetPr>
    <tabColor rgb="FFFFC000"/>
  </sheetPr>
  <dimension ref="A1:E20"/>
  <sheetViews>
    <sheetView workbookViewId="0">
      <selection activeCell="A3" sqref="A3"/>
    </sheetView>
  </sheetViews>
  <sheetFormatPr baseColWidth="10" defaultRowHeight="14.4"/>
  <sheetData>
    <row r="1" spans="1:5">
      <c r="A1" t="s">
        <v>1303</v>
      </c>
    </row>
    <row r="2" spans="1:5" ht="15" customHeight="1">
      <c r="A2" s="1083" t="s">
        <v>1453</v>
      </c>
      <c r="B2" s="1083"/>
      <c r="C2" s="1083"/>
      <c r="D2" s="1083"/>
    </row>
    <row r="4" spans="1:5">
      <c r="A4" s="938" t="s">
        <v>80</v>
      </c>
    </row>
    <row r="5" spans="1:5">
      <c r="B5" t="s">
        <v>720</v>
      </c>
      <c r="C5" s="912">
        <v>0.42399999999999999</v>
      </c>
    </row>
    <row r="6" spans="1:5">
      <c r="B6" t="s">
        <v>1065</v>
      </c>
      <c r="C6" s="912">
        <v>0.55800000000000005</v>
      </c>
    </row>
    <row r="7" spans="1:5">
      <c r="B7" t="s">
        <v>1212</v>
      </c>
      <c r="C7">
        <f>SUM(C5:C6)</f>
        <v>0.98199999999999998</v>
      </c>
    </row>
    <row r="8" spans="1:5">
      <c r="B8" t="s">
        <v>1326</v>
      </c>
      <c r="C8" s="912">
        <f>1-C7</f>
        <v>1.8000000000000016E-2</v>
      </c>
      <c r="D8" s="912">
        <v>1</v>
      </c>
      <c r="E8" t="s">
        <v>729</v>
      </c>
    </row>
    <row r="10" spans="1:5">
      <c r="A10" s="938" t="s">
        <v>81</v>
      </c>
    </row>
    <row r="11" spans="1:5">
      <c r="B11" t="s">
        <v>720</v>
      </c>
      <c r="C11" s="912">
        <v>0.443</v>
      </c>
    </row>
    <row r="12" spans="1:5">
      <c r="B12" t="s">
        <v>1065</v>
      </c>
      <c r="C12" s="912">
        <v>0.54</v>
      </c>
    </row>
    <row r="13" spans="1:5">
      <c r="B13" t="s">
        <v>1212</v>
      </c>
      <c r="C13">
        <f>SUM(C11:C12)</f>
        <v>0.9830000000000001</v>
      </c>
    </row>
    <row r="14" spans="1:5">
      <c r="B14" t="s">
        <v>1327</v>
      </c>
      <c r="C14" s="912">
        <f>1-C13</f>
        <v>1.6999999999999904E-2</v>
      </c>
      <c r="D14" s="912">
        <v>1</v>
      </c>
      <c r="E14" t="s">
        <v>737</v>
      </c>
    </row>
    <row r="16" spans="1:5">
      <c r="A16" s="938" t="s">
        <v>82</v>
      </c>
    </row>
    <row r="17" spans="2:5">
      <c r="B17" t="s">
        <v>720</v>
      </c>
      <c r="C17" s="912">
        <v>0.188</v>
      </c>
    </row>
    <row r="18" spans="2:5">
      <c r="B18" t="s">
        <v>1065</v>
      </c>
      <c r="C18" s="912">
        <v>0.79400000000000004</v>
      </c>
    </row>
    <row r="19" spans="2:5">
      <c r="B19" t="s">
        <v>1212</v>
      </c>
      <c r="C19">
        <f>SUM(C17:C18)</f>
        <v>0.98199999999999998</v>
      </c>
    </row>
    <row r="20" spans="2:5">
      <c r="B20" t="s">
        <v>1326</v>
      </c>
      <c r="C20" s="912">
        <f>1-C19</f>
        <v>1.8000000000000016E-2</v>
      </c>
      <c r="D20" s="912">
        <v>1</v>
      </c>
      <c r="E20" t="s">
        <v>729</v>
      </c>
    </row>
  </sheetData>
  <mergeCells count="1">
    <mergeCell ref="A2:D2"/>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09E5D-B2BE-47EC-87BA-AD33906806B0}">
  <sheetPr>
    <tabColor rgb="FF92D050"/>
  </sheetPr>
  <dimension ref="A1:U15"/>
  <sheetViews>
    <sheetView workbookViewId="0">
      <pane xSplit="3" ySplit="1" topLeftCell="F2" activePane="bottomRight" state="frozen"/>
      <selection activeCell="O21" sqref="O21"/>
      <selection pane="topRight" activeCell="O21" sqref="O21"/>
      <selection pane="bottomLeft" activeCell="O21" sqref="O21"/>
      <selection pane="bottomRight" activeCell="C11" sqref="C11"/>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        '!A24+1</f>
        <v>87</v>
      </c>
      <c r="B2" t="str">
        <f>Produits!$B$13</f>
        <v>Huile</v>
      </c>
      <c r="C2" t="str">
        <f>Secteurs!$B$12</f>
        <v>Débouchés</v>
      </c>
      <c r="D2" s="888">
        <f>'Usages huiles - TERRES UNIVIA'!E6</f>
        <v>0.64878892733564009</v>
      </c>
      <c r="E2" s="888"/>
      <c r="G2" t="str">
        <f>Etiquettes!$C$3</f>
        <v>kt</v>
      </c>
      <c r="H2" s="21" t="str">
        <f>Etiquettes!$I$6</f>
        <v>Tournesol</v>
      </c>
      <c r="I2" s="913" t="str">
        <f>Etiquettes!$C$5</f>
        <v>2015-16:2019-20:2023-24</v>
      </c>
      <c r="J2" t="str">
        <f>Etiquettes!$C$4</f>
        <v>France entière</v>
      </c>
      <c r="P2" s="10"/>
      <c r="U2" s="1028" t="s">
        <v>1351</v>
      </c>
    </row>
    <row r="3" spans="1:21">
      <c r="A3" s="10">
        <f>'Contraintes        '!A25+1</f>
        <v>87</v>
      </c>
      <c r="B3" t="str">
        <f>Produits!$B$13</f>
        <v>Huile</v>
      </c>
      <c r="C3" t="str">
        <f>Secteurs!$B$16</f>
        <v>Ménages</v>
      </c>
      <c r="D3">
        <v>-1</v>
      </c>
      <c r="G3" t="str">
        <f>Etiquettes!$C$3</f>
        <v>kt</v>
      </c>
      <c r="H3" s="21" t="str">
        <f>Etiquettes!$I$6</f>
        <v>Tournesol</v>
      </c>
      <c r="I3" s="913" t="str">
        <f>Etiquettes!$C$5</f>
        <v>2015-16:2019-20:2023-24</v>
      </c>
      <c r="J3" t="str">
        <f>Etiquettes!$C$4</f>
        <v>France entière</v>
      </c>
      <c r="K3" s="31" t="s">
        <v>1338</v>
      </c>
      <c r="L3" s="31" t="s">
        <v>1344</v>
      </c>
      <c r="M3" s="101" t="s">
        <v>1333</v>
      </c>
      <c r="N3" s="101" t="s">
        <v>1505</v>
      </c>
      <c r="O3" t="str">
        <f>Etiquettes!$J$11</f>
        <v>Répartition</v>
      </c>
      <c r="P3" t="str">
        <f>_xlfn.CONCAT(K3," = ",MROUND(D2*100,0.01)," % (",M3,")")</f>
        <v>Part de consommation d'huile par les ménages = 64,88 % (Terres Univia)</v>
      </c>
      <c r="Q3" t="str">
        <f>Etiquettes!$K$15</f>
        <v>Approximative</v>
      </c>
      <c r="R3" s="976" t="s">
        <v>1509</v>
      </c>
      <c r="S3" s="976" t="s">
        <v>1475</v>
      </c>
      <c r="U3" s="1027"/>
    </row>
    <row r="4" spans="1:21">
      <c r="A4" s="10">
        <f>A2+1</f>
        <v>88</v>
      </c>
      <c r="B4" t="str">
        <f>Produits!$B$13</f>
        <v>Huile</v>
      </c>
      <c r="C4" t="str">
        <f>Secteurs!$B$12</f>
        <v>Débouchés</v>
      </c>
      <c r="D4" s="888">
        <f>'Usages huiles - TERRES UNIVIA'!E7</f>
        <v>0.2179930795847751</v>
      </c>
      <c r="E4" s="888"/>
      <c r="G4" t="str">
        <f>Etiquettes!$C$3</f>
        <v>kt</v>
      </c>
      <c r="H4" s="21" t="str">
        <f>Etiquettes!$I$6</f>
        <v>Tournesol</v>
      </c>
      <c r="I4" s="913" t="str">
        <f>Etiquettes!$C$5</f>
        <v>2015-16:2019-20:2023-24</v>
      </c>
      <c r="J4" t="str">
        <f>Etiquettes!$C$4</f>
        <v>France entière</v>
      </c>
      <c r="M4" s="31"/>
      <c r="P4" s="10"/>
      <c r="U4" s="1027"/>
    </row>
    <row r="5" spans="1:21">
      <c r="A5" s="10">
        <f t="shared" ref="A5:A15" si="0">A3+1</f>
        <v>88</v>
      </c>
      <c r="B5" t="str">
        <f>Produits!$B$13</f>
        <v>Huile</v>
      </c>
      <c r="C5" t="str">
        <f>Secteurs!$B$21</f>
        <v>Autres IAA</v>
      </c>
      <c r="D5">
        <v>-1</v>
      </c>
      <c r="G5" t="str">
        <f>Etiquettes!$C$3</f>
        <v>kt</v>
      </c>
      <c r="H5" s="21" t="str">
        <f>Etiquettes!$I$6</f>
        <v>Tournesol</v>
      </c>
      <c r="I5" s="913" t="str">
        <f>Etiquettes!$C$5</f>
        <v>2015-16:2019-20:2023-24</v>
      </c>
      <c r="J5" t="str">
        <f>Etiquettes!$C$4</f>
        <v>France entière</v>
      </c>
      <c r="K5" s="31" t="s">
        <v>1339</v>
      </c>
      <c r="L5" s="31" t="s">
        <v>1344</v>
      </c>
      <c r="M5" s="101" t="s">
        <v>1333</v>
      </c>
      <c r="N5" s="101" t="s">
        <v>1505</v>
      </c>
      <c r="O5" t="str">
        <f>Etiquettes!$J$11</f>
        <v>Répartition</v>
      </c>
      <c r="P5" t="str">
        <f>_xlfn.CONCAT(K5," = ",MROUND(D4*100,0.01)," % (",M5,")")</f>
        <v>Part de consommation d'huile par les autres IAA = 21,8 % (Terres Univia)</v>
      </c>
      <c r="Q5" t="str">
        <f>Etiquettes!$K$15</f>
        <v>Approximative</v>
      </c>
      <c r="R5" s="976" t="s">
        <v>1509</v>
      </c>
      <c r="S5" s="976" t="s">
        <v>1475</v>
      </c>
      <c r="U5" s="1027"/>
    </row>
    <row r="6" spans="1:21">
      <c r="A6" s="10">
        <f t="shared" si="0"/>
        <v>89</v>
      </c>
      <c r="B6" t="str">
        <f>Produits!$B$13</f>
        <v>Huile</v>
      </c>
      <c r="C6" t="str">
        <f>Secteurs!$B$12</f>
        <v>Débouchés</v>
      </c>
      <c r="D6" s="888">
        <f>'Usages huiles - TERRES UNIVIA'!E8</f>
        <v>7.9584775086505188E-2</v>
      </c>
      <c r="E6" s="888"/>
      <c r="G6" t="str">
        <f>Etiquettes!$C$3</f>
        <v>kt</v>
      </c>
      <c r="H6" s="21" t="str">
        <f>Etiquettes!$I$6</f>
        <v>Tournesol</v>
      </c>
      <c r="I6" s="913" t="str">
        <f>Etiquettes!$C$5</f>
        <v>2015-16:2019-20:2023-24</v>
      </c>
      <c r="J6" t="str">
        <f>Etiquettes!$C$4</f>
        <v>France entière</v>
      </c>
      <c r="M6" s="31"/>
      <c r="P6" s="10"/>
      <c r="U6" s="1027"/>
    </row>
    <row r="7" spans="1:21">
      <c r="A7" s="10">
        <f t="shared" si="0"/>
        <v>89</v>
      </c>
      <c r="B7" t="str">
        <f>Produits!$B$13</f>
        <v>Huile</v>
      </c>
      <c r="C7" t="str">
        <f>Secteurs!$B$41</f>
        <v>Autres industries</v>
      </c>
      <c r="D7">
        <v>-1</v>
      </c>
      <c r="G7" t="str">
        <f>Etiquettes!$C$3</f>
        <v>kt</v>
      </c>
      <c r="H7" s="21" t="str">
        <f>Etiquettes!$I$6</f>
        <v>Tournesol</v>
      </c>
      <c r="I7" s="913" t="str">
        <f>Etiquettes!$C$5</f>
        <v>2015-16:2019-20:2023-24</v>
      </c>
      <c r="J7" t="str">
        <f>Etiquettes!$C$4</f>
        <v>France entière</v>
      </c>
      <c r="K7" s="31" t="s">
        <v>1340</v>
      </c>
      <c r="L7" s="31" t="s">
        <v>1344</v>
      </c>
      <c r="M7" s="101" t="s">
        <v>1333</v>
      </c>
      <c r="N7" s="101" t="s">
        <v>1505</v>
      </c>
      <c r="O7" t="str">
        <f>Etiquettes!$J$11</f>
        <v>Répartition</v>
      </c>
      <c r="P7" t="str">
        <f>_xlfn.CONCAT(K7," = ",MROUND(D6*100,0.01)," % (",M7,")")</f>
        <v>Part de consommation d'huile par les autres industries = 7,96 % (Terres Univia)</v>
      </c>
      <c r="Q7" t="str">
        <f>Etiquettes!$K$15</f>
        <v>Approximative</v>
      </c>
      <c r="R7" s="976" t="s">
        <v>1509</v>
      </c>
      <c r="S7" s="976" t="s">
        <v>1475</v>
      </c>
      <c r="U7" s="1027"/>
    </row>
    <row r="8" spans="1:21">
      <c r="A8" s="10">
        <f t="shared" si="0"/>
        <v>90</v>
      </c>
      <c r="B8" t="str">
        <f>Produits!$B$13</f>
        <v>Huile</v>
      </c>
      <c r="C8" t="str">
        <f>Secteurs!$B$12</f>
        <v>Débouchés</v>
      </c>
      <c r="D8" s="888">
        <f>'Usages huiles - TERRES UNIVIA'!E9</f>
        <v>5.3633217993079588E-2</v>
      </c>
      <c r="E8" s="888"/>
      <c r="G8" t="str">
        <f>Etiquettes!$C$3</f>
        <v>kt</v>
      </c>
      <c r="H8" s="21" t="str">
        <f>Etiquettes!$I$6</f>
        <v>Tournesol</v>
      </c>
      <c r="I8" s="913" t="str">
        <f>Etiquettes!$C$5</f>
        <v>2015-16:2019-20:2023-24</v>
      </c>
      <c r="J8" t="str">
        <f>Etiquettes!$C$4</f>
        <v>France entière</v>
      </c>
      <c r="M8" s="31"/>
      <c r="P8" s="10"/>
      <c r="U8" s="1027"/>
    </row>
    <row r="9" spans="1:21">
      <c r="A9" s="10">
        <f t="shared" si="0"/>
        <v>90</v>
      </c>
      <c r="B9" t="str">
        <f>Produits!$B$13</f>
        <v>Huile</v>
      </c>
      <c r="C9" t="str">
        <f>Secteurs!$B$35</f>
        <v>Biocarburants</v>
      </c>
      <c r="D9">
        <v>-1</v>
      </c>
      <c r="G9" t="str">
        <f>Etiquettes!$C$3</f>
        <v>kt</v>
      </c>
      <c r="H9" s="21" t="str">
        <f>Etiquettes!$I$6</f>
        <v>Tournesol</v>
      </c>
      <c r="I9" s="913" t="str">
        <f>Etiquettes!$C$5</f>
        <v>2015-16:2019-20:2023-24</v>
      </c>
      <c r="J9" t="str">
        <f>Etiquettes!$C$4</f>
        <v>France entière</v>
      </c>
      <c r="K9" s="31" t="s">
        <v>1341</v>
      </c>
      <c r="L9" s="31" t="s">
        <v>1344</v>
      </c>
      <c r="M9" s="101" t="s">
        <v>1452</v>
      </c>
      <c r="N9" s="101" t="s">
        <v>1505</v>
      </c>
      <c r="O9" t="str">
        <f>Etiquettes!$J$11</f>
        <v>Répartition</v>
      </c>
      <c r="P9" t="str">
        <f>_xlfn.CONCAT(K9," = ",MROUND(D8*100,0.01)," % (",M9,")")</f>
        <v>Part de consommation d'huile en biocarburants = 5,36 % (Veille concurrentielle biocarburants - FranceAgriMer)</v>
      </c>
      <c r="Q9" t="str">
        <f>Etiquettes!$K$15</f>
        <v>Approximative</v>
      </c>
      <c r="R9" s="976" t="s">
        <v>1509</v>
      </c>
      <c r="S9" s="976" t="s">
        <v>1475</v>
      </c>
      <c r="U9" s="1027"/>
    </row>
    <row r="10" spans="1:21">
      <c r="A10" s="10">
        <f t="shared" si="0"/>
        <v>91</v>
      </c>
      <c r="B10" t="str">
        <f>Produits!$B$13</f>
        <v>Huile</v>
      </c>
      <c r="C10" t="str">
        <f>Secteurs!$B$12</f>
        <v>Débouchés</v>
      </c>
      <c r="D10" s="888">
        <f>'Usages huiles - TERRES UNIVIA'!E15</f>
        <v>0.36797536566589684</v>
      </c>
      <c r="E10" s="888"/>
      <c r="G10" t="str">
        <f>Etiquettes!$C$3</f>
        <v>kt</v>
      </c>
      <c r="H10" s="21" t="str">
        <f>Etiquettes!$H$6</f>
        <v>Colza</v>
      </c>
      <c r="I10" s="913" t="str">
        <f>Etiquettes!$C$5</f>
        <v>2015-16:2019-20:2023-24</v>
      </c>
      <c r="J10" t="str">
        <f>Etiquettes!$C$4</f>
        <v>France entière</v>
      </c>
      <c r="M10" s="31"/>
      <c r="U10" s="1027"/>
    </row>
    <row r="11" spans="1:21">
      <c r="A11" s="10">
        <f t="shared" si="0"/>
        <v>91</v>
      </c>
      <c r="B11" t="str">
        <f>Produits!$B$13</f>
        <v>Huile</v>
      </c>
      <c r="C11" t="str">
        <f>Secteurs!$B$14</f>
        <v>Alimentation humaine</v>
      </c>
      <c r="D11">
        <v>-1</v>
      </c>
      <c r="G11" t="str">
        <f>Etiquettes!$C$3</f>
        <v>kt</v>
      </c>
      <c r="H11" s="21" t="str">
        <f>Etiquettes!$H$6</f>
        <v>Colza</v>
      </c>
      <c r="I11" s="913" t="str">
        <f>Etiquettes!$C$5</f>
        <v>2015-16:2019-20:2023-24</v>
      </c>
      <c r="J11" t="str">
        <f>Etiquettes!$C$4</f>
        <v>France entière</v>
      </c>
      <c r="K11" s="31" t="s">
        <v>1342</v>
      </c>
      <c r="L11" s="31" t="s">
        <v>1344</v>
      </c>
      <c r="M11" s="101" t="s">
        <v>1333</v>
      </c>
      <c r="N11" s="101" t="s">
        <v>1505</v>
      </c>
      <c r="O11" t="str">
        <f>Etiquettes!$J$11</f>
        <v>Répartition</v>
      </c>
      <c r="P11" t="str">
        <f>_xlfn.CONCAT(K11," = ",MROUND(D10*100,0.01)," % (",M11,")")</f>
        <v>Part de consommation d'huile en alimentation humaine = 36,8 % (Terres Univia)</v>
      </c>
      <c r="Q11" t="str">
        <f>Etiquettes!$K$15</f>
        <v>Approximative</v>
      </c>
      <c r="R11" s="976" t="s">
        <v>1509</v>
      </c>
      <c r="S11" s="976" t="s">
        <v>1475</v>
      </c>
      <c r="U11" s="1027"/>
    </row>
    <row r="12" spans="1:21">
      <c r="A12" s="10">
        <f t="shared" si="0"/>
        <v>92</v>
      </c>
      <c r="B12" t="str">
        <f>Produits!$B$13</f>
        <v>Huile</v>
      </c>
      <c r="C12" t="str">
        <f>Secteurs!$B$12</f>
        <v>Débouchés</v>
      </c>
      <c r="D12" s="888">
        <f>'Usages huiles - TERRES UNIVIA'!E16</f>
        <v>0.61123941493456502</v>
      </c>
      <c r="E12" s="888"/>
      <c r="G12" t="str">
        <f>Etiquettes!$C$3</f>
        <v>kt</v>
      </c>
      <c r="H12" s="21" t="str">
        <f>Etiquettes!$H$6</f>
        <v>Colza</v>
      </c>
      <c r="I12" s="913" t="str">
        <f>Etiquettes!$C$5</f>
        <v>2015-16:2019-20:2023-24</v>
      </c>
      <c r="J12" t="str">
        <f>Etiquettes!$C$4</f>
        <v>France entière</v>
      </c>
      <c r="M12" s="31"/>
      <c r="U12" s="1027"/>
    </row>
    <row r="13" spans="1:21">
      <c r="A13" s="10">
        <f t="shared" si="0"/>
        <v>92</v>
      </c>
      <c r="B13" t="str">
        <f>Produits!$B$13</f>
        <v>Huile</v>
      </c>
      <c r="C13" t="str">
        <f>Secteurs!$B$35</f>
        <v>Biocarburants</v>
      </c>
      <c r="D13">
        <v>-1</v>
      </c>
      <c r="G13" t="str">
        <f>Etiquettes!$C$3</f>
        <v>kt</v>
      </c>
      <c r="H13" s="21" t="str">
        <f>Etiquettes!$H$6</f>
        <v>Colza</v>
      </c>
      <c r="I13" s="913" t="str">
        <f>Etiquettes!$C$5</f>
        <v>2015-16:2019-20:2023-24</v>
      </c>
      <c r="J13" t="str">
        <f>Etiquettes!$C$4</f>
        <v>France entière</v>
      </c>
      <c r="K13" s="31" t="s">
        <v>1341</v>
      </c>
      <c r="L13" s="31" t="s">
        <v>1344</v>
      </c>
      <c r="M13" s="101" t="s">
        <v>1452</v>
      </c>
      <c r="N13" s="101" t="s">
        <v>1505</v>
      </c>
      <c r="O13" t="str">
        <f>Etiquettes!$J$11</f>
        <v>Répartition</v>
      </c>
      <c r="P13" t="str">
        <f>_xlfn.CONCAT(K13," = ",MROUND(D12*100,0.01)," % (",M13,")")</f>
        <v>Part de consommation d'huile en biocarburants = 61,12 % (Veille concurrentielle biocarburants - FranceAgriMer)</v>
      </c>
      <c r="Q13" t="str">
        <f>Etiquettes!$K$15</f>
        <v>Approximative</v>
      </c>
      <c r="R13" s="976" t="s">
        <v>1509</v>
      </c>
      <c r="S13" s="976" t="s">
        <v>1475</v>
      </c>
      <c r="U13" s="1027"/>
    </row>
    <row r="14" spans="1:21">
      <c r="A14" s="10">
        <f t="shared" si="0"/>
        <v>93</v>
      </c>
      <c r="B14" t="str">
        <f>Produits!$B$13</f>
        <v>Huile</v>
      </c>
      <c r="C14" t="str">
        <f>Secteurs!$B$12</f>
        <v>Débouchés</v>
      </c>
      <c r="D14" s="888">
        <f>'Usages huiles - TERRES UNIVIA'!E17</f>
        <v>2.0785219399538105E-2</v>
      </c>
      <c r="E14" s="888"/>
      <c r="G14" t="str">
        <f>Etiquettes!$C$3</f>
        <v>kt</v>
      </c>
      <c r="H14" s="21" t="str">
        <f>Etiquettes!$H$6</f>
        <v>Colza</v>
      </c>
      <c r="I14" s="913" t="str">
        <f>Etiquettes!$C$5</f>
        <v>2015-16:2019-20:2023-24</v>
      </c>
      <c r="J14" t="str">
        <f>Etiquettes!$C$4</f>
        <v>France entière</v>
      </c>
      <c r="M14" s="31"/>
      <c r="U14" s="1027"/>
    </row>
    <row r="15" spans="1:21">
      <c r="A15" s="10">
        <f t="shared" si="0"/>
        <v>93</v>
      </c>
      <c r="B15" t="str">
        <f>Produits!$B$13</f>
        <v>Huile</v>
      </c>
      <c r="C15" t="str">
        <f>Secteurs!$B$41</f>
        <v>Autres industries</v>
      </c>
      <c r="D15">
        <v>-1</v>
      </c>
      <c r="G15" t="str">
        <f>Etiquettes!$C$3</f>
        <v>kt</v>
      </c>
      <c r="H15" s="21" t="str">
        <f>Etiquettes!$H$6</f>
        <v>Colza</v>
      </c>
      <c r="I15" s="913" t="str">
        <f>Etiquettes!$C$5</f>
        <v>2015-16:2019-20:2023-24</v>
      </c>
      <c r="J15" t="str">
        <f>Etiquettes!$C$4</f>
        <v>France entière</v>
      </c>
      <c r="K15" s="31" t="s">
        <v>1343</v>
      </c>
      <c r="L15" s="31" t="s">
        <v>1344</v>
      </c>
      <c r="M15" s="101" t="s">
        <v>1333</v>
      </c>
      <c r="N15" s="101" t="s">
        <v>1505</v>
      </c>
      <c r="O15" t="str">
        <f>Etiquettes!$J$11</f>
        <v>Répartition</v>
      </c>
      <c r="P15" t="str">
        <f>_xlfn.CONCAT(K15," = ",MROUND(D14*100,0.01)," % (",M15,")")</f>
        <v>Part de consommation d'huile pour des usages non-alimentaires = 2,08 % (Terres Univia)</v>
      </c>
      <c r="Q15" t="str">
        <f>Etiquettes!$K$15</f>
        <v>Approximative</v>
      </c>
      <c r="R15" s="976" t="s">
        <v>1509</v>
      </c>
      <c r="S15" s="976" t="s">
        <v>1475</v>
      </c>
      <c r="U15" s="1027"/>
    </row>
  </sheetData>
  <mergeCells count="1">
    <mergeCell ref="U2:U15"/>
  </mergeCells>
  <phoneticPr fontId="114" type="noConversion"/>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6E4D0-930D-4F0A-B180-F66AFC2B73B0}">
  <sheetPr>
    <tabColor theme="1"/>
  </sheetPr>
  <dimension ref="A1:Q52"/>
  <sheetViews>
    <sheetView workbookViewId="0">
      <pane xSplit="2" ySplit="1" topLeftCell="C2" activePane="bottomRight" state="frozen"/>
      <selection activeCell="O21" sqref="O21"/>
      <selection pane="topRight" activeCell="O21" sqref="O21"/>
      <selection pane="bottomLeft" activeCell="O21" sqref="O21"/>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8">_xlfn._xlws.FILTER('Contraintes         '!G1:S190,ISTEXT('Contraintes         '!O1:O190))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8">_xlfn._xlws.FILTER('Contraintes         '!B2:C190,ISTEXT('Contraintes         '!O2:O190))</f>
        <v>Huile</v>
      </c>
      <c r="B2" t="str">
        <v>Ménages</v>
      </c>
      <c r="E2" t="str">
        <v>kt</v>
      </c>
      <c r="F2" t="str">
        <v>Tournesol</v>
      </c>
      <c r="G2" t="str">
        <v>2015-16:2019-20:2023-24</v>
      </c>
      <c r="H2" t="str">
        <v>France entière</v>
      </c>
      <c r="I2" t="str">
        <v>Part de consommation d'huile par les ménages</v>
      </c>
      <c r="J2" t="str">
        <v>Même répartition des usages d'huile qu'en 2023</v>
      </c>
      <c r="K2" t="str">
        <v>Terres Univia</v>
      </c>
      <c r="L2" t="str">
        <v>Usages huiles - TERRES UNIVIA</v>
      </c>
      <c r="M2" t="str">
        <v>Répartition</v>
      </c>
      <c r="N2" t="str">
        <v>Part de consommation d'huile par les ménages = 64,88 % (Terres Univia)</v>
      </c>
      <c r="O2" t="str">
        <v>Approximative</v>
      </c>
      <c r="P2" t="str">
        <v>Données collectées:Données déterminées</v>
      </c>
      <c r="Q2" t="str">
        <v>Donnée collectée (valeur du flux ou coefficient)</v>
      </c>
    </row>
    <row r="3" spans="1:17">
      <c r="A3" t="str">
        <v>Huile</v>
      </c>
      <c r="B3" t="str">
        <v>Autres IAA</v>
      </c>
      <c r="E3" t="str">
        <v>kt</v>
      </c>
      <c r="F3" t="str">
        <v>Tournesol</v>
      </c>
      <c r="G3" t="str">
        <v>2015-16:2019-20:2023-24</v>
      </c>
      <c r="H3" t="str">
        <v>France entière</v>
      </c>
      <c r="I3" t="str">
        <v>Part de consommation d'huile par les autres IAA</v>
      </c>
      <c r="J3" t="str">
        <v>Même répartition des usages d'huile qu'en 2023</v>
      </c>
      <c r="K3" t="str">
        <v>Terres Univia</v>
      </c>
      <c r="L3" t="str">
        <v>Usages huiles - TERRES UNIVIA</v>
      </c>
      <c r="M3" t="str">
        <v>Répartition</v>
      </c>
      <c r="N3" t="str">
        <v>Part de consommation d'huile par les autres IAA = 21,8 % (Terres Univia)</v>
      </c>
      <c r="O3" t="str">
        <v>Approximative</v>
      </c>
      <c r="P3" t="str">
        <v>Données collectées:Données déterminées</v>
      </c>
      <c r="Q3" t="str">
        <v>Donnée collectée (valeur du flux ou coefficient)</v>
      </c>
    </row>
    <row r="4" spans="1:17">
      <c r="A4" t="str">
        <v>Huile</v>
      </c>
      <c r="B4" t="str">
        <v>Autres industries</v>
      </c>
      <c r="E4" t="str">
        <v>kt</v>
      </c>
      <c r="F4" t="str">
        <v>Tournesol</v>
      </c>
      <c r="G4" t="str">
        <v>2015-16:2019-20:2023-24</v>
      </c>
      <c r="H4" t="str">
        <v>France entière</v>
      </c>
      <c r="I4" t="str">
        <v>Part de consommation d'huile par les autres industries</v>
      </c>
      <c r="J4" t="str">
        <v>Même répartition des usages d'huile qu'en 2023</v>
      </c>
      <c r="K4" t="str">
        <v>Terres Univia</v>
      </c>
      <c r="L4" t="str">
        <v>Usages huiles - TERRES UNIVIA</v>
      </c>
      <c r="M4" t="str">
        <v>Répartition</v>
      </c>
      <c r="N4" t="str">
        <v>Part de consommation d'huile par les autres industries = 7,96 % (Terres Univia)</v>
      </c>
      <c r="O4" t="str">
        <v>Approximative</v>
      </c>
      <c r="P4" t="str">
        <v>Données collectées:Données déterminées</v>
      </c>
      <c r="Q4" t="str">
        <v>Donnée collectée (valeur du flux ou coefficient)</v>
      </c>
    </row>
    <row r="5" spans="1:17">
      <c r="A5" t="str">
        <v>Huile</v>
      </c>
      <c r="B5" t="str">
        <v>Biocarburants</v>
      </c>
      <c r="E5" t="str">
        <v>kt</v>
      </c>
      <c r="F5" t="str">
        <v>Tournesol</v>
      </c>
      <c r="G5" t="str">
        <v>2015-16:2019-20:2023-24</v>
      </c>
      <c r="H5" t="str">
        <v>France entière</v>
      </c>
      <c r="I5" t="str">
        <v>Part de consommation d'huile en biocarburants</v>
      </c>
      <c r="J5" t="str">
        <v>Même répartition des usages d'huile qu'en 2023</v>
      </c>
      <c r="K5" t="str">
        <v>Veille concurrentielle biocarburants - FranceAgriMer</v>
      </c>
      <c r="L5" t="str">
        <v>Usages huiles - TERRES UNIVIA</v>
      </c>
      <c r="M5" t="str">
        <v>Répartition</v>
      </c>
      <c r="N5" t="str">
        <v>Part de consommation d'huile en biocarburants = 5,36 % (Veille concurrentielle biocarburants - FranceAgriMer)</v>
      </c>
      <c r="O5" t="str">
        <v>Approximative</v>
      </c>
      <c r="P5" t="str">
        <v>Données collectées:Données déterminées</v>
      </c>
      <c r="Q5" t="str">
        <v>Donnée collectée (valeur du flux ou coefficient)</v>
      </c>
    </row>
    <row r="6" spans="1:17">
      <c r="A6" t="str">
        <v>Huile</v>
      </c>
      <c r="B6" t="str">
        <v>Alimentation humaine</v>
      </c>
      <c r="E6" t="str">
        <v>kt</v>
      </c>
      <c r="F6" t="str">
        <v>Colza</v>
      </c>
      <c r="G6" t="str">
        <v>2015-16:2019-20:2023-24</v>
      </c>
      <c r="H6" t="str">
        <v>France entière</v>
      </c>
      <c r="I6" t="str">
        <v>Part de consommation d'huile en alimentation humaine</v>
      </c>
      <c r="J6" t="str">
        <v>Même répartition des usages d'huile qu'en 2023</v>
      </c>
      <c r="K6" t="str">
        <v>Terres Univia</v>
      </c>
      <c r="L6" t="str">
        <v>Usages huiles - TERRES UNIVIA</v>
      </c>
      <c r="M6" t="str">
        <v>Répartition</v>
      </c>
      <c r="N6" t="str">
        <v>Part de consommation d'huile en alimentation humaine = 36,8 % (Terres Univia)</v>
      </c>
      <c r="O6" t="str">
        <v>Approximative</v>
      </c>
      <c r="P6" t="str">
        <v>Données collectées:Données déterminées</v>
      </c>
      <c r="Q6" t="str">
        <v>Donnée collectée (valeur du flux ou coefficient)</v>
      </c>
    </row>
    <row r="7" spans="1:17">
      <c r="A7" t="str">
        <v>Huile</v>
      </c>
      <c r="B7" t="str">
        <v>Biocarburants</v>
      </c>
      <c r="E7" t="str">
        <v>kt</v>
      </c>
      <c r="F7" t="str">
        <v>Colza</v>
      </c>
      <c r="G7" t="str">
        <v>2015-16:2019-20:2023-24</v>
      </c>
      <c r="H7" t="str">
        <v>France entière</v>
      </c>
      <c r="I7" t="str">
        <v>Part de consommation d'huile en biocarburants</v>
      </c>
      <c r="J7" t="str">
        <v>Même répartition des usages d'huile qu'en 2023</v>
      </c>
      <c r="K7" t="str">
        <v>Veille concurrentielle biocarburants - FranceAgriMer</v>
      </c>
      <c r="L7" t="str">
        <v>Usages huiles - TERRES UNIVIA</v>
      </c>
      <c r="M7" t="str">
        <v>Répartition</v>
      </c>
      <c r="N7" t="str">
        <v>Part de consommation d'huile en biocarburants = 61,12 % (Veille concurrentielle biocarburants - FranceAgriMer)</v>
      </c>
      <c r="O7" t="str">
        <v>Approximative</v>
      </c>
      <c r="P7" t="str">
        <v>Données collectées:Données déterminées</v>
      </c>
      <c r="Q7" t="str">
        <v>Donnée collectée (valeur du flux ou coefficient)</v>
      </c>
    </row>
    <row r="8" spans="1:17">
      <c r="A8" t="str">
        <v>Huile</v>
      </c>
      <c r="B8" t="str">
        <v>Autres industries</v>
      </c>
      <c r="E8" t="str">
        <v>kt</v>
      </c>
      <c r="F8" t="str">
        <v>Colza</v>
      </c>
      <c r="G8" t="str">
        <v>2015-16:2019-20:2023-24</v>
      </c>
      <c r="H8" t="str">
        <v>France entière</v>
      </c>
      <c r="I8" t="str">
        <v>Part de consommation d'huile pour des usages non-alimentaires</v>
      </c>
      <c r="J8" t="str">
        <v>Même répartition des usages d'huile qu'en 2023</v>
      </c>
      <c r="K8" t="str">
        <v>Terres Univia</v>
      </c>
      <c r="L8" t="str">
        <v>Usages huiles - TERRES UNIVIA</v>
      </c>
      <c r="M8" t="str">
        <v>Répartition</v>
      </c>
      <c r="N8" t="str">
        <v>Part de consommation d'huile pour des usages non-alimentaires = 2,08 % (Terres Univia)</v>
      </c>
      <c r="O8" t="str">
        <v>Approximative</v>
      </c>
      <c r="P8" t="str">
        <v>Données collectées:Données déterminées</v>
      </c>
      <c r="Q8" t="str">
        <v>Donnée collectée (valeur du flux ou coefficient)</v>
      </c>
    </row>
    <row r="9" spans="1:17">
      <c r="I9"/>
      <c r="J9"/>
      <c r="K9"/>
      <c r="L9"/>
      <c r="M9"/>
    </row>
    <row r="10" spans="1:17">
      <c r="I10"/>
      <c r="J10"/>
      <c r="K10"/>
      <c r="L10"/>
      <c r="M10"/>
    </row>
    <row r="11" spans="1:17">
      <c r="I11"/>
      <c r="J11"/>
      <c r="K11"/>
      <c r="L11"/>
      <c r="M11"/>
    </row>
    <row r="12" spans="1:17">
      <c r="I12"/>
      <c r="J12"/>
      <c r="K12"/>
      <c r="L12"/>
      <c r="M12"/>
    </row>
    <row r="13" spans="1:17">
      <c r="I13"/>
      <c r="J13"/>
      <c r="K13"/>
      <c r="L13"/>
      <c r="M13"/>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DACF5-ABF3-410A-955C-7F5ABA5AC5F5}">
  <sheetPr>
    <tabColor rgb="FFFFC000"/>
  </sheetPr>
  <dimension ref="A1:K27"/>
  <sheetViews>
    <sheetView workbookViewId="0">
      <selection activeCell="F7" sqref="F7"/>
    </sheetView>
  </sheetViews>
  <sheetFormatPr baseColWidth="10" defaultRowHeight="14.4"/>
  <cols>
    <col min="1" max="1" width="40.88671875" customWidth="1"/>
  </cols>
  <sheetData>
    <row r="1" spans="1:11">
      <c r="A1" s="894" t="s">
        <v>1312</v>
      </c>
    </row>
    <row r="3" spans="1:11">
      <c r="A3" s="942" t="s">
        <v>1313</v>
      </c>
      <c r="D3" t="s">
        <v>1337</v>
      </c>
      <c r="E3" t="s">
        <v>1449</v>
      </c>
    </row>
    <row r="5" spans="1:11">
      <c r="A5" s="79" t="s">
        <v>1314</v>
      </c>
      <c r="B5" s="944">
        <v>434</v>
      </c>
      <c r="C5" s="945">
        <v>0.49827784156142363</v>
      </c>
    </row>
    <row r="6" spans="1:11">
      <c r="A6" s="79" t="s">
        <v>1315</v>
      </c>
      <c r="B6" s="944">
        <v>284.05</v>
      </c>
      <c r="C6" s="946">
        <v>0.32611940298507464</v>
      </c>
      <c r="D6" s="948">
        <f>B6/SUM($B$6:$B$9)</f>
        <v>0.65</v>
      </c>
      <c r="E6" s="936">
        <f>K25/$K$21</f>
        <v>0.64878892733564009</v>
      </c>
    </row>
    <row r="7" spans="1:11">
      <c r="A7" s="79" t="s">
        <v>1316</v>
      </c>
      <c r="B7" s="944">
        <v>109.25</v>
      </c>
      <c r="C7" s="945">
        <v>0.12543053960964409</v>
      </c>
      <c r="D7" s="948">
        <f t="shared" ref="D7:D9" si="0">B7/SUM($B$6:$B$9)</f>
        <v>0.25</v>
      </c>
      <c r="E7" s="936">
        <f>K27/$K$21</f>
        <v>0.2179930795847751</v>
      </c>
    </row>
    <row r="8" spans="1:11">
      <c r="A8" s="79" t="s">
        <v>1317</v>
      </c>
      <c r="B8" s="944">
        <v>34.96</v>
      </c>
      <c r="C8" s="945">
        <v>4.0137772675086107E-2</v>
      </c>
      <c r="D8" s="948">
        <f t="shared" si="0"/>
        <v>0.08</v>
      </c>
      <c r="E8" s="936">
        <f>K24/$K$21</f>
        <v>7.9584775086505188E-2</v>
      </c>
    </row>
    <row r="9" spans="1:11">
      <c r="A9" s="79" t="s">
        <v>1318</v>
      </c>
      <c r="B9" s="944">
        <v>8.74</v>
      </c>
      <c r="C9" s="945">
        <v>1.0034443168771527E-2</v>
      </c>
      <c r="D9" s="948">
        <f t="shared" si="0"/>
        <v>0.02</v>
      </c>
      <c r="E9" s="936">
        <f>K23/$K$21</f>
        <v>5.3633217993079588E-2</v>
      </c>
    </row>
    <row r="10" spans="1:11">
      <c r="A10" s="79"/>
      <c r="B10" s="943"/>
      <c r="C10" s="79"/>
      <c r="E10" s="888"/>
    </row>
    <row r="11" spans="1:11">
      <c r="E11" s="888"/>
    </row>
    <row r="13" spans="1:11">
      <c r="A13" s="942" t="s">
        <v>1319</v>
      </c>
    </row>
    <row r="15" spans="1:11">
      <c r="A15" s="79" t="s">
        <v>1320</v>
      </c>
      <c r="B15" s="944">
        <v>1031.4000000000001</v>
      </c>
      <c r="C15" s="945">
        <v>0.54</v>
      </c>
      <c r="D15" s="948">
        <f>B15/SUM($B$15:$B$17)</f>
        <v>0.56842105263157894</v>
      </c>
      <c r="E15" s="936">
        <f>I26/$I$21</f>
        <v>0.36797536566589684</v>
      </c>
    </row>
    <row r="16" spans="1:11">
      <c r="A16" s="79" t="s">
        <v>1321</v>
      </c>
      <c r="B16" s="944">
        <v>744.9</v>
      </c>
      <c r="C16" s="945">
        <v>0.39</v>
      </c>
      <c r="D16" s="948">
        <f t="shared" ref="D16:D17" si="1">B16/SUM($B$15:$B$17)</f>
        <v>0.41052631578947363</v>
      </c>
      <c r="E16" s="936">
        <f>I23/$I$21</f>
        <v>0.61123941493456502</v>
      </c>
      <c r="H16" s="1027" t="s">
        <v>80</v>
      </c>
      <c r="I16" s="1027"/>
      <c r="J16" s="1027" t="s">
        <v>81</v>
      </c>
      <c r="K16" s="1027"/>
    </row>
    <row r="17" spans="1:11">
      <c r="A17" s="79" t="s">
        <v>1322</v>
      </c>
      <c r="B17" s="943">
        <v>38.200000000000003</v>
      </c>
      <c r="C17" s="945">
        <v>0.02</v>
      </c>
      <c r="D17" s="948">
        <f t="shared" si="1"/>
        <v>2.1052631578947368E-2</v>
      </c>
      <c r="E17" s="936">
        <f>I24/$I$21</f>
        <v>2.0785219399538105E-2</v>
      </c>
      <c r="H17" t="s">
        <v>1442</v>
      </c>
      <c r="I17">
        <v>144</v>
      </c>
      <c r="J17" t="s">
        <v>1442</v>
      </c>
      <c r="K17">
        <v>408</v>
      </c>
    </row>
    <row r="18" spans="1:11">
      <c r="A18" s="79" t="s">
        <v>1323</v>
      </c>
      <c r="B18" s="943">
        <v>95.5</v>
      </c>
      <c r="C18" s="945">
        <v>0.05</v>
      </c>
      <c r="D18" s="888"/>
      <c r="H18" t="s">
        <v>1443</v>
      </c>
      <c r="I18">
        <v>1780</v>
      </c>
      <c r="J18" t="s">
        <v>1443</v>
      </c>
      <c r="K18">
        <v>661</v>
      </c>
    </row>
    <row r="19" spans="1:11">
      <c r="B19" s="858">
        <v>1910.0000000000002</v>
      </c>
      <c r="H19" t="s">
        <v>1444</v>
      </c>
      <c r="I19">
        <v>625</v>
      </c>
      <c r="J19" t="s">
        <v>1444</v>
      </c>
      <c r="K19">
        <v>491</v>
      </c>
    </row>
    <row r="21" spans="1:11">
      <c r="H21" t="s">
        <v>1445</v>
      </c>
      <c r="I21">
        <f>I17+I18-I19</f>
        <v>1299</v>
      </c>
      <c r="J21" t="s">
        <v>1445</v>
      </c>
      <c r="K21">
        <f>K17+K18-K19</f>
        <v>578</v>
      </c>
    </row>
    <row r="22" spans="1:11">
      <c r="A22" s="942" t="s">
        <v>1324</v>
      </c>
    </row>
    <row r="23" spans="1:11">
      <c r="H23" t="s">
        <v>1446</v>
      </c>
      <c r="I23">
        <v>794</v>
      </c>
      <c r="J23" t="s">
        <v>1446</v>
      </c>
      <c r="K23">
        <v>31</v>
      </c>
    </row>
    <row r="24" spans="1:11">
      <c r="A24" t="s">
        <v>1325</v>
      </c>
      <c r="H24" t="s">
        <v>1447</v>
      </c>
      <c r="I24">
        <v>27</v>
      </c>
      <c r="J24" t="s">
        <v>1447</v>
      </c>
      <c r="K24">
        <v>46</v>
      </c>
    </row>
    <row r="25" spans="1:11">
      <c r="J25" t="s">
        <v>1450</v>
      </c>
      <c r="K25">
        <v>375</v>
      </c>
    </row>
    <row r="26" spans="1:11">
      <c r="H26" t="s">
        <v>1448</v>
      </c>
      <c r="I26">
        <f>I21-I23-I24</f>
        <v>478</v>
      </c>
    </row>
    <row r="27" spans="1:11">
      <c r="J27" t="s">
        <v>1451</v>
      </c>
      <c r="K27">
        <f>K21-K23-K24-K25</f>
        <v>126</v>
      </c>
    </row>
  </sheetData>
  <mergeCells count="2">
    <mergeCell ref="H16:I16"/>
    <mergeCell ref="J16:K1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3B5F1-BD7B-49CA-8B6B-2151A1F0445B}">
  <sheetPr>
    <tabColor rgb="FF92D050"/>
  </sheetPr>
  <dimension ref="A1:S60"/>
  <sheetViews>
    <sheetView zoomScaleNormal="100" workbookViewId="0">
      <pane xSplit="2" ySplit="1" topLeftCell="C2" activePane="bottomRight" state="frozen"/>
      <selection activeCell="B15" sqref="B15"/>
      <selection pane="topRight" activeCell="B15" sqref="B15"/>
      <selection pane="bottomLeft" activeCell="B15" sqref="B15"/>
      <selection pane="bottomRight" activeCell="Q13" sqref="Q13"/>
    </sheetView>
  </sheetViews>
  <sheetFormatPr baseColWidth="10" defaultColWidth="9.109375" defaultRowHeight="14.4"/>
  <cols>
    <col min="1" max="1" width="33.21875" bestFit="1" customWidth="1"/>
    <col min="2" max="2" width="32.664062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30.21875" style="2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Produits!$B$2</f>
        <v>Graines récoltées</v>
      </c>
      <c r="B2" t="str">
        <f>Secteurs!$B$3</f>
        <v>Ferme</v>
      </c>
      <c r="H2"/>
      <c r="J2" s="101"/>
      <c r="O2" t="str">
        <f>Etiquettes!$K$15</f>
        <v>Approximative</v>
      </c>
      <c r="P2" s="976" t="s">
        <v>1507</v>
      </c>
      <c r="Q2" s="976" t="str">
        <f>Etiquettes!$J$17</f>
        <v>Donnée déterminée (par bilan matière)</v>
      </c>
      <c r="R2" t="s">
        <v>1010</v>
      </c>
    </row>
    <row r="3" spans="1:19">
      <c r="A3" t="str">
        <f>Secteurs!$B$4</f>
        <v>OS</v>
      </c>
      <c r="B3" t="str">
        <f>Produits!$B$11</f>
        <v>Graines collectées</v>
      </c>
      <c r="H3"/>
      <c r="J3" s="101"/>
      <c r="O3" t="str">
        <f>Etiquettes!$K$15</f>
        <v>Approximative</v>
      </c>
      <c r="P3" s="976" t="s">
        <v>1507</v>
      </c>
      <c r="Q3" s="976" t="str">
        <f>Etiquettes!$J$17</f>
        <v>Donnée déterminée (par bilan matière)</v>
      </c>
      <c r="R3" t="s">
        <v>1247</v>
      </c>
    </row>
    <row r="4" spans="1:19">
      <c r="A4" t="str">
        <f>Produits!$B$6</f>
        <v>Stock initial à la ferme</v>
      </c>
      <c r="B4" t="str">
        <f>Secteurs!$B$3</f>
        <v>Ferme</v>
      </c>
      <c r="C4">
        <v>0</v>
      </c>
      <c r="E4" t="str">
        <f>Etiquettes!$C$3</f>
        <v>kt</v>
      </c>
      <c r="F4" s="101" t="str">
        <f>Etiquettes!$C$6</f>
        <v>Colza:Tournesol:Soja:Lin:Pois:Féverole:Lupin:Lentille:Pois chiche:Haricot sec:Olive</v>
      </c>
      <c r="G4" s="21" t="str">
        <f>Etiquettes!$C$5</f>
        <v>2015-16:2019-20:2023-24</v>
      </c>
      <c r="H4" t="str">
        <f>Etiquettes!$C$4</f>
        <v>France entière</v>
      </c>
      <c r="I4" s="21" t="s">
        <v>711</v>
      </c>
      <c r="J4" s="101" t="s">
        <v>860</v>
      </c>
    </row>
    <row r="5" spans="1:19">
      <c r="A5" t="str">
        <f>Secteurs!$B$3</f>
        <v>Ferme</v>
      </c>
      <c r="B5" t="str">
        <f>Produits!$B$9</f>
        <v>Stock final à la ferme</v>
      </c>
      <c r="C5">
        <v>0</v>
      </c>
      <c r="E5" t="str">
        <f>Etiquettes!$C$3</f>
        <v>kt</v>
      </c>
      <c r="F5" s="101" t="str">
        <f>Etiquettes!$C$6</f>
        <v>Colza:Tournesol:Soja:Lin:Pois:Féverole:Lupin:Lentille:Pois chiche:Haricot sec:Olive</v>
      </c>
      <c r="G5" s="21" t="str">
        <f>Etiquettes!$C$5</f>
        <v>2015-16:2019-20:2023-24</v>
      </c>
      <c r="H5" t="str">
        <f>Etiquettes!$C$4</f>
        <v>France entière</v>
      </c>
      <c r="I5" s="21" t="s">
        <v>714</v>
      </c>
      <c r="J5" s="101" t="s">
        <v>860</v>
      </c>
    </row>
    <row r="6" spans="1:19">
      <c r="A6" t="str">
        <f>Produits!$B$4</f>
        <v>Graines autoconsommées</v>
      </c>
      <c r="B6" t="str">
        <f>Secteurs!$B$25</f>
        <v>Hors FAB</v>
      </c>
      <c r="E6" t="str">
        <f>Etiquettes!$C$3</f>
        <v>kt</v>
      </c>
      <c r="F6" s="101" t="s">
        <v>1227</v>
      </c>
      <c r="G6" s="21" t="str">
        <f>Etiquettes!$C$5</f>
        <v>2015-16:2019-20:2023-24</v>
      </c>
      <c r="H6" t="str">
        <f>Etiquettes!$C$4</f>
        <v>France entière</v>
      </c>
      <c r="I6" s="101" t="s">
        <v>1005</v>
      </c>
      <c r="J6" s="101" t="s">
        <v>1006</v>
      </c>
      <c r="O6" t="str">
        <f>Etiquettes!$L$15</f>
        <v>Indicative</v>
      </c>
      <c r="P6" s="976" t="s">
        <v>1507</v>
      </c>
      <c r="Q6" s="976" t="str">
        <f>Etiquettes!$J$17</f>
        <v>Donnée déterminée (par bilan matière)</v>
      </c>
    </row>
    <row r="7" spans="1:19">
      <c r="A7" t="str">
        <f>Produits!$B$4</f>
        <v>Graines autoconsommées</v>
      </c>
      <c r="B7" t="str">
        <f>Secteurs!$B$25</f>
        <v>Hors FAB</v>
      </c>
      <c r="C7">
        <v>0</v>
      </c>
      <c r="E7" t="str">
        <f>Etiquettes!$C$3</f>
        <v>kt</v>
      </c>
      <c r="F7" s="101" t="s">
        <v>1234</v>
      </c>
      <c r="G7" s="21" t="str">
        <f>Etiquettes!$C$5</f>
        <v>2015-16:2019-20:2023-24</v>
      </c>
      <c r="H7" t="str">
        <f>Etiquettes!$C$4</f>
        <v>France entière</v>
      </c>
      <c r="I7" s="101" t="s">
        <v>1005</v>
      </c>
      <c r="J7" s="101" t="s">
        <v>1233</v>
      </c>
    </row>
    <row r="8" spans="1:19">
      <c r="A8" t="str">
        <f>Produits!$B$4</f>
        <v>Graines autoconsommées</v>
      </c>
      <c r="B8" t="str">
        <f>Secteurs!$B$15</f>
        <v>Vente directe et autoconsommation</v>
      </c>
      <c r="C8">
        <v>0</v>
      </c>
      <c r="E8" t="str">
        <f>Etiquettes!$C$3</f>
        <v>kt</v>
      </c>
      <c r="F8" s="101" t="s">
        <v>1227</v>
      </c>
      <c r="G8" s="21" t="str">
        <f>Etiquettes!$C$5</f>
        <v>2015-16:2019-20:2023-24</v>
      </c>
      <c r="H8" t="str">
        <f>Etiquettes!$C$4</f>
        <v>France entière</v>
      </c>
      <c r="I8" s="101" t="s">
        <v>1005</v>
      </c>
      <c r="J8" s="101" t="s">
        <v>1007</v>
      </c>
    </row>
    <row r="9" spans="1:19">
      <c r="A9" t="str">
        <f>Produits!$B$4</f>
        <v>Graines autoconsommées</v>
      </c>
      <c r="B9" t="str">
        <f>Secteurs!$B$15</f>
        <v>Vente directe et autoconsommation</v>
      </c>
      <c r="E9" t="str">
        <f>Etiquettes!$C$3</f>
        <v>kt</v>
      </c>
      <c r="F9" s="101" t="s">
        <v>1234</v>
      </c>
      <c r="G9" s="21" t="str">
        <f>Etiquettes!$C$5</f>
        <v>2015-16:2019-20:2023-24</v>
      </c>
      <c r="H9" t="str">
        <f>Etiquettes!$C$4</f>
        <v>France entière</v>
      </c>
      <c r="I9" s="101" t="s">
        <v>1005</v>
      </c>
      <c r="J9" s="101" t="s">
        <v>1235</v>
      </c>
      <c r="O9" t="str">
        <f>Etiquettes!$L$15</f>
        <v>Indicative</v>
      </c>
      <c r="P9" s="976" t="s">
        <v>1507</v>
      </c>
      <c r="Q9" s="976" t="str">
        <f>Etiquettes!$J$17</f>
        <v>Donnée déterminée (par bilan matière)</v>
      </c>
    </row>
    <row r="10" spans="1:19">
      <c r="A10" t="str">
        <f>Produits!$B$11</f>
        <v>Graines collectées</v>
      </c>
      <c r="B10" t="str">
        <f>Secteurs!$B$8</f>
        <v>Fabrication de produits alimentaires</v>
      </c>
      <c r="E10" t="str">
        <f>Etiquettes!$C$3</f>
        <v>kt</v>
      </c>
      <c r="F10" s="101" t="s">
        <v>1290</v>
      </c>
      <c r="G10" s="21" t="str">
        <f>Etiquettes!$C$5</f>
        <v>2015-16:2019-20:2023-24</v>
      </c>
      <c r="H10" t="str">
        <f>Etiquettes!$C$4</f>
        <v>France entière</v>
      </c>
      <c r="I10" s="101" t="s">
        <v>1230</v>
      </c>
      <c r="J10" s="101" t="s">
        <v>1231</v>
      </c>
      <c r="O10" t="str">
        <f>Etiquettes!$K$15</f>
        <v>Approximative</v>
      </c>
      <c r="P10" s="976" t="s">
        <v>1507</v>
      </c>
      <c r="Q10" s="976" t="str">
        <f>Etiquettes!$J$17</f>
        <v>Donnée déterminée (par bilan matière)</v>
      </c>
    </row>
    <row r="11" spans="1:19">
      <c r="A11" t="str">
        <f>Produits!$B$11</f>
        <v>Graines collectées</v>
      </c>
      <c r="B11" t="str">
        <f>Secteurs!$B$8</f>
        <v>Fabrication de produits alimentaires</v>
      </c>
      <c r="C11">
        <v>0</v>
      </c>
      <c r="E11" t="str">
        <f>Etiquettes!$C$3</f>
        <v>kt</v>
      </c>
      <c r="F11" s="101" t="s">
        <v>1291</v>
      </c>
      <c r="G11" s="21" t="str">
        <f>Etiquettes!$C$5</f>
        <v>2015-16:2019-20:2023-24</v>
      </c>
      <c r="H11" t="str">
        <f>Etiquettes!$C$4</f>
        <v>France entière</v>
      </c>
      <c r="I11" s="101" t="s">
        <v>1230</v>
      </c>
      <c r="J11" s="101" t="s">
        <v>1232</v>
      </c>
    </row>
    <row r="12" spans="1:19">
      <c r="A12" t="str">
        <f>Produits!$B$11</f>
        <v>Graines collectées</v>
      </c>
      <c r="B12" t="str">
        <f>Secteurs!$B$14</f>
        <v>Alimentation humaine</v>
      </c>
      <c r="C12">
        <v>0</v>
      </c>
      <c r="D12" s="100"/>
      <c r="E12" t="str">
        <f>Etiquettes!$C$3</f>
        <v>kt</v>
      </c>
      <c r="F12" s="101" t="s">
        <v>1229</v>
      </c>
      <c r="G12" s="21" t="str">
        <f>Etiquettes!$C$5</f>
        <v>2015-16:2019-20:2023-24</v>
      </c>
      <c r="H12" t="str">
        <f>Etiquettes!$C$4</f>
        <v>France entière</v>
      </c>
      <c r="I12" s="101" t="s">
        <v>1008</v>
      </c>
      <c r="J12" s="101" t="s">
        <v>1007</v>
      </c>
    </row>
    <row r="13" spans="1:19">
      <c r="A13" t="str">
        <f>Produits!$B$11</f>
        <v>Graines collectées</v>
      </c>
      <c r="B13" t="s">
        <v>9</v>
      </c>
      <c r="C13">
        <v>0</v>
      </c>
      <c r="D13" s="100"/>
      <c r="E13" t="str">
        <f>Etiquettes!$C$3</f>
        <v>kt</v>
      </c>
      <c r="F13" s="21" t="str">
        <f>Etiquettes!$J$6</f>
        <v>Soja</v>
      </c>
      <c r="G13" s="21" t="str">
        <f>Etiquettes!$C$5</f>
        <v>2015-16:2019-20:2023-24</v>
      </c>
      <c r="H13" t="str">
        <f>Etiquettes!$C$4</f>
        <v>France entière</v>
      </c>
      <c r="I13" s="101"/>
      <c r="J13" s="101" t="s">
        <v>1286</v>
      </c>
    </row>
    <row r="14" spans="1:19">
      <c r="A14" t="str">
        <f>Produits!$B$11</f>
        <v>Graines collectées</v>
      </c>
      <c r="B14" t="str">
        <f>Secteurs!$B$17</f>
        <v>Circuits spécialisés</v>
      </c>
      <c r="C14">
        <v>0</v>
      </c>
      <c r="D14" s="100"/>
      <c r="E14" t="str">
        <f>Etiquettes!$C$3</f>
        <v>kt</v>
      </c>
      <c r="F14" s="21" t="str">
        <f>Etiquettes!$J$6</f>
        <v>Soja</v>
      </c>
      <c r="G14" s="21" t="str">
        <f>Etiquettes!$C$5</f>
        <v>2015-16:2019-20:2023-24</v>
      </c>
      <c r="H14" t="str">
        <f>Etiquettes!$C$4</f>
        <v>France entière</v>
      </c>
      <c r="I14" s="101"/>
      <c r="J14" s="101" t="s">
        <v>1289</v>
      </c>
    </row>
    <row r="15" spans="1:19">
      <c r="A15" t="str">
        <f>Produits!$B$11</f>
        <v>Graines collectées</v>
      </c>
      <c r="B15" t="s">
        <v>10</v>
      </c>
      <c r="C15">
        <v>0</v>
      </c>
      <c r="D15" s="100"/>
      <c r="E15" t="str">
        <f>Etiquettes!$C$3</f>
        <v>kt</v>
      </c>
      <c r="F15" s="21" t="str">
        <f>Etiquettes!$J$6</f>
        <v>Soja</v>
      </c>
      <c r="G15" s="21" t="str">
        <f>Etiquettes!$C$5</f>
        <v>2015-16:2019-20:2023-24</v>
      </c>
      <c r="H15" t="str">
        <f>Etiquettes!$C$4</f>
        <v>France entière</v>
      </c>
      <c r="I15" s="101"/>
      <c r="J15" s="101" t="s">
        <v>1287</v>
      </c>
    </row>
    <row r="16" spans="1:19">
      <c r="A16" t="str">
        <f>Produits!$B$11</f>
        <v>Graines collectées</v>
      </c>
      <c r="B16" t="s">
        <v>11</v>
      </c>
      <c r="C16">
        <v>0</v>
      </c>
      <c r="D16" s="100"/>
      <c r="E16" t="str">
        <f>Etiquettes!$C$3</f>
        <v>kt</v>
      </c>
      <c r="F16" s="21" t="str">
        <f>Etiquettes!$J$6</f>
        <v>Soja</v>
      </c>
      <c r="G16" s="21" t="str">
        <f>Etiquettes!$C$5</f>
        <v>2015-16:2019-20:2023-24</v>
      </c>
      <c r="H16" t="str">
        <f>Etiquettes!$C$4</f>
        <v>France entière</v>
      </c>
      <c r="I16" s="101"/>
      <c r="J16" s="101" t="s">
        <v>1288</v>
      </c>
    </row>
    <row r="17" spans="1:18">
      <c r="A17" t="str">
        <f>Produits!$B$11</f>
        <v>Graines collectées</v>
      </c>
      <c r="B17" t="str">
        <f>Secteurs!$B$5</f>
        <v>Trituration</v>
      </c>
      <c r="C17">
        <v>0</v>
      </c>
      <c r="D17" s="100"/>
      <c r="E17" t="str">
        <f>Etiquettes!$C$3</f>
        <v>kt</v>
      </c>
      <c r="F17" s="21" t="s">
        <v>1248</v>
      </c>
      <c r="G17" s="21" t="str">
        <f>Etiquettes!$C$5</f>
        <v>2015-16:2019-20:2023-24</v>
      </c>
      <c r="H17" t="str">
        <f>Etiquettes!$C$4</f>
        <v>France entière</v>
      </c>
      <c r="I17" s="101" t="s">
        <v>1009</v>
      </c>
      <c r="J17" s="101" t="s">
        <v>864</v>
      </c>
    </row>
    <row r="18" spans="1:18">
      <c r="A18" t="str">
        <f>Produits!$B$12</f>
        <v>Issues de silo</v>
      </c>
      <c r="B18" t="str">
        <f>Secteurs!$B$47</f>
        <v>Elimination/Pertes</v>
      </c>
      <c r="D18" s="100"/>
      <c r="I18" s="31" t="s">
        <v>953</v>
      </c>
      <c r="O18" t="str">
        <f>Etiquettes!$K$15</f>
        <v>Approximative</v>
      </c>
      <c r="P18" s="976" t="s">
        <v>1507</v>
      </c>
      <c r="Q18" s="976" t="str">
        <f>Etiquettes!$J$17</f>
        <v>Donnée déterminée (par bilan matière)</v>
      </c>
      <c r="R18" t="s">
        <v>952</v>
      </c>
    </row>
    <row r="19" spans="1:18">
      <c r="A19" t="str">
        <f>Secteurs!$B$3</f>
        <v>Ferme</v>
      </c>
      <c r="B19" t="str">
        <f>Produits!$B$4</f>
        <v>Graines autoconsommées</v>
      </c>
      <c r="C19">
        <v>0</v>
      </c>
      <c r="E19" t="str">
        <f>Etiquettes!$C$3</f>
        <v>kt</v>
      </c>
      <c r="F19" s="21" t="str">
        <f>Etiquettes!$R$6</f>
        <v>Olive</v>
      </c>
      <c r="G19" s="21" t="str">
        <f>Etiquettes!$C$5</f>
        <v>2015-16:2019-20:2023-24</v>
      </c>
      <c r="H19" t="str">
        <f>Etiquettes!$C$4</f>
        <v>France entière</v>
      </c>
      <c r="I19"/>
      <c r="R19" s="20"/>
    </row>
    <row r="20" spans="1:18">
      <c r="A20" t="str">
        <f>Secteurs!$B$5</f>
        <v>Trituration</v>
      </c>
      <c r="B20" t="str">
        <f>Produits!$B$13</f>
        <v>Huile</v>
      </c>
      <c r="C20">
        <v>0</v>
      </c>
      <c r="E20" t="str">
        <f>Etiquettes!$C$3</f>
        <v>kt</v>
      </c>
      <c r="F20" s="21" t="s">
        <v>1248</v>
      </c>
      <c r="G20" s="21" t="str">
        <f>Etiquettes!$C$5</f>
        <v>2015-16:2019-20:2023-24</v>
      </c>
      <c r="H20" t="str">
        <f>Etiquettes!$C$4</f>
        <v>France entière</v>
      </c>
      <c r="J20" s="1026" t="s">
        <v>864</v>
      </c>
    </row>
    <row r="21" spans="1:18">
      <c r="A21" t="str">
        <f>Secteurs!$B$5</f>
        <v>Trituration</v>
      </c>
      <c r="B21" t="str">
        <f>Produits!$B$14</f>
        <v>Tourteaux</v>
      </c>
      <c r="C21">
        <v>0</v>
      </c>
      <c r="E21" t="str">
        <f>Etiquettes!$C$3</f>
        <v>kt</v>
      </c>
      <c r="F21" s="21" t="s">
        <v>1248</v>
      </c>
      <c r="G21" s="21" t="str">
        <f>Etiquettes!$C$5</f>
        <v>2015-16:2019-20:2023-24</v>
      </c>
      <c r="H21" t="str">
        <f>Etiquettes!$C$4</f>
        <v>France entière</v>
      </c>
      <c r="J21" s="1026"/>
    </row>
    <row r="22" spans="1:18" ht="14.4" customHeight="1">
      <c r="A22" t="str">
        <f>Secteurs!$B$45</f>
        <v>Importations</v>
      </c>
      <c r="B22" t="str">
        <f>Produits!$B$13</f>
        <v>Huile</v>
      </c>
      <c r="C22">
        <v>0</v>
      </c>
      <c r="F22" s="21" t="s">
        <v>1248</v>
      </c>
      <c r="G22" s="21" t="str">
        <f>Etiquettes!$C$5</f>
        <v>2015-16:2019-20:2023-24</v>
      </c>
      <c r="H22" t="str">
        <f>Etiquettes!$C$4</f>
        <v>France entière</v>
      </c>
      <c r="J22" s="1026" t="s">
        <v>864</v>
      </c>
    </row>
    <row r="23" spans="1:18">
      <c r="A23" t="str">
        <f>Secteurs!$B$45</f>
        <v>Importations</v>
      </c>
      <c r="B23" t="s">
        <v>721</v>
      </c>
      <c r="C23">
        <v>0</v>
      </c>
      <c r="F23" s="21" t="s">
        <v>1248</v>
      </c>
      <c r="G23" s="21" t="str">
        <f>Etiquettes!$C$5</f>
        <v>2015-16:2019-20:2023-24</v>
      </c>
      <c r="H23" t="str">
        <f>Etiquettes!$C$4</f>
        <v>France entière</v>
      </c>
      <c r="J23" s="1026"/>
    </row>
    <row r="24" spans="1:18">
      <c r="A24" t="str">
        <f>Produits!$B$13</f>
        <v>Huile</v>
      </c>
      <c r="B24" t="str">
        <f>Secteurs!$B$15</f>
        <v>Vente directe et autoconsommation</v>
      </c>
      <c r="J24" s="101" t="s">
        <v>1097</v>
      </c>
    </row>
    <row r="25" spans="1:18">
      <c r="A25" t="str">
        <f>Produits!$B$13</f>
        <v>Huile</v>
      </c>
      <c r="B25" t="str">
        <f>Secteurs!$B$17</f>
        <v>Circuits spécialisés</v>
      </c>
      <c r="J25" s="101" t="s">
        <v>1098</v>
      </c>
    </row>
    <row r="26" spans="1:18">
      <c r="A26" t="str">
        <f>Produits!$B$13</f>
        <v>Huile</v>
      </c>
      <c r="B26" t="str">
        <f>Secteurs!$B$20</f>
        <v>RHD</v>
      </c>
      <c r="J26" s="101" t="s">
        <v>1099</v>
      </c>
    </row>
    <row r="27" spans="1:18">
      <c r="A27" t="str">
        <f>Produits!$B$13</f>
        <v>Huile</v>
      </c>
      <c r="B27" t="str">
        <f>Secteurs!$B$21</f>
        <v>Autres IAA</v>
      </c>
      <c r="J27" s="101" t="s">
        <v>1100</v>
      </c>
    </row>
    <row r="28" spans="1:18">
      <c r="A28" t="str">
        <f>Produits!$B$13</f>
        <v>Huile</v>
      </c>
      <c r="B28" t="str">
        <f>Secteurs!$B$41</f>
        <v>Autres industries</v>
      </c>
      <c r="J28" s="101" t="s">
        <v>1101</v>
      </c>
    </row>
    <row r="29" spans="1:18">
      <c r="A29" t="str">
        <f>Secteurs!$B$6</f>
        <v>Moulin</v>
      </c>
      <c r="B29" t="str">
        <f>Produits!$B$17</f>
        <v>Grignons d'olive</v>
      </c>
      <c r="I29" s="21" t="s">
        <v>1144</v>
      </c>
      <c r="O29" t="str">
        <f>Etiquettes!$K$15</f>
        <v>Approximative</v>
      </c>
      <c r="P29" s="976" t="s">
        <v>1507</v>
      </c>
      <c r="Q29" s="976" t="str">
        <f>Etiquettes!$J$17</f>
        <v>Donnée déterminée (par bilan matière)</v>
      </c>
    </row>
    <row r="30" spans="1:18">
      <c r="A30" t="str">
        <f>Produits!$B$17</f>
        <v>Grignons d'olive</v>
      </c>
      <c r="B30" t="str">
        <f>Secteurs!$B$22</f>
        <v>Alimentation animale</v>
      </c>
      <c r="I30" s="21" t="s">
        <v>1145</v>
      </c>
      <c r="J30" s="101" t="s">
        <v>1143</v>
      </c>
      <c r="O30" t="str">
        <f>Etiquettes!$L$15</f>
        <v>Indicative</v>
      </c>
      <c r="P30" s="976" t="s">
        <v>1507</v>
      </c>
      <c r="Q30" s="976" t="str">
        <f>Etiquettes!$J$17</f>
        <v>Donnée déterminée (par bilan matière)</v>
      </c>
    </row>
    <row r="31" spans="1:18">
      <c r="A31" t="str">
        <f>Secteurs!$B$7</f>
        <v>Conservation ou préparation d'olives</v>
      </c>
      <c r="B31" t="str">
        <f>Produits!$B$18</f>
        <v>Olives de table</v>
      </c>
      <c r="O31" t="str">
        <f>Etiquettes!$K$15</f>
        <v>Approximative</v>
      </c>
      <c r="P31" s="976" t="s">
        <v>1507</v>
      </c>
      <c r="Q31" s="976" t="str">
        <f>Etiquettes!$J$17</f>
        <v>Donnée déterminée (par bilan matière)</v>
      </c>
      <c r="R31" t="s">
        <v>1140</v>
      </c>
    </row>
    <row r="32" spans="1:18">
      <c r="A32" t="str">
        <f>Secteurs!$B$2</f>
        <v>Récolte</v>
      </c>
      <c r="B32" t="str">
        <f>Produits!$B$3</f>
        <v>Olives</v>
      </c>
      <c r="C32">
        <v>0</v>
      </c>
      <c r="F32" s="101" t="s">
        <v>1141</v>
      </c>
      <c r="R32" s="1026" t="s">
        <v>1142</v>
      </c>
    </row>
    <row r="33" spans="1:18">
      <c r="A33" t="str">
        <f>Secteurs!$B$45</f>
        <v>Importations</v>
      </c>
      <c r="B33" t="str">
        <f>Produits!$B$3</f>
        <v>Olives</v>
      </c>
      <c r="C33">
        <v>0</v>
      </c>
      <c r="F33" s="101" t="s">
        <v>1141</v>
      </c>
      <c r="R33" s="1026"/>
    </row>
    <row r="34" spans="1:18">
      <c r="A34" t="str">
        <f>Secteurs!$B$45</f>
        <v>Importations</v>
      </c>
      <c r="B34" t="str">
        <f>Produits!$B$16</f>
        <v>Huile d'olive</v>
      </c>
      <c r="C34">
        <v>0</v>
      </c>
      <c r="F34" s="101" t="s">
        <v>1141</v>
      </c>
      <c r="R34" s="1026"/>
    </row>
    <row r="35" spans="1:18">
      <c r="A35" t="str">
        <f>Secteurs!$B$45</f>
        <v>Importations</v>
      </c>
      <c r="B35" t="str">
        <f>Produits!$B$17</f>
        <v>Grignons d'olive</v>
      </c>
      <c r="C35">
        <v>0</v>
      </c>
      <c r="F35" s="101" t="s">
        <v>1141</v>
      </c>
      <c r="R35" s="1026"/>
    </row>
    <row r="36" spans="1:18">
      <c r="A36" t="str">
        <f>Secteurs!$B$45</f>
        <v>Importations</v>
      </c>
      <c r="B36" t="str">
        <f>Produits!$B$18</f>
        <v>Olives de table</v>
      </c>
      <c r="C36">
        <v>0</v>
      </c>
      <c r="F36" s="101" t="s">
        <v>1141</v>
      </c>
      <c r="R36" s="1026"/>
    </row>
    <row r="37" spans="1:18">
      <c r="A37" t="str">
        <f>Secteurs!$B$8</f>
        <v>Fabrication de produits alimentaires</v>
      </c>
      <c r="B37" t="str">
        <f>Produits!$B$20</f>
        <v>Légumes secs bruts</v>
      </c>
      <c r="O37" t="str">
        <f>Etiquettes!$K$15</f>
        <v>Approximative</v>
      </c>
      <c r="P37" s="976" t="s">
        <v>1507</v>
      </c>
      <c r="Q37" s="976" t="str">
        <f>Etiquettes!$J$17</f>
        <v>Donnée déterminée (par bilan matière)</v>
      </c>
      <c r="R37" t="s">
        <v>1218</v>
      </c>
    </row>
    <row r="38" spans="1:18">
      <c r="A38" t="str">
        <f>Secteurs!$B$8</f>
        <v>Fabrication de produits alimentaires</v>
      </c>
      <c r="B38" t="str">
        <f>Produits!$B$21</f>
        <v>Légumes secs appertisés et surgelés</v>
      </c>
      <c r="O38" t="str">
        <f>Etiquettes!$K$15</f>
        <v>Approximative</v>
      </c>
      <c r="P38" s="976" t="s">
        <v>1507</v>
      </c>
      <c r="Q38" s="976" t="str">
        <f>Etiquettes!$J$17</f>
        <v>Donnée déterminée (par bilan matière)</v>
      </c>
      <c r="R38" t="s">
        <v>1218</v>
      </c>
    </row>
    <row r="39" spans="1:18">
      <c r="A39" t="str">
        <f>Produits!$B$11</f>
        <v>Graines collectées</v>
      </c>
      <c r="B39" t="str">
        <f>Secteurs!$B$24</f>
        <v>FAB</v>
      </c>
      <c r="C39">
        <v>0</v>
      </c>
      <c r="E39" t="str">
        <f>Etiquettes!$C$3</f>
        <v>kt</v>
      </c>
      <c r="F39" s="101" t="s">
        <v>1228</v>
      </c>
      <c r="G39" s="21" t="str">
        <f>Etiquettes!$C$5</f>
        <v>2015-16:2019-20:2023-24</v>
      </c>
      <c r="H39" t="str">
        <f>Etiquettes!$C$4</f>
        <v>France entière</v>
      </c>
      <c r="J39" s="101" t="s">
        <v>1226</v>
      </c>
    </row>
    <row r="40" spans="1:18">
      <c r="A40" t="str">
        <f>Produits!$B$11</f>
        <v>Graines collectées</v>
      </c>
      <c r="B40" t="str">
        <f>Secteurs!$B$9</f>
        <v>Amidonnerie</v>
      </c>
      <c r="C40">
        <v>0</v>
      </c>
      <c r="E40" t="str">
        <f>Etiquettes!$C$3</f>
        <v>kt</v>
      </c>
      <c r="F40" s="21" t="s">
        <v>1253</v>
      </c>
      <c r="G40" s="21" t="str">
        <f>Etiquettes!$C$5</f>
        <v>2015-16:2019-20:2023-24</v>
      </c>
      <c r="H40" t="str">
        <f>Etiquettes!$C$4</f>
        <v>France entière</v>
      </c>
      <c r="R40" t="s">
        <v>1256</v>
      </c>
    </row>
    <row r="41" spans="1:18">
      <c r="A41" t="str">
        <f>Produits!$B$11</f>
        <v>Graines collectées</v>
      </c>
      <c r="B41" t="str">
        <f>Secteurs!$B$10</f>
        <v>Meunerie</v>
      </c>
      <c r="C41">
        <v>0</v>
      </c>
      <c r="E41" t="str">
        <f>Etiquettes!$C$3</f>
        <v>kt</v>
      </c>
      <c r="F41" s="21" t="s">
        <v>1254</v>
      </c>
      <c r="G41" s="21" t="str">
        <f>Etiquettes!$C$5</f>
        <v>2015-16:2019-20:2023-24</v>
      </c>
      <c r="H41" t="str">
        <f>Etiquettes!$C$4</f>
        <v>France entière</v>
      </c>
      <c r="R41" t="s">
        <v>1257</v>
      </c>
    </row>
    <row r="42" spans="1:18">
      <c r="A42" t="str">
        <f>Produits!$B$11</f>
        <v>Graines collectées</v>
      </c>
      <c r="B42" t="str">
        <f>Secteurs!$B$11</f>
        <v>Fabrication d'ingrédients</v>
      </c>
      <c r="C42">
        <v>0</v>
      </c>
      <c r="E42" t="str">
        <f>Etiquettes!$C$3</f>
        <v>kt</v>
      </c>
      <c r="F42" s="21" t="s">
        <v>1255</v>
      </c>
      <c r="G42" s="21" t="str">
        <f>Etiquettes!$C$5</f>
        <v>2015-16:2019-20:2023-24</v>
      </c>
      <c r="H42" t="str">
        <f>Etiquettes!$C$4</f>
        <v>France entière</v>
      </c>
      <c r="R42" t="s">
        <v>1258</v>
      </c>
    </row>
    <row r="43" spans="1:18">
      <c r="A43" t="str">
        <f>Produits!$B$11</f>
        <v>Graines collectées</v>
      </c>
      <c r="B43" t="str">
        <f>Secteurs!$B$11</f>
        <v>Fabrication d'ingrédients</v>
      </c>
      <c r="E43" t="str">
        <f>Etiquettes!$C$3</f>
        <v>kt</v>
      </c>
      <c r="F43" s="21" t="str">
        <f>Etiquettes!$N$6</f>
        <v>Lupin</v>
      </c>
      <c r="G43" s="21" t="str">
        <f>Etiquettes!$C$5</f>
        <v>2015-16:2019-20:2023-24</v>
      </c>
      <c r="H43" t="str">
        <f>Etiquettes!$C$4</f>
        <v>France entière</v>
      </c>
      <c r="I43" s="101" t="s">
        <v>1259</v>
      </c>
      <c r="J43" s="101" t="s">
        <v>1260</v>
      </c>
      <c r="O43" t="str">
        <f>Etiquettes!$K$15</f>
        <v>Approximative</v>
      </c>
      <c r="P43" s="976" t="s">
        <v>1507</v>
      </c>
      <c r="Q43" s="976" t="str">
        <f>Etiquettes!$J$17</f>
        <v>Donnée déterminée (par bilan matière)</v>
      </c>
    </row>
    <row r="44" spans="1:18">
      <c r="A44" t="str">
        <f>Secteurs!$B$9</f>
        <v>Amidonnerie</v>
      </c>
      <c r="B44" t="str">
        <f>Produits!$B$24</f>
        <v>Fibres, lipides et sons</v>
      </c>
      <c r="E44" t="str">
        <f>Etiquettes!$C$3</f>
        <v>kt</v>
      </c>
      <c r="F44" s="21" t="str">
        <f>Etiquettes!$L$6</f>
        <v>Pois</v>
      </c>
      <c r="G44" s="21" t="str">
        <f>Etiquettes!$C$5</f>
        <v>2015-16:2019-20:2023-24</v>
      </c>
      <c r="H44" t="str">
        <f>Etiquettes!$C$4</f>
        <v>France entière</v>
      </c>
      <c r="I44" s="101" t="s">
        <v>1278</v>
      </c>
      <c r="O44" t="str">
        <f>Etiquettes!$L$15</f>
        <v>Indicative</v>
      </c>
      <c r="P44" s="976" t="s">
        <v>1508</v>
      </c>
      <c r="Q44" s="976" t="str">
        <f>Etiquettes!$K$17</f>
        <v>Donnée indéterminée (seules une borne minimale et une borne maximale sont déterminées)</v>
      </c>
    </row>
    <row r="45" spans="1:18">
      <c r="A45" t="str">
        <f>Secteurs!$B$10</f>
        <v>Meunerie</v>
      </c>
      <c r="B45" t="str">
        <f>Produits!$B$26</f>
        <v>Sons</v>
      </c>
      <c r="E45" t="str">
        <f>Etiquettes!$C$3</f>
        <v>kt</v>
      </c>
      <c r="F45" s="21" t="str">
        <f>Etiquettes!$M$6</f>
        <v>Féverole</v>
      </c>
      <c r="G45" s="21" t="str">
        <f>Etiquettes!$C$5</f>
        <v>2015-16:2019-20:2023-24</v>
      </c>
      <c r="H45" t="str">
        <f>Etiquettes!$C$4</f>
        <v>France entière</v>
      </c>
      <c r="I45" s="101" t="s">
        <v>1279</v>
      </c>
      <c r="O45" t="str">
        <f>Etiquettes!$L$15</f>
        <v>Indicative</v>
      </c>
      <c r="P45" s="976" t="s">
        <v>1508</v>
      </c>
      <c r="Q45" s="976" t="str">
        <f>Etiquettes!$K$17</f>
        <v>Donnée indéterminée (seules une borne minimale et une borne maximale sont déterminées)</v>
      </c>
    </row>
    <row r="46" spans="1:18">
      <c r="A46" t="str">
        <f>Secteurs!$B$11</f>
        <v>Fabrication d'ingrédients</v>
      </c>
      <c r="B46" t="str">
        <f>Produits!$B$28</f>
        <v>Amidon, fibres, lipides et sons</v>
      </c>
      <c r="E46" t="str">
        <f>Etiquettes!$C$3</f>
        <v>kt</v>
      </c>
      <c r="F46" s="21" t="str">
        <f>Etiquettes!$N$6</f>
        <v>Lupin</v>
      </c>
      <c r="G46" s="21" t="str">
        <f>Etiquettes!$C$5</f>
        <v>2015-16:2019-20:2023-24</v>
      </c>
      <c r="H46" t="str">
        <f>Etiquettes!$C$4</f>
        <v>France entière</v>
      </c>
      <c r="I46" s="101" t="s">
        <v>1280</v>
      </c>
      <c r="O46" t="str">
        <f>Etiquettes!$L$15</f>
        <v>Indicative</v>
      </c>
      <c r="P46" s="976" t="s">
        <v>1508</v>
      </c>
      <c r="Q46" s="976" t="str">
        <f>Etiquettes!$K$17</f>
        <v>Donnée indéterminée (seules une borne minimale et une borne maximale sont déterminées)</v>
      </c>
    </row>
    <row r="47" spans="1:18">
      <c r="A47" t="s">
        <v>719</v>
      </c>
      <c r="B47" t="str">
        <f>Secteurs!$B$21</f>
        <v>Autres IAA</v>
      </c>
      <c r="E47" t="str">
        <f>Etiquettes!$C$3</f>
        <v>kt</v>
      </c>
      <c r="F47" s="21" t="str">
        <f>Etiquettes!$L$6</f>
        <v>Pois</v>
      </c>
      <c r="G47" s="21" t="str">
        <f>Etiquettes!$C$5</f>
        <v>2015-16:2019-20:2023-24</v>
      </c>
      <c r="H47" t="str">
        <f>Etiquettes!$C$4</f>
        <v>France entière</v>
      </c>
      <c r="I47" s="101"/>
      <c r="O47" t="str">
        <f>Etiquettes!$L$15</f>
        <v>Indicative</v>
      </c>
      <c r="P47" s="976" t="s">
        <v>1508</v>
      </c>
      <c r="Q47" s="976" t="str">
        <f>Etiquettes!$K$17</f>
        <v>Donnée indéterminée (seules une borne minimale et une borne maximale sont déterminées)</v>
      </c>
    </row>
    <row r="48" spans="1:18">
      <c r="A48" t="s">
        <v>1261</v>
      </c>
      <c r="B48" t="str">
        <f>Secteurs!$B$21</f>
        <v>Autres IAA</v>
      </c>
      <c r="E48" t="str">
        <f>Etiquettes!$C$3</f>
        <v>kt</v>
      </c>
      <c r="F48" s="21" t="str">
        <f>Etiquettes!$L$6</f>
        <v>Pois</v>
      </c>
      <c r="G48" s="21" t="str">
        <f>Etiquettes!$C$5</f>
        <v>2015-16:2019-20:2023-24</v>
      </c>
      <c r="H48" t="str">
        <f>Etiquettes!$C$4</f>
        <v>France entière</v>
      </c>
      <c r="I48" s="101"/>
      <c r="O48" t="str">
        <f>Etiquettes!$L$15</f>
        <v>Indicative</v>
      </c>
      <c r="P48" s="976" t="s">
        <v>1508</v>
      </c>
      <c r="Q48" s="976" t="str">
        <f>Etiquettes!$K$17</f>
        <v>Donnée indéterminée (seules une borne minimale et une borne maximale sont déterminées)</v>
      </c>
    </row>
    <row r="49" spans="1:18">
      <c r="A49" t="s">
        <v>717</v>
      </c>
      <c r="B49" t="str">
        <f>Secteurs!$B$21</f>
        <v>Autres IAA</v>
      </c>
      <c r="E49" t="str">
        <f>Etiquettes!$C$3</f>
        <v>kt</v>
      </c>
      <c r="F49" s="21" t="str">
        <f>Etiquettes!$M$6</f>
        <v>Féverole</v>
      </c>
      <c r="G49" s="21" t="str">
        <f>Etiquettes!$C$5</f>
        <v>2015-16:2019-20:2023-24</v>
      </c>
      <c r="H49" t="str">
        <f>Etiquettes!$C$4</f>
        <v>France entière</v>
      </c>
      <c r="I49" s="101"/>
      <c r="O49" t="str">
        <f>Etiquettes!$L$15</f>
        <v>Indicative</v>
      </c>
      <c r="P49" s="976" t="s">
        <v>1508</v>
      </c>
      <c r="Q49" s="976" t="str">
        <f>Etiquettes!$K$17</f>
        <v>Donnée indéterminée (seules une borne minimale et une borne maximale sont déterminées)</v>
      </c>
    </row>
    <row r="50" spans="1:18">
      <c r="A50" t="s">
        <v>1263</v>
      </c>
      <c r="B50" t="str">
        <f>Secteurs!$B$21</f>
        <v>Autres IAA</v>
      </c>
      <c r="E50" t="str">
        <f>Etiquettes!$C$3</f>
        <v>kt</v>
      </c>
      <c r="F50" s="21" t="str">
        <f>Etiquettes!$N$6</f>
        <v>Lupin</v>
      </c>
      <c r="G50" s="21" t="str">
        <f>Etiquettes!$C$5</f>
        <v>2015-16:2019-20:2023-24</v>
      </c>
      <c r="H50" t="str">
        <f>Etiquettes!$C$4</f>
        <v>France entière</v>
      </c>
      <c r="I50" s="101"/>
      <c r="O50" t="str">
        <f>Etiquettes!$L$15</f>
        <v>Indicative</v>
      </c>
      <c r="P50" s="976" t="s">
        <v>1508</v>
      </c>
      <c r="Q50" s="976" t="str">
        <f>Etiquettes!$K$17</f>
        <v>Donnée indéterminée (seules une borne minimale et une borne maximale sont déterminées)</v>
      </c>
    </row>
    <row r="51" spans="1:18">
      <c r="A51" t="str">
        <f>Produits!$B$24</f>
        <v>Fibres, lipides et sons</v>
      </c>
      <c r="B51" t="str">
        <f>Secteurs!$B$21</f>
        <v>Autres IAA</v>
      </c>
      <c r="E51" t="str">
        <f>Etiquettes!$C$3</f>
        <v>kt</v>
      </c>
      <c r="F51" s="21" t="str">
        <f>Etiquettes!$L$6</f>
        <v>Pois</v>
      </c>
      <c r="G51" s="21" t="str">
        <f>Etiquettes!$C$5</f>
        <v>2015-16:2019-20:2023-24</v>
      </c>
      <c r="H51" t="str">
        <f>Etiquettes!$C$4</f>
        <v>France entière</v>
      </c>
      <c r="O51" t="str">
        <f>Etiquettes!$L$15</f>
        <v>Indicative</v>
      </c>
      <c r="P51" s="976" t="s">
        <v>1508</v>
      </c>
      <c r="Q51" s="976" t="str">
        <f>Etiquettes!$K$17</f>
        <v>Donnée indéterminée (seules une borne minimale et une borne maximale sont déterminées)</v>
      </c>
    </row>
    <row r="52" spans="1:18">
      <c r="A52" t="str">
        <f>Produits!$B$26</f>
        <v>Sons</v>
      </c>
      <c r="B52" t="str">
        <f>Secteurs!$B$22</f>
        <v>Alimentation animale</v>
      </c>
      <c r="E52" t="str">
        <f>Etiquettes!$C$3</f>
        <v>kt</v>
      </c>
      <c r="F52" s="21" t="str">
        <f>Etiquettes!$M$6</f>
        <v>Féverole</v>
      </c>
      <c r="G52" s="21" t="str">
        <f>Etiquettes!$C$5</f>
        <v>2015-16:2019-20:2023-24</v>
      </c>
      <c r="H52" t="str">
        <f>Etiquettes!$C$4</f>
        <v>France entière</v>
      </c>
      <c r="O52" t="str">
        <f>Etiquettes!$L$15</f>
        <v>Indicative</v>
      </c>
      <c r="P52" s="976" t="s">
        <v>1508</v>
      </c>
      <c r="Q52" s="976" t="str">
        <f>Etiquettes!$K$17</f>
        <v>Donnée indéterminée (seules une borne minimale et une borne maximale sont déterminées)</v>
      </c>
    </row>
    <row r="53" spans="1:18">
      <c r="A53" t="str">
        <f>Produits!$B$28</f>
        <v>Amidon, fibres, lipides et sons</v>
      </c>
      <c r="B53" t="str">
        <f>Secteurs!$B$21</f>
        <v>Autres IAA</v>
      </c>
      <c r="E53" t="str">
        <f>Etiquettes!$C$3</f>
        <v>kt</v>
      </c>
      <c r="F53" s="21" t="str">
        <f>Etiquettes!$N$6</f>
        <v>Lupin</v>
      </c>
      <c r="G53" s="21" t="str">
        <f>Etiquettes!$C$5</f>
        <v>2015-16:2019-20:2023-24</v>
      </c>
      <c r="H53" t="str">
        <f>Etiquettes!$C$4</f>
        <v>France entière</v>
      </c>
      <c r="O53" t="str">
        <f>Etiquettes!$L$15</f>
        <v>Indicative</v>
      </c>
      <c r="P53" s="976" t="s">
        <v>1508</v>
      </c>
      <c r="Q53" s="976" t="str">
        <f>Etiquettes!$K$17</f>
        <v>Donnée indéterminée (seules une borne minimale et une borne maximale sont déterminées)</v>
      </c>
    </row>
    <row r="54" spans="1:18">
      <c r="A54" t="str">
        <f>Produits!$B$11</f>
        <v>Graines collectées</v>
      </c>
      <c r="B54" t="str">
        <f>Secteurs!$B$28</f>
        <v>Petfood</v>
      </c>
      <c r="C54">
        <v>0</v>
      </c>
      <c r="D54" s="858"/>
      <c r="E54" t="str">
        <f>Etiquettes!$C$3</f>
        <v>kt</v>
      </c>
      <c r="F54" s="21" t="s">
        <v>1254</v>
      </c>
      <c r="G54" s="21" t="str">
        <f>Etiquettes!$C$5</f>
        <v>2015-16:2019-20:2023-24</v>
      </c>
      <c r="H54" t="str">
        <f>Etiquettes!$C$4</f>
        <v>France entière</v>
      </c>
      <c r="R54" t="s">
        <v>1414</v>
      </c>
    </row>
    <row r="55" spans="1:18">
      <c r="A55" t="str">
        <f>Secteurs!$B$3</f>
        <v>Ferme</v>
      </c>
      <c r="B55" t="str">
        <f>Produits!$B$4</f>
        <v>Graines autoconsommées</v>
      </c>
      <c r="E55" t="str">
        <f>Etiquettes!$C$3</f>
        <v>kt</v>
      </c>
      <c r="F55" s="21" t="s">
        <v>1671</v>
      </c>
      <c r="G55" s="21" t="str">
        <f>Etiquettes!$C$5</f>
        <v>2015-16:2019-20:2023-24</v>
      </c>
      <c r="H55" t="str">
        <f>Etiquettes!$C$4</f>
        <v>France entière</v>
      </c>
      <c r="O55" t="str">
        <f>Etiquettes!$K$15</f>
        <v>Approximative</v>
      </c>
      <c r="P55" s="976" t="s">
        <v>1507</v>
      </c>
      <c r="Q55" s="976" t="str">
        <f>Etiquettes!$J$17</f>
        <v>Donnée déterminée (par bilan matière)</v>
      </c>
    </row>
    <row r="56" spans="1:18">
      <c r="A56" t="str">
        <f>Produits!$B$29</f>
        <v>Eau</v>
      </c>
      <c r="B56" t="str">
        <f>Secteurs!$B$8</f>
        <v>Fabrication de produits alimentaires</v>
      </c>
      <c r="C56">
        <v>0</v>
      </c>
      <c r="D56" s="858"/>
      <c r="E56" t="str">
        <f>Etiquettes!$C$3</f>
        <v>kt</v>
      </c>
      <c r="F56" s="101" t="s">
        <v>1669</v>
      </c>
      <c r="G56" s="21" t="str">
        <f>Etiquettes!$C$5</f>
        <v>2015-16:2019-20:2023-24</v>
      </c>
      <c r="H56" t="str">
        <f>Etiquettes!$C$4</f>
        <v>France entière</v>
      </c>
      <c r="R56" t="s">
        <v>1430</v>
      </c>
    </row>
    <row r="57" spans="1:18">
      <c r="A57" t="str">
        <f>Produits!$B$13</f>
        <v>Huile</v>
      </c>
      <c r="B57" t="str">
        <f>Secteurs!$B$14</f>
        <v>Alimentation humaine</v>
      </c>
      <c r="E57" t="str">
        <f>Etiquettes!$C$3</f>
        <v>kt</v>
      </c>
      <c r="F57" s="101" t="s">
        <v>1096</v>
      </c>
      <c r="G57" s="21" t="str">
        <f>Etiquettes!$C$5</f>
        <v>2015-16:2019-20:2023-24</v>
      </c>
      <c r="H57" t="str">
        <f>Etiquettes!$C$4</f>
        <v>France entière</v>
      </c>
      <c r="O57" t="str">
        <f>Etiquettes!$L$15</f>
        <v>Indicative</v>
      </c>
      <c r="P57" s="976" t="s">
        <v>1508</v>
      </c>
      <c r="Q57" s="976" t="str">
        <f>Etiquettes!$K$17</f>
        <v>Donnée indéterminée (seules une borne minimale et une borne maximale sont déterminées)</v>
      </c>
    </row>
    <row r="58" spans="1:18">
      <c r="A58" t="str">
        <f>Produits!$B$13</f>
        <v>Huile</v>
      </c>
      <c r="B58" t="str">
        <f>Secteurs!$B$41</f>
        <v>Autres industries</v>
      </c>
      <c r="E58" t="str">
        <f>Etiquettes!$C$3</f>
        <v>kt</v>
      </c>
      <c r="F58" s="101" t="s">
        <v>1096</v>
      </c>
      <c r="G58" s="21" t="str">
        <f>Etiquettes!$C$5</f>
        <v>2015-16:2019-20:2023-24</v>
      </c>
      <c r="H58" t="str">
        <f>Etiquettes!$C$4</f>
        <v>France entière</v>
      </c>
      <c r="O58" t="str">
        <f>Etiquettes!$L$15</f>
        <v>Indicative</v>
      </c>
      <c r="P58" s="976" t="s">
        <v>1508</v>
      </c>
      <c r="Q58" s="976" t="str">
        <f>Etiquettes!$K$17</f>
        <v>Donnée indéterminée (seules une borne minimale et une borne maximale sont déterminées)</v>
      </c>
    </row>
    <row r="59" spans="1:18">
      <c r="A59" t="str">
        <f>Produits!$B$13</f>
        <v>Huile</v>
      </c>
      <c r="B59" t="str">
        <f>Secteurs!$B$34</f>
        <v>Energie</v>
      </c>
      <c r="E59" t="str">
        <f>Etiquettes!$C$3</f>
        <v>kt</v>
      </c>
      <c r="F59" s="101" t="s">
        <v>1096</v>
      </c>
      <c r="G59" s="21" t="str">
        <f>Etiquettes!$C$5</f>
        <v>2015-16:2019-20:2023-24</v>
      </c>
      <c r="H59" t="str">
        <f>Etiquettes!$C$4</f>
        <v>France entière</v>
      </c>
      <c r="O59" t="str">
        <f>Etiquettes!$L$15</f>
        <v>Indicative</v>
      </c>
      <c r="P59" s="976" t="s">
        <v>1508</v>
      </c>
      <c r="Q59" s="976" t="str">
        <f>Etiquettes!$K$17</f>
        <v>Donnée indéterminée (seules une borne minimale et une borne maximale sont déterminées)</v>
      </c>
    </row>
    <row r="60" spans="1:18">
      <c r="A60" t="str">
        <f>Produits!$B$11</f>
        <v>Graines collectées</v>
      </c>
      <c r="B60" t="str">
        <f>Secteurs!$B$14</f>
        <v>Alimentation humaine</v>
      </c>
      <c r="E60" t="str">
        <f>Etiquettes!$C$3</f>
        <v>kt</v>
      </c>
      <c r="F60" s="21" t="str">
        <f>Etiquettes!$K$6</f>
        <v>Lin</v>
      </c>
      <c r="G60" s="21" t="str">
        <f>Etiquettes!$C$5</f>
        <v>2015-16:2019-20:2023-24</v>
      </c>
      <c r="H60" t="str">
        <f>Etiquettes!$C$4</f>
        <v>France entière</v>
      </c>
      <c r="O60" t="str">
        <f>Etiquettes!$K$15</f>
        <v>Approximative</v>
      </c>
      <c r="P60" s="976" t="s">
        <v>1507</v>
      </c>
      <c r="Q60" s="976" t="str">
        <f>Etiquettes!$J$17</f>
        <v>Donnée déterminée (par bilan matière)</v>
      </c>
    </row>
  </sheetData>
  <mergeCells count="3">
    <mergeCell ref="J20:J21"/>
    <mergeCell ref="J22:J23"/>
    <mergeCell ref="R32:R36"/>
  </mergeCells>
  <phoneticPr fontId="114" type="noConversion"/>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6388-8523-473A-BD6D-95DEAA06EA8F}">
  <sheetPr>
    <tabColor rgb="FF92D050"/>
  </sheetPr>
  <dimension ref="A1:U17"/>
  <sheetViews>
    <sheetView workbookViewId="0">
      <pane xSplit="3" ySplit="1" topLeftCell="E2" activePane="bottomRight" state="frozen"/>
      <selection activeCell="O21" sqref="O21"/>
      <selection pane="topRight" activeCell="O21" sqref="O21"/>
      <selection pane="bottomLeft" activeCell="O21" sqref="O21"/>
      <selection pane="bottomRight" activeCell="R3" sqref="R3:S17"/>
    </sheetView>
  </sheetViews>
  <sheetFormatPr baseColWidth="10" defaultColWidth="9.109375" defaultRowHeight="14.4"/>
  <cols>
    <col min="1" max="1" width="12.33203125" style="10" bestFit="1" customWidth="1"/>
    <col min="2" max="2" width="31.77734375" customWidth="1"/>
    <col min="3" max="3" width="34.88671875" bestFit="1" customWidth="1"/>
    <col min="4" max="4" width="10.44140625" bestFit="1" customWidth="1"/>
    <col min="5" max="6" width="19.109375" bestFit="1" customWidth="1"/>
    <col min="7" max="7" width="12.109375" style="10" customWidth="1"/>
    <col min="8" max="8" width="10.33203125" style="10" customWidth="1"/>
    <col min="9" max="9" width="12.109375" style="10" bestFit="1" customWidth="1"/>
    <col min="10" max="10" width="12.109375" style="10" customWidth="1"/>
    <col min="11" max="11" width="18.88671875" style="10" bestFit="1" customWidth="1"/>
    <col min="12" max="12" width="18.88671875" style="10" customWidth="1"/>
    <col min="13" max="15" width="20" customWidth="1"/>
    <col min="16" max="16" width="18.6640625" customWidth="1"/>
    <col min="17" max="19" width="21" customWidth="1"/>
    <col min="20" max="20" width="11.6640625" bestFit="1" customWidth="1"/>
    <col min="21" max="21" width="13.109375" customWidth="1"/>
  </cols>
  <sheetData>
    <row r="1" spans="1:21" ht="63.6" thickBot="1">
      <c r="A1" s="16" t="s">
        <v>19</v>
      </c>
      <c r="B1" s="17" t="s">
        <v>12</v>
      </c>
      <c r="C1" s="17" t="s">
        <v>13</v>
      </c>
      <c r="D1" s="17" t="s">
        <v>20</v>
      </c>
      <c r="E1" s="17" t="s">
        <v>21</v>
      </c>
      <c r="F1" s="17" t="s">
        <v>22</v>
      </c>
      <c r="G1" s="18" t="str">
        <f>Etiquettes!$A$3</f>
        <v>Unité</v>
      </c>
      <c r="H1" s="18" t="str">
        <f>Etiquettes!$A$6</f>
        <v>Oléoprotéagineux</v>
      </c>
      <c r="I1" s="18" t="str">
        <f>Etiquettes!$A$5</f>
        <v>Campagne</v>
      </c>
      <c r="J1" s="18" t="str">
        <f>Etiquettes!$A$4</f>
        <v>Territoire</v>
      </c>
      <c r="K1" s="18" t="str">
        <f>Etiquettes!$A$12</f>
        <v>Traduction</v>
      </c>
      <c r="L1" s="18" t="str">
        <f>Etiquettes!$A$10</f>
        <v>Hypothèse</v>
      </c>
      <c r="M1" s="18" t="s">
        <v>17</v>
      </c>
      <c r="N1" s="18" t="str">
        <f>Etiquettes!$A$13</f>
        <v>Onglet fichier Excel</v>
      </c>
      <c r="O1" s="18" t="str">
        <f>Etiquettes!$A$11</f>
        <v>Type de donnée collectée</v>
      </c>
      <c r="P1" s="18" t="str">
        <f>Etiquettes!$A$8</f>
        <v>Rendement, répartition ou volume d'échange collecté</v>
      </c>
      <c r="Q1" s="18" t="str">
        <f>Etiquettes!$A$15</f>
        <v>Fiabilité des données</v>
      </c>
      <c r="R1" s="18" t="str">
        <f>Etiquettes!$A$16</f>
        <v>Méthode</v>
      </c>
      <c r="S1" s="18" t="str">
        <f>Etiquettes!$A$17</f>
        <v>Analyse des résultats</v>
      </c>
      <c r="T1" s="17" t="s">
        <v>3</v>
      </c>
      <c r="U1" s="19" t="s">
        <v>5</v>
      </c>
    </row>
    <row r="2" spans="1:21" ht="14.4" customHeight="1">
      <c r="A2" s="10">
        <f>'Contraintes         '!A14+1</f>
        <v>94</v>
      </c>
      <c r="B2" t="str">
        <f>Produits!$B$14</f>
        <v>Tourteaux</v>
      </c>
      <c r="C2" t="str">
        <f>Secteurs!$B$12</f>
        <v>Débouchés</v>
      </c>
      <c r="D2" s="888">
        <f>'Usages tourteaux -TERRES UNIVIA'!E25</f>
        <v>0.83035548328671493</v>
      </c>
      <c r="G2" t="str">
        <f>Etiquettes!$C$3</f>
        <v>kt</v>
      </c>
      <c r="H2" s="21" t="str">
        <f>Etiquettes!$H$6</f>
        <v>Colza</v>
      </c>
      <c r="I2" s="913" t="str">
        <f>Etiquettes!$C$5</f>
        <v>2015-16:2019-20:2023-24</v>
      </c>
      <c r="J2" t="str">
        <f>Etiquettes!$C$4</f>
        <v>France entière</v>
      </c>
      <c r="P2" s="10"/>
      <c r="U2" s="1028" t="s">
        <v>1165</v>
      </c>
    </row>
    <row r="3" spans="1:21">
      <c r="A3" s="10">
        <f>'Contraintes         '!A15+1</f>
        <v>94</v>
      </c>
      <c r="B3" t="str">
        <f>Produits!$B$14</f>
        <v>Tourteaux</v>
      </c>
      <c r="C3" t="str">
        <f>Secteurs!$B$24</f>
        <v>FAB</v>
      </c>
      <c r="D3">
        <v>-1</v>
      </c>
      <c r="G3" t="str">
        <f>Etiquettes!$C$3</f>
        <v>kt</v>
      </c>
      <c r="H3" s="21" t="str">
        <f>Etiquettes!$H$6</f>
        <v>Colza</v>
      </c>
      <c r="I3" s="913" t="str">
        <f>Etiquettes!$C$5</f>
        <v>2015-16:2019-20:2023-24</v>
      </c>
      <c r="J3" t="str">
        <f>Etiquettes!$C$4</f>
        <v>France entière</v>
      </c>
      <c r="K3" s="31" t="s">
        <v>1346</v>
      </c>
      <c r="L3" s="31" t="s">
        <v>1348</v>
      </c>
      <c r="M3" s="101" t="s">
        <v>1350</v>
      </c>
      <c r="N3" s="101" t="s">
        <v>1506</v>
      </c>
      <c r="O3" t="str">
        <f>Etiquettes!$J$11</f>
        <v>Répartition</v>
      </c>
      <c r="P3" t="str">
        <f>_xlfn.CONCAT(K3," = ",MROUND(D2*100,0.01)," % (",M3,")")</f>
        <v>Part de consommation de tourteaux en FAB = 83,04 % (ORIFLAAM)</v>
      </c>
      <c r="Q3" t="str">
        <f>Etiquettes!$K$15</f>
        <v>Approximative</v>
      </c>
      <c r="R3" s="976" t="s">
        <v>1509</v>
      </c>
      <c r="S3" s="976" t="s">
        <v>1475</v>
      </c>
      <c r="U3" s="1027"/>
    </row>
    <row r="4" spans="1:21">
      <c r="A4" s="10">
        <f>A2+1</f>
        <v>95</v>
      </c>
      <c r="B4" t="str">
        <f>Produits!$B$14</f>
        <v>Tourteaux</v>
      </c>
      <c r="C4" t="str">
        <f>Secteurs!$B$12</f>
        <v>Débouchés</v>
      </c>
      <c r="D4" s="888">
        <f>'Usages tourteaux -TERRES UNIVIA'!F25</f>
        <v>0.16964451671328548</v>
      </c>
      <c r="G4" t="str">
        <f>Etiquettes!$C$3</f>
        <v>kt</v>
      </c>
      <c r="H4" s="21" t="str">
        <f>Etiquettes!$H$6</f>
        <v>Colza</v>
      </c>
      <c r="I4" s="913" t="str">
        <f>Etiquettes!$C$5</f>
        <v>2015-16:2019-20:2023-24</v>
      </c>
      <c r="J4" t="str">
        <f>Etiquettes!$C$4</f>
        <v>France entière</v>
      </c>
      <c r="M4" s="31"/>
      <c r="P4" s="10"/>
      <c r="U4" s="1027"/>
    </row>
    <row r="5" spans="1:21">
      <c r="A5" s="10">
        <f t="shared" ref="A5:A17" si="0">A3+1</f>
        <v>95</v>
      </c>
      <c r="B5" t="str">
        <f>Produits!$B$14</f>
        <v>Tourteaux</v>
      </c>
      <c r="C5" t="str">
        <f>Secteurs!$B$25</f>
        <v>Hors FAB</v>
      </c>
      <c r="D5">
        <v>-1</v>
      </c>
      <c r="G5" t="str">
        <f>Etiquettes!$C$3</f>
        <v>kt</v>
      </c>
      <c r="H5" s="21" t="str">
        <f>Etiquettes!$H$6</f>
        <v>Colza</v>
      </c>
      <c r="I5" s="913" t="str">
        <f>Etiquettes!$C$5</f>
        <v>2015-16:2019-20:2023-24</v>
      </c>
      <c r="J5" t="str">
        <f>Etiquettes!$C$4</f>
        <v>France entière</v>
      </c>
      <c r="K5" s="31" t="s">
        <v>1347</v>
      </c>
      <c r="L5" s="31" t="s">
        <v>1348</v>
      </c>
      <c r="M5" s="101" t="s">
        <v>1350</v>
      </c>
      <c r="N5" s="101" t="s">
        <v>1506</v>
      </c>
      <c r="O5" t="str">
        <f>Etiquettes!$J$11</f>
        <v>Répartition</v>
      </c>
      <c r="P5" t="str">
        <f>_xlfn.CONCAT(K5," = ",MROUND(D4*100,0.01)," % (",M5,")")</f>
        <v>Part de consommation de tourteaux en hors FAB = 16,96 % (ORIFLAAM)</v>
      </c>
      <c r="Q5" t="str">
        <f>Etiquettes!$K$15</f>
        <v>Approximative</v>
      </c>
      <c r="R5" s="976" t="s">
        <v>1509</v>
      </c>
      <c r="S5" s="976" t="s">
        <v>1475</v>
      </c>
      <c r="U5" s="1027"/>
    </row>
    <row r="6" spans="1:21">
      <c r="A6" s="10">
        <f t="shared" si="0"/>
        <v>96</v>
      </c>
      <c r="B6" t="str">
        <f>Produits!$B$14</f>
        <v>Tourteaux</v>
      </c>
      <c r="C6" t="str">
        <f>Secteurs!$B$12</f>
        <v>Débouchés</v>
      </c>
      <c r="D6" s="888">
        <f>'Usages tourteaux -TERRES UNIVIA'!E27</f>
        <v>0.92595974268564152</v>
      </c>
      <c r="G6" t="str">
        <f>Etiquettes!$C$3</f>
        <v>kt</v>
      </c>
      <c r="H6" s="21" t="str">
        <f>Etiquettes!$I$6</f>
        <v>Tournesol</v>
      </c>
      <c r="I6" s="913" t="str">
        <f>Etiquettes!$C$5</f>
        <v>2015-16:2019-20:2023-24</v>
      </c>
      <c r="J6" t="str">
        <f>Etiquettes!$C$4</f>
        <v>France entière</v>
      </c>
      <c r="M6" s="31"/>
      <c r="P6" s="10"/>
      <c r="U6" s="1027"/>
    </row>
    <row r="7" spans="1:21">
      <c r="A7" s="10">
        <f t="shared" si="0"/>
        <v>96</v>
      </c>
      <c r="B7" t="str">
        <f>Produits!$B$14</f>
        <v>Tourteaux</v>
      </c>
      <c r="C7" t="str">
        <f>Secteurs!$B$24</f>
        <v>FAB</v>
      </c>
      <c r="D7">
        <v>-1</v>
      </c>
      <c r="G7" t="str">
        <f>Etiquettes!$C$3</f>
        <v>kt</v>
      </c>
      <c r="H7" s="21" t="str">
        <f>Etiquettes!$I$6</f>
        <v>Tournesol</v>
      </c>
      <c r="I7" s="913" t="str">
        <f>Etiquettes!$C$5</f>
        <v>2015-16:2019-20:2023-24</v>
      </c>
      <c r="J7" t="str">
        <f>Etiquettes!$C$4</f>
        <v>France entière</v>
      </c>
      <c r="K7" s="31" t="s">
        <v>1346</v>
      </c>
      <c r="L7" s="31" t="s">
        <v>1348</v>
      </c>
      <c r="M7" s="101" t="s">
        <v>1350</v>
      </c>
      <c r="N7" s="101" t="s">
        <v>1506</v>
      </c>
      <c r="O7" t="str">
        <f>Etiquettes!$J$11</f>
        <v>Répartition</v>
      </c>
      <c r="P7" t="str">
        <f>_xlfn.CONCAT(K7," = ",MROUND(D6*100,0.01)," % (",M7,")")</f>
        <v>Part de consommation de tourteaux en FAB = 92,6 % (ORIFLAAM)</v>
      </c>
      <c r="Q7" t="str">
        <f>Etiquettes!$K$15</f>
        <v>Approximative</v>
      </c>
      <c r="R7" s="976" t="s">
        <v>1509</v>
      </c>
      <c r="S7" s="976" t="s">
        <v>1475</v>
      </c>
      <c r="U7" s="1027"/>
    </row>
    <row r="8" spans="1:21">
      <c r="A8" s="10">
        <f t="shared" si="0"/>
        <v>97</v>
      </c>
      <c r="B8" t="str">
        <f>Produits!$B$14</f>
        <v>Tourteaux</v>
      </c>
      <c r="C8" t="str">
        <f>Secteurs!$B$12</f>
        <v>Débouchés</v>
      </c>
      <c r="D8" s="888">
        <f>'Usages tourteaux -TERRES UNIVIA'!F27</f>
        <v>7.4040257314358329E-2</v>
      </c>
      <c r="G8" t="str">
        <f>Etiquettes!$C$3</f>
        <v>kt</v>
      </c>
      <c r="H8" s="21" t="str">
        <f>Etiquettes!$I$6</f>
        <v>Tournesol</v>
      </c>
      <c r="I8" s="913" t="str">
        <f>Etiquettes!$C$5</f>
        <v>2015-16:2019-20:2023-24</v>
      </c>
      <c r="J8" t="str">
        <f>Etiquettes!$C$4</f>
        <v>France entière</v>
      </c>
      <c r="M8" s="31"/>
      <c r="P8" s="10"/>
      <c r="U8" s="1027"/>
    </row>
    <row r="9" spans="1:21">
      <c r="A9" s="10">
        <f t="shared" si="0"/>
        <v>97</v>
      </c>
      <c r="B9" t="str">
        <f>Produits!$B$14</f>
        <v>Tourteaux</v>
      </c>
      <c r="C9" t="str">
        <f>Secteurs!$B$25</f>
        <v>Hors FAB</v>
      </c>
      <c r="D9">
        <v>-1</v>
      </c>
      <c r="G9" t="str">
        <f>Etiquettes!$C$3</f>
        <v>kt</v>
      </c>
      <c r="H9" s="21" t="str">
        <f>Etiquettes!$I$6</f>
        <v>Tournesol</v>
      </c>
      <c r="I9" s="913" t="str">
        <f>Etiquettes!$C$5</f>
        <v>2015-16:2019-20:2023-24</v>
      </c>
      <c r="J9" t="str">
        <f>Etiquettes!$C$4</f>
        <v>France entière</v>
      </c>
      <c r="K9" s="31" t="s">
        <v>1347</v>
      </c>
      <c r="L9" s="31" t="s">
        <v>1348</v>
      </c>
      <c r="M9" s="101" t="s">
        <v>1350</v>
      </c>
      <c r="N9" s="101" t="s">
        <v>1506</v>
      </c>
      <c r="O9" t="str">
        <f>Etiquettes!$J$11</f>
        <v>Répartition</v>
      </c>
      <c r="P9" t="str">
        <f>_xlfn.CONCAT(K9," = ",MROUND(D8*100,0.01)," % (",M9,")")</f>
        <v>Part de consommation de tourteaux en hors FAB = 7,4 % (ORIFLAAM)</v>
      </c>
      <c r="Q9" t="str">
        <f>Etiquettes!$K$15</f>
        <v>Approximative</v>
      </c>
      <c r="R9" s="976" t="s">
        <v>1509</v>
      </c>
      <c r="S9" s="976" t="s">
        <v>1475</v>
      </c>
      <c r="U9" s="1027"/>
    </row>
    <row r="10" spans="1:21">
      <c r="A10" s="10">
        <f t="shared" si="0"/>
        <v>98</v>
      </c>
      <c r="B10" t="str">
        <f>Produits!$B$14</f>
        <v>Tourteaux</v>
      </c>
      <c r="C10" t="str">
        <f>Secteurs!$B$12</f>
        <v>Débouchés</v>
      </c>
      <c r="D10" s="888">
        <f>'Usages tourteaux -TERRES UNIVIA'!E26</f>
        <v>0.84323855651099544</v>
      </c>
      <c r="G10" t="str">
        <f>Etiquettes!$C$3</f>
        <v>kt</v>
      </c>
      <c r="H10" s="21" t="str">
        <f>Etiquettes!$J$6</f>
        <v>Soja</v>
      </c>
      <c r="I10" s="913" t="str">
        <f>Etiquettes!$C$5</f>
        <v>2015-16:2019-20:2023-24</v>
      </c>
      <c r="J10" t="str">
        <f>Etiquettes!$C$4</f>
        <v>France entière</v>
      </c>
      <c r="M10" s="31"/>
      <c r="U10" s="1027"/>
    </row>
    <row r="11" spans="1:21">
      <c r="A11" s="10">
        <f t="shared" si="0"/>
        <v>98</v>
      </c>
      <c r="B11" t="str">
        <f>Produits!$B$14</f>
        <v>Tourteaux</v>
      </c>
      <c r="C11" t="str">
        <f>Secteurs!$B$24</f>
        <v>FAB</v>
      </c>
      <c r="D11">
        <v>-1</v>
      </c>
      <c r="G11" t="str">
        <f>Etiquettes!$C$3</f>
        <v>kt</v>
      </c>
      <c r="H11" s="21" t="str">
        <f>Etiquettes!$J$6</f>
        <v>Soja</v>
      </c>
      <c r="I11" s="913" t="str">
        <f>Etiquettes!$C$5</f>
        <v>2015-16:2019-20:2023-24</v>
      </c>
      <c r="J11" t="str">
        <f>Etiquettes!$C$4</f>
        <v>France entière</v>
      </c>
      <c r="K11" s="31" t="s">
        <v>1346</v>
      </c>
      <c r="L11" s="31" t="s">
        <v>1348</v>
      </c>
      <c r="M11" s="101" t="s">
        <v>1350</v>
      </c>
      <c r="N11" s="101" t="s">
        <v>1506</v>
      </c>
      <c r="O11" t="str">
        <f>Etiquettes!$J$11</f>
        <v>Répartition</v>
      </c>
      <c r="P11" t="str">
        <f t="shared" ref="P11" si="1">_xlfn.CONCAT(K11," = ",MROUND(D10*100,0.01)," % (",M11,")")</f>
        <v>Part de consommation de tourteaux en FAB = 84,32 % (ORIFLAAM)</v>
      </c>
      <c r="Q11" t="str">
        <f>Etiquettes!$K$15</f>
        <v>Approximative</v>
      </c>
      <c r="R11" s="976" t="s">
        <v>1509</v>
      </c>
      <c r="S11" s="976" t="s">
        <v>1475</v>
      </c>
      <c r="U11" s="1027"/>
    </row>
    <row r="12" spans="1:21">
      <c r="A12" s="10">
        <f t="shared" si="0"/>
        <v>99</v>
      </c>
      <c r="B12" t="str">
        <f>Produits!$B$14</f>
        <v>Tourteaux</v>
      </c>
      <c r="C12" t="str">
        <f>Secteurs!$B$12</f>
        <v>Débouchés</v>
      </c>
      <c r="D12" s="888">
        <f>'Usages tourteaux -TERRES UNIVIA'!F26</f>
        <v>0.15676144348900489</v>
      </c>
      <c r="G12" t="str">
        <f>Etiquettes!$C$3</f>
        <v>kt</v>
      </c>
      <c r="H12" s="21" t="str">
        <f>Etiquettes!$J$6</f>
        <v>Soja</v>
      </c>
      <c r="I12" s="913" t="str">
        <f>Etiquettes!$C$5</f>
        <v>2015-16:2019-20:2023-24</v>
      </c>
      <c r="J12" t="str">
        <f>Etiquettes!$C$4</f>
        <v>France entière</v>
      </c>
      <c r="M12" s="31"/>
      <c r="U12" s="1027"/>
    </row>
    <row r="13" spans="1:21">
      <c r="A13" s="10">
        <f t="shared" si="0"/>
        <v>99</v>
      </c>
      <c r="B13" t="str">
        <f>Produits!$B$14</f>
        <v>Tourteaux</v>
      </c>
      <c r="C13" t="str">
        <f>Secteurs!$B$25</f>
        <v>Hors FAB</v>
      </c>
      <c r="D13">
        <v>-1</v>
      </c>
      <c r="G13" t="str">
        <f>Etiquettes!$C$3</f>
        <v>kt</v>
      </c>
      <c r="H13" s="21" t="str">
        <f>Etiquettes!$J$6</f>
        <v>Soja</v>
      </c>
      <c r="I13" s="913" t="str">
        <f>Etiquettes!$C$5</f>
        <v>2015-16:2019-20:2023-24</v>
      </c>
      <c r="J13" t="str">
        <f>Etiquettes!$C$4</f>
        <v>France entière</v>
      </c>
      <c r="K13" s="31" t="s">
        <v>1347</v>
      </c>
      <c r="L13" s="31" t="s">
        <v>1348</v>
      </c>
      <c r="M13" s="101" t="s">
        <v>1350</v>
      </c>
      <c r="N13" s="101" t="s">
        <v>1506</v>
      </c>
      <c r="O13" t="str">
        <f>Etiquettes!$J$11</f>
        <v>Répartition</v>
      </c>
      <c r="P13" t="str">
        <f t="shared" ref="P13" si="2">_xlfn.CONCAT(K13," = ",MROUND(D12*100,0.01)," % (",M13,")")</f>
        <v>Part de consommation de tourteaux en hors FAB = 15,68 % (ORIFLAAM)</v>
      </c>
      <c r="Q13" t="str">
        <f>Etiquettes!$K$15</f>
        <v>Approximative</v>
      </c>
      <c r="R13" s="976" t="s">
        <v>1509</v>
      </c>
      <c r="S13" s="976" t="s">
        <v>1475</v>
      </c>
      <c r="U13" s="1027"/>
    </row>
    <row r="14" spans="1:21">
      <c r="A14" s="10">
        <f t="shared" si="0"/>
        <v>100</v>
      </c>
      <c r="B14" t="str">
        <f>Produits!$B$14</f>
        <v>Tourteaux</v>
      </c>
      <c r="C14" t="str">
        <f>Secteurs!$B$12</f>
        <v>Débouchés</v>
      </c>
      <c r="D14" s="888">
        <f>'Usages tourteaux -TERRES UNIVIA'!E28</f>
        <v>0.97585740070603166</v>
      </c>
      <c r="G14" t="str">
        <f>Etiquettes!$C$3</f>
        <v>kt</v>
      </c>
      <c r="H14" s="21" t="str">
        <f>Etiquettes!$K$6</f>
        <v>Lin</v>
      </c>
      <c r="I14" s="913" t="str">
        <f>Etiquettes!$C$5</f>
        <v>2015-16:2019-20:2023-24</v>
      </c>
      <c r="J14" t="str">
        <f>Etiquettes!$C$4</f>
        <v>France entière</v>
      </c>
      <c r="M14" s="31"/>
      <c r="U14" s="1027"/>
    </row>
    <row r="15" spans="1:21">
      <c r="A15" s="10">
        <f t="shared" si="0"/>
        <v>100</v>
      </c>
      <c r="B15" t="str">
        <f>Produits!$B$14</f>
        <v>Tourteaux</v>
      </c>
      <c r="C15" t="str">
        <f>Secteurs!$B$24</f>
        <v>FAB</v>
      </c>
      <c r="D15">
        <v>-1</v>
      </c>
      <c r="G15" t="str">
        <f>Etiquettes!$C$3</f>
        <v>kt</v>
      </c>
      <c r="H15" s="21" t="str">
        <f>Etiquettes!$K$6</f>
        <v>Lin</v>
      </c>
      <c r="I15" s="913" t="str">
        <f>Etiquettes!$C$5</f>
        <v>2015-16:2019-20:2023-24</v>
      </c>
      <c r="J15" t="str">
        <f>Etiquettes!$C$4</f>
        <v>France entière</v>
      </c>
      <c r="K15" s="31" t="s">
        <v>1346</v>
      </c>
      <c r="L15" s="31" t="s">
        <v>1349</v>
      </c>
      <c r="M15" s="101" t="s">
        <v>1350</v>
      </c>
      <c r="N15" s="101" t="s">
        <v>1506</v>
      </c>
      <c r="O15" t="str">
        <f>Etiquettes!$J$11</f>
        <v>Répartition</v>
      </c>
      <c r="P15" t="str">
        <f t="shared" ref="P15:P17" si="3">_xlfn.CONCAT(K15," = ",MROUND(D14*100,0.01)," % (",M15,")")</f>
        <v>Part de consommation de tourteaux en FAB = 97,59 % (ORIFLAAM)</v>
      </c>
      <c r="Q15" t="str">
        <f>Etiquettes!$K$15</f>
        <v>Approximative</v>
      </c>
      <c r="R15" s="976" t="s">
        <v>1509</v>
      </c>
      <c r="S15" s="976" t="s">
        <v>1475</v>
      </c>
      <c r="U15" s="1027"/>
    </row>
    <row r="16" spans="1:21">
      <c r="A16" s="10">
        <f t="shared" si="0"/>
        <v>101</v>
      </c>
      <c r="B16" t="str">
        <f>Produits!$B$14</f>
        <v>Tourteaux</v>
      </c>
      <c r="C16" t="str">
        <f>Secteurs!$B$12</f>
        <v>Débouchés</v>
      </c>
      <c r="D16" s="888">
        <f>'Usages tourteaux -TERRES UNIVIA'!F28</f>
        <v>2.4142599293968191E-2</v>
      </c>
      <c r="G16" t="str">
        <f>Etiquettes!$C$3</f>
        <v>kt</v>
      </c>
      <c r="H16" s="21" t="str">
        <f>Etiquettes!$K$6</f>
        <v>Lin</v>
      </c>
      <c r="I16" s="913" t="str">
        <f>Etiquettes!$C$5</f>
        <v>2015-16:2019-20:2023-24</v>
      </c>
      <c r="J16" t="str">
        <f>Etiquettes!$C$4</f>
        <v>France entière</v>
      </c>
      <c r="M16" s="31"/>
      <c r="U16" s="1027"/>
    </row>
    <row r="17" spans="1:21">
      <c r="A17" s="10">
        <f t="shared" si="0"/>
        <v>101</v>
      </c>
      <c r="B17" t="str">
        <f>Produits!$B$14</f>
        <v>Tourteaux</v>
      </c>
      <c r="C17" t="str">
        <f>Secteurs!$B$25</f>
        <v>Hors FAB</v>
      </c>
      <c r="D17">
        <v>-1</v>
      </c>
      <c r="G17" t="str">
        <f>Etiquettes!$C$3</f>
        <v>kt</v>
      </c>
      <c r="H17" s="21" t="str">
        <f>Etiquettes!$K$6</f>
        <v>Lin</v>
      </c>
      <c r="I17" s="913" t="str">
        <f>Etiquettes!$C$5</f>
        <v>2015-16:2019-20:2023-24</v>
      </c>
      <c r="J17" t="str">
        <f>Etiquettes!$C$4</f>
        <v>France entière</v>
      </c>
      <c r="K17" s="31" t="s">
        <v>1347</v>
      </c>
      <c r="L17" s="31" t="s">
        <v>1349</v>
      </c>
      <c r="M17" s="101" t="s">
        <v>1350</v>
      </c>
      <c r="N17" s="101" t="s">
        <v>1506</v>
      </c>
      <c r="O17" t="str">
        <f>Etiquettes!$J$11</f>
        <v>Répartition</v>
      </c>
      <c r="P17" t="str">
        <f t="shared" si="3"/>
        <v>Part de consommation de tourteaux en hors FAB = 2,41 % (ORIFLAAM)</v>
      </c>
      <c r="Q17" t="str">
        <f>Etiquettes!$K$15</f>
        <v>Approximative</v>
      </c>
      <c r="R17" s="976" t="s">
        <v>1509</v>
      </c>
      <c r="S17" s="976" t="s">
        <v>1475</v>
      </c>
      <c r="U17" s="1027"/>
    </row>
  </sheetData>
  <mergeCells count="1">
    <mergeCell ref="U2:U17"/>
  </mergeCells>
  <phoneticPr fontId="114" type="noConversion"/>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A6EC0-9A86-4860-A98D-B41363296BA5}">
  <sheetPr>
    <tabColor theme="1"/>
  </sheetPr>
  <dimension ref="A1:Q52"/>
  <sheetViews>
    <sheetView workbookViewId="0">
      <pane xSplit="2" ySplit="1" topLeftCell="C2" activePane="bottomRight" state="frozen"/>
      <selection activeCell="O21" sqref="O21"/>
      <selection pane="topRight" activeCell="O21" sqref="O21"/>
      <selection pane="bottomLeft" activeCell="O21" sqref="O21"/>
      <selection pane="bottomRight" activeCell="E2" sqref="E2"/>
    </sheetView>
  </sheetViews>
  <sheetFormatPr baseColWidth="10" defaultColWidth="9.109375" defaultRowHeight="14.4"/>
  <cols>
    <col min="1" max="2" width="38.33203125" bestFit="1" customWidth="1"/>
    <col min="3" max="3" width="14.33203125" customWidth="1"/>
    <col min="4" max="4" width="13.109375" customWidth="1"/>
    <col min="5" max="5" width="19.109375" bestFit="1" customWidth="1"/>
    <col min="6" max="8" width="9.5546875" customWidth="1"/>
    <col min="9" max="13" width="14.44140625" style="21" customWidth="1"/>
    <col min="14" max="14" width="9.5546875" bestFit="1" customWidth="1"/>
  </cols>
  <sheetData>
    <row r="1" spans="1:17" ht="15" thickBot="1">
      <c r="A1" s="16" t="s">
        <v>12</v>
      </c>
      <c r="B1" s="17" t="s">
        <v>13</v>
      </c>
      <c r="C1" s="17" t="s">
        <v>14</v>
      </c>
      <c r="D1" s="17" t="s">
        <v>16</v>
      </c>
      <c r="E1" t="str" cm="1">
        <f t="array" ref="E1:Q9">_xlfn._xlws.FILTER('Contraintes          '!G1:S190,ISTEXT('Contraintes          '!O1:O190))</f>
        <v>Unité</v>
      </c>
      <c r="F1" t="str">
        <v>Oléoprotéagineux</v>
      </c>
      <c r="G1" t="str">
        <v>Campagne</v>
      </c>
      <c r="H1" t="str">
        <v>Territoire</v>
      </c>
      <c r="I1" t="str">
        <v>Traduction</v>
      </c>
      <c r="J1" t="str">
        <v>Hypothèse</v>
      </c>
      <c r="K1" t="str">
        <v>Source</v>
      </c>
      <c r="L1" t="str">
        <v>Onglet fichier Excel</v>
      </c>
      <c r="M1" t="str">
        <v>Type de donnée collectée</v>
      </c>
      <c r="N1" t="str">
        <v>Rendement, répartition ou volume d'échange collecté</v>
      </c>
      <c r="O1" t="str">
        <v>Fiabilité des données</v>
      </c>
      <c r="P1" t="str">
        <v>Méthode</v>
      </c>
      <c r="Q1" t="str">
        <v>Analyse des résultats</v>
      </c>
    </row>
    <row r="2" spans="1:17">
      <c r="A2" t="str" cm="1">
        <f t="array" ref="A2:B9">_xlfn._xlws.FILTER('Contraintes          '!B2:C190,ISTEXT('Contraintes          '!O2:O190))</f>
        <v>Tourteaux</v>
      </c>
      <c r="B2" t="str">
        <v>FAB</v>
      </c>
      <c r="E2" t="str">
        <v>kt</v>
      </c>
      <c r="F2" t="str">
        <v>Colza</v>
      </c>
      <c r="G2" t="str">
        <v>2015-16:2019-20:2023-24</v>
      </c>
      <c r="H2" t="str">
        <v>France entière</v>
      </c>
      <c r="I2" t="str">
        <v>Part de consommation de tourteaux en FAB</v>
      </c>
      <c r="J2" t="str">
        <v>Même répartition des usages de tourteaux qu'en 2022-23</v>
      </c>
      <c r="K2" t="str">
        <v>ORIFLAAM</v>
      </c>
      <c r="L2" t="str">
        <v>Usages tourteaux -TERRES UNIVIA</v>
      </c>
      <c r="M2" t="str">
        <v>Répartition</v>
      </c>
      <c r="N2" t="str">
        <v>Part de consommation de tourteaux en FAB = 83,04 % (ORIFLAAM)</v>
      </c>
      <c r="O2" t="str">
        <v>Approximative</v>
      </c>
      <c r="P2" t="str">
        <v>Données collectées:Données déterminées</v>
      </c>
      <c r="Q2" t="str">
        <v>Donnée collectée (valeur du flux ou coefficient)</v>
      </c>
    </row>
    <row r="3" spans="1:17">
      <c r="A3" t="str">
        <v>Tourteaux</v>
      </c>
      <c r="B3" t="str">
        <v>Hors FAB</v>
      </c>
      <c r="E3" t="str">
        <v>kt</v>
      </c>
      <c r="F3" t="str">
        <v>Colza</v>
      </c>
      <c r="G3" t="str">
        <v>2015-16:2019-20:2023-24</v>
      </c>
      <c r="H3" t="str">
        <v>France entière</v>
      </c>
      <c r="I3" t="str">
        <v>Part de consommation de tourteaux en hors FAB</v>
      </c>
      <c r="J3" t="str">
        <v>Même répartition des usages de tourteaux qu'en 2022-23</v>
      </c>
      <c r="K3" t="str">
        <v>ORIFLAAM</v>
      </c>
      <c r="L3" t="str">
        <v>Usages tourteaux -TERRES UNIVIA</v>
      </c>
      <c r="M3" t="str">
        <v>Répartition</v>
      </c>
      <c r="N3" t="str">
        <v>Part de consommation de tourteaux en hors FAB = 16,96 % (ORIFLAAM)</v>
      </c>
      <c r="O3" t="str">
        <v>Approximative</v>
      </c>
      <c r="P3" t="str">
        <v>Données collectées:Données déterminées</v>
      </c>
      <c r="Q3" t="str">
        <v>Donnée collectée (valeur du flux ou coefficient)</v>
      </c>
    </row>
    <row r="4" spans="1:17">
      <c r="A4" t="str">
        <v>Tourteaux</v>
      </c>
      <c r="B4" t="str">
        <v>FAB</v>
      </c>
      <c r="E4" t="str">
        <v>kt</v>
      </c>
      <c r="F4" t="str">
        <v>Tournesol</v>
      </c>
      <c r="G4" t="str">
        <v>2015-16:2019-20:2023-24</v>
      </c>
      <c r="H4" t="str">
        <v>France entière</v>
      </c>
      <c r="I4" t="str">
        <v>Part de consommation de tourteaux en FAB</v>
      </c>
      <c r="J4" t="str">
        <v>Même répartition des usages de tourteaux qu'en 2022-23</v>
      </c>
      <c r="K4" t="str">
        <v>ORIFLAAM</v>
      </c>
      <c r="L4" t="str">
        <v>Usages tourteaux -TERRES UNIVIA</v>
      </c>
      <c r="M4" t="str">
        <v>Répartition</v>
      </c>
      <c r="N4" t="str">
        <v>Part de consommation de tourteaux en FAB = 92,6 % (ORIFLAAM)</v>
      </c>
      <c r="O4" t="str">
        <v>Approximative</v>
      </c>
      <c r="P4" t="str">
        <v>Données collectées:Données déterminées</v>
      </c>
      <c r="Q4" t="str">
        <v>Donnée collectée (valeur du flux ou coefficient)</v>
      </c>
    </row>
    <row r="5" spans="1:17">
      <c r="A5" t="str">
        <v>Tourteaux</v>
      </c>
      <c r="B5" t="str">
        <v>Hors FAB</v>
      </c>
      <c r="E5" t="str">
        <v>kt</v>
      </c>
      <c r="F5" t="str">
        <v>Tournesol</v>
      </c>
      <c r="G5" t="str">
        <v>2015-16:2019-20:2023-24</v>
      </c>
      <c r="H5" t="str">
        <v>France entière</v>
      </c>
      <c r="I5" t="str">
        <v>Part de consommation de tourteaux en hors FAB</v>
      </c>
      <c r="J5" t="str">
        <v>Même répartition des usages de tourteaux qu'en 2022-23</v>
      </c>
      <c r="K5" t="str">
        <v>ORIFLAAM</v>
      </c>
      <c r="L5" t="str">
        <v>Usages tourteaux -TERRES UNIVIA</v>
      </c>
      <c r="M5" t="str">
        <v>Répartition</v>
      </c>
      <c r="N5" t="str">
        <v>Part de consommation de tourteaux en hors FAB = 7,4 % (ORIFLAAM)</v>
      </c>
      <c r="O5" t="str">
        <v>Approximative</v>
      </c>
      <c r="P5" t="str">
        <v>Données collectées:Données déterminées</v>
      </c>
      <c r="Q5" t="str">
        <v>Donnée collectée (valeur du flux ou coefficient)</v>
      </c>
    </row>
    <row r="6" spans="1:17">
      <c r="A6" t="str">
        <v>Tourteaux</v>
      </c>
      <c r="B6" t="str">
        <v>FAB</v>
      </c>
      <c r="E6" t="str">
        <v>kt</v>
      </c>
      <c r="F6" t="str">
        <v>Soja</v>
      </c>
      <c r="G6" t="str">
        <v>2015-16:2019-20:2023-24</v>
      </c>
      <c r="H6" t="str">
        <v>France entière</v>
      </c>
      <c r="I6" t="str">
        <v>Part de consommation de tourteaux en FAB</v>
      </c>
      <c r="J6" t="str">
        <v>Même répartition des usages de tourteaux qu'en 2022-23</v>
      </c>
      <c r="K6" t="str">
        <v>ORIFLAAM</v>
      </c>
      <c r="L6" t="str">
        <v>Usages tourteaux -TERRES UNIVIA</v>
      </c>
      <c r="M6" t="str">
        <v>Répartition</v>
      </c>
      <c r="N6" t="str">
        <v>Part de consommation de tourteaux en FAB = 84,32 % (ORIFLAAM)</v>
      </c>
      <c r="O6" t="str">
        <v>Approximative</v>
      </c>
      <c r="P6" t="str">
        <v>Données collectées:Données déterminées</v>
      </c>
      <c r="Q6" t="str">
        <v>Donnée collectée (valeur du flux ou coefficient)</v>
      </c>
    </row>
    <row r="7" spans="1:17">
      <c r="A7" t="str">
        <v>Tourteaux</v>
      </c>
      <c r="B7" t="str">
        <v>Hors FAB</v>
      </c>
      <c r="E7" t="str">
        <v>kt</v>
      </c>
      <c r="F7" t="str">
        <v>Soja</v>
      </c>
      <c r="G7" t="str">
        <v>2015-16:2019-20:2023-24</v>
      </c>
      <c r="H7" t="str">
        <v>France entière</v>
      </c>
      <c r="I7" t="str">
        <v>Part de consommation de tourteaux en hors FAB</v>
      </c>
      <c r="J7" t="str">
        <v>Même répartition des usages de tourteaux qu'en 2022-23</v>
      </c>
      <c r="K7" t="str">
        <v>ORIFLAAM</v>
      </c>
      <c r="L7" t="str">
        <v>Usages tourteaux -TERRES UNIVIA</v>
      </c>
      <c r="M7" t="str">
        <v>Répartition</v>
      </c>
      <c r="N7" t="str">
        <v>Part de consommation de tourteaux en hors FAB = 15,68 % (ORIFLAAM)</v>
      </c>
      <c r="O7" t="str">
        <v>Approximative</v>
      </c>
      <c r="P7" t="str">
        <v>Données collectées:Données déterminées</v>
      </c>
      <c r="Q7" t="str">
        <v>Donnée collectée (valeur du flux ou coefficient)</v>
      </c>
    </row>
    <row r="8" spans="1:17">
      <c r="A8" t="str">
        <v>Tourteaux</v>
      </c>
      <c r="B8" t="str">
        <v>FAB</v>
      </c>
      <c r="E8" t="str">
        <v>kt</v>
      </c>
      <c r="F8" t="str">
        <v>Lin</v>
      </c>
      <c r="G8" t="str">
        <v>2015-16:2019-20:2023-24</v>
      </c>
      <c r="H8" t="str">
        <v>France entière</v>
      </c>
      <c r="I8" t="str">
        <v>Part de consommation de tourteaux en FAB</v>
      </c>
      <c r="J8" t="str">
        <v>Même répartition des usages de tourteaux qu'en 2022-23 et pour les tourteaux autres que colza, tournesol et soja</v>
      </c>
      <c r="K8" t="str">
        <v>ORIFLAAM</v>
      </c>
      <c r="L8" t="str">
        <v>Usages tourteaux -TERRES UNIVIA</v>
      </c>
      <c r="M8" t="str">
        <v>Répartition</v>
      </c>
      <c r="N8" t="str">
        <v>Part de consommation de tourteaux en FAB = 97,59 % (ORIFLAAM)</v>
      </c>
      <c r="O8" t="str">
        <v>Approximative</v>
      </c>
      <c r="P8" t="str">
        <v>Données collectées:Données déterminées</v>
      </c>
      <c r="Q8" t="str">
        <v>Donnée collectée (valeur du flux ou coefficient)</v>
      </c>
    </row>
    <row r="9" spans="1:17">
      <c r="A9" t="str">
        <v>Tourteaux</v>
      </c>
      <c r="B9" t="str">
        <v>Hors FAB</v>
      </c>
      <c r="E9" t="str">
        <v>kt</v>
      </c>
      <c r="F9" t="str">
        <v>Lin</v>
      </c>
      <c r="G9" t="str">
        <v>2015-16:2019-20:2023-24</v>
      </c>
      <c r="H9" t="str">
        <v>France entière</v>
      </c>
      <c r="I9" t="str">
        <v>Part de consommation de tourteaux en hors FAB</v>
      </c>
      <c r="J9" t="str">
        <v>Même répartition des usages de tourteaux qu'en 2022-23 et pour les tourteaux autres que colza, tournesol et soja</v>
      </c>
      <c r="K9" t="str">
        <v>ORIFLAAM</v>
      </c>
      <c r="L9" t="str">
        <v>Usages tourteaux -TERRES UNIVIA</v>
      </c>
      <c r="M9" t="str">
        <v>Répartition</v>
      </c>
      <c r="N9" t="str">
        <v>Part de consommation de tourteaux en hors FAB = 2,41 % (ORIFLAAM)</v>
      </c>
      <c r="O9" t="str">
        <v>Approximative</v>
      </c>
      <c r="P9" t="str">
        <v>Données collectées:Données déterminées</v>
      </c>
      <c r="Q9" t="str">
        <v>Donnée collectée (valeur du flux ou coefficient)</v>
      </c>
    </row>
    <row r="10" spans="1:17">
      <c r="I10"/>
      <c r="J10"/>
      <c r="K10"/>
      <c r="L10"/>
      <c r="M10"/>
    </row>
    <row r="11" spans="1:17">
      <c r="I11"/>
      <c r="J11"/>
      <c r="K11"/>
      <c r="L11"/>
      <c r="M11"/>
    </row>
    <row r="12" spans="1:17">
      <c r="I12"/>
      <c r="J12"/>
      <c r="K12"/>
      <c r="L12"/>
      <c r="M12"/>
    </row>
    <row r="13" spans="1:17">
      <c r="I13"/>
      <c r="J13"/>
      <c r="K13"/>
      <c r="L13"/>
      <c r="M13"/>
    </row>
    <row r="14" spans="1:17">
      <c r="I14"/>
      <c r="J14"/>
      <c r="K14"/>
      <c r="L14"/>
      <c r="M14"/>
    </row>
    <row r="15" spans="1:17">
      <c r="I15"/>
      <c r="J15"/>
      <c r="K15"/>
      <c r="L15"/>
      <c r="M15"/>
    </row>
    <row r="16" spans="1:17">
      <c r="I16"/>
      <c r="J16"/>
      <c r="K16"/>
      <c r="L16"/>
      <c r="M16"/>
    </row>
    <row r="17" customFormat="1"/>
    <row r="18" customFormat="1"/>
    <row r="19" customFormat="1"/>
    <row r="20" customFormat="1"/>
    <row r="21" customFormat="1"/>
    <row r="22" customFormat="1"/>
    <row r="23" customFormat="1"/>
    <row r="24" customFormat="1"/>
    <row r="25" customFormat="1"/>
    <row r="26" customFormat="1"/>
    <row r="27" customFormat="1"/>
    <row r="28" customFormat="1"/>
    <row r="29" customFormat="1"/>
    <row r="30" customFormat="1"/>
    <row r="31" customFormat="1"/>
    <row r="32" customFormat="1"/>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CA041-55A6-4A71-A6A5-D93D89443FFF}">
  <sheetPr>
    <tabColor rgb="FFFFC000"/>
  </sheetPr>
  <dimension ref="A1:F28"/>
  <sheetViews>
    <sheetView workbookViewId="0">
      <selection activeCell="F21" sqref="F21"/>
    </sheetView>
  </sheetViews>
  <sheetFormatPr baseColWidth="10" defaultRowHeight="14.4"/>
  <cols>
    <col min="1" max="1" width="23.33203125" customWidth="1"/>
  </cols>
  <sheetData>
    <row r="1" spans="1:6">
      <c r="A1" s="894" t="s">
        <v>1345</v>
      </c>
    </row>
    <row r="5" spans="1:6">
      <c r="B5" s="10" t="s">
        <v>1212</v>
      </c>
      <c r="C5" s="10" t="s">
        <v>1305</v>
      </c>
      <c r="D5" s="10" t="s">
        <v>1306</v>
      </c>
      <c r="E5" s="10"/>
      <c r="F5" s="10"/>
    </row>
    <row r="7" spans="1:6">
      <c r="A7" s="939" t="s">
        <v>1307</v>
      </c>
      <c r="B7" s="940">
        <v>6763</v>
      </c>
      <c r="C7" s="940">
        <v>5725</v>
      </c>
      <c r="D7" s="940">
        <v>1038</v>
      </c>
      <c r="E7" s="888">
        <f>C7/B7</f>
        <v>0.84651781753659616</v>
      </c>
      <c r="F7" s="888">
        <f>D7/B7</f>
        <v>0.15348218246340381</v>
      </c>
    </row>
    <row r="8" spans="1:6">
      <c r="A8" s="941" t="s">
        <v>1308</v>
      </c>
      <c r="B8" s="913">
        <v>2178</v>
      </c>
      <c r="C8" s="913">
        <v>1785</v>
      </c>
      <c r="D8" s="913">
        <v>393</v>
      </c>
      <c r="E8" s="948">
        <f>C8/B8</f>
        <v>0.81955922865013775</v>
      </c>
      <c r="F8" s="948">
        <f>D8/B8</f>
        <v>0.18044077134986225</v>
      </c>
    </row>
    <row r="9" spans="1:6">
      <c r="A9" s="941" t="s">
        <v>1309</v>
      </c>
      <c r="B9" s="913">
        <v>3336</v>
      </c>
      <c r="C9" s="913">
        <v>2727</v>
      </c>
      <c r="D9" s="913">
        <v>609</v>
      </c>
      <c r="E9" s="948">
        <f t="shared" ref="E9:E11" si="0">C9/B9</f>
        <v>0.81744604316546765</v>
      </c>
      <c r="F9" s="948">
        <f t="shared" ref="F9:F11" si="1">D9/B9</f>
        <v>0.18255395683453238</v>
      </c>
    </row>
    <row r="10" spans="1:6">
      <c r="A10" s="941" t="s">
        <v>1310</v>
      </c>
      <c r="B10" s="913">
        <v>1168</v>
      </c>
      <c r="C10" s="913">
        <v>1133</v>
      </c>
      <c r="D10" s="913">
        <v>35</v>
      </c>
      <c r="E10" s="948">
        <f t="shared" si="0"/>
        <v>0.97003424657534243</v>
      </c>
      <c r="F10" s="948">
        <f t="shared" si="1"/>
        <v>2.9965753424657533E-2</v>
      </c>
    </row>
    <row r="11" spans="1:6">
      <c r="A11" s="941" t="s">
        <v>1311</v>
      </c>
      <c r="B11" s="913">
        <v>81</v>
      </c>
      <c r="C11" s="913">
        <v>80</v>
      </c>
      <c r="D11" s="913">
        <v>1</v>
      </c>
      <c r="E11" s="948">
        <f t="shared" si="0"/>
        <v>0.98765432098765427</v>
      </c>
      <c r="F11" s="948">
        <f t="shared" si="1"/>
        <v>1.2345679012345678E-2</v>
      </c>
    </row>
    <row r="12" spans="1:6">
      <c r="A12" s="941"/>
      <c r="B12" s="913"/>
      <c r="C12" s="913"/>
      <c r="D12" s="913"/>
      <c r="E12" s="918"/>
      <c r="F12" s="918"/>
    </row>
    <row r="13" spans="1:6">
      <c r="A13" s="941"/>
      <c r="B13" s="913"/>
      <c r="C13" s="913"/>
      <c r="D13" s="913"/>
      <c r="E13" s="918"/>
      <c r="F13" s="918"/>
    </row>
    <row r="14" spans="1:6">
      <c r="A14" s="941"/>
      <c r="B14" s="913"/>
      <c r="C14" s="913"/>
      <c r="D14" s="913"/>
      <c r="E14" s="918"/>
      <c r="F14" s="918"/>
    </row>
    <row r="15" spans="1:6">
      <c r="A15" s="941"/>
      <c r="B15" s="913"/>
      <c r="C15" s="913"/>
      <c r="D15" s="913"/>
      <c r="E15" s="918"/>
      <c r="F15" s="918"/>
    </row>
    <row r="16" spans="1:6">
      <c r="A16" s="941"/>
      <c r="B16" s="913"/>
      <c r="C16" s="913"/>
      <c r="D16" s="913"/>
      <c r="E16" s="918"/>
      <c r="F16" s="918"/>
    </row>
    <row r="17" spans="1:6">
      <c r="A17" s="941"/>
      <c r="B17" s="913"/>
      <c r="C17" s="913"/>
      <c r="D17" s="913"/>
      <c r="E17" s="918"/>
      <c r="F17" s="918"/>
    </row>
    <row r="18" spans="1:6">
      <c r="A18" s="894" t="s">
        <v>1304</v>
      </c>
    </row>
    <row r="22" spans="1:6">
      <c r="B22" s="10" t="s">
        <v>1212</v>
      </c>
      <c r="C22" s="10" t="s">
        <v>1305</v>
      </c>
      <c r="D22" s="10" t="s">
        <v>1306</v>
      </c>
      <c r="E22" s="10"/>
      <c r="F22" s="10"/>
    </row>
    <row r="24" spans="1:6">
      <c r="A24" s="939" t="s">
        <v>1307</v>
      </c>
      <c r="B24" s="940">
        <v>6710.6513727886459</v>
      </c>
      <c r="C24" s="940">
        <v>5738.7333705644969</v>
      </c>
      <c r="D24" s="940">
        <v>971.918002224151</v>
      </c>
      <c r="E24" s="888">
        <f>C24/B24</f>
        <v>0.85516785953667218</v>
      </c>
      <c r="F24" s="888">
        <f>D24/B24</f>
        <v>0.14483214046332815</v>
      </c>
    </row>
    <row r="25" spans="1:6">
      <c r="A25" s="941" t="s">
        <v>1308</v>
      </c>
      <c r="B25" s="913">
        <v>2455.4299999846603</v>
      </c>
      <c r="C25" s="913">
        <v>2038.879764313961</v>
      </c>
      <c r="D25" s="913">
        <v>416.55023567070026</v>
      </c>
      <c r="E25" s="936">
        <f>C25/B25</f>
        <v>0.83035548328671493</v>
      </c>
      <c r="F25" s="936">
        <f>D25/B25</f>
        <v>0.16964451671328548</v>
      </c>
    </row>
    <row r="26" spans="1:6">
      <c r="A26" s="941" t="s">
        <v>1309</v>
      </c>
      <c r="B26" s="913">
        <v>2959.7713728024851</v>
      </c>
      <c r="C26" s="913">
        <v>2495.7933400045349</v>
      </c>
      <c r="D26" s="913">
        <v>463.97803279795119</v>
      </c>
      <c r="E26" s="936">
        <f>C26/B26</f>
        <v>0.84323855651099544</v>
      </c>
      <c r="F26" s="936">
        <f t="shared" ref="F26:F28" si="2">D26/B26</f>
        <v>0.15676144348900489</v>
      </c>
    </row>
    <row r="27" spans="1:6">
      <c r="A27" s="941" t="s">
        <v>1310</v>
      </c>
      <c r="B27" s="913">
        <v>1204.7500000005391</v>
      </c>
      <c r="C27" s="913">
        <v>1115.5500000010259</v>
      </c>
      <c r="D27" s="913">
        <v>89.199999999513111</v>
      </c>
      <c r="E27" s="936">
        <f t="shared" ref="E27:E28" si="3">C27/B27</f>
        <v>0.92595974268564152</v>
      </c>
      <c r="F27" s="936">
        <f t="shared" si="2"/>
        <v>7.4040257314358329E-2</v>
      </c>
    </row>
    <row r="28" spans="1:6">
      <c r="A28" s="941" t="s">
        <v>1311</v>
      </c>
      <c r="B28" s="913">
        <v>90.700000000961566</v>
      </c>
      <c r="C28" s="913">
        <v>88.510266244975426</v>
      </c>
      <c r="D28" s="913">
        <v>2.1897337559861296</v>
      </c>
      <c r="E28" s="936">
        <f t="shared" si="3"/>
        <v>0.97585740070603166</v>
      </c>
      <c r="F28" s="936">
        <f t="shared" si="2"/>
        <v>2.4142599293968191E-2</v>
      </c>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705F9-CE17-41AE-8AD6-301C77BEB23E}">
  <dimension ref="A1:O47"/>
  <sheetViews>
    <sheetView workbookViewId="0">
      <selection activeCell="N63" sqref="N63"/>
    </sheetView>
  </sheetViews>
  <sheetFormatPr baseColWidth="10" defaultRowHeight="14.4"/>
  <cols>
    <col min="1" max="1" width="11.5546875" style="50"/>
    <col min="2" max="2" width="38.77734375" style="50" customWidth="1"/>
  </cols>
  <sheetData>
    <row r="1" spans="1:15" s="50" customFormat="1" ht="15" thickBot="1">
      <c r="A1" s="1084" t="s">
        <v>155</v>
      </c>
      <c r="B1" s="1085"/>
    </row>
    <row r="2" spans="1:15" s="50" customFormat="1">
      <c r="A2" s="51" t="s">
        <v>156</v>
      </c>
      <c r="B2" s="52" t="s">
        <v>157</v>
      </c>
    </row>
    <row r="3" spans="1:15" s="50" customFormat="1">
      <c r="A3" s="53" t="s">
        <v>158</v>
      </c>
      <c r="B3" s="54"/>
    </row>
    <row r="4" spans="1:15" s="50" customFormat="1">
      <c r="A4" s="53" t="s">
        <v>159</v>
      </c>
      <c r="B4" s="54" t="s">
        <v>160</v>
      </c>
    </row>
    <row r="5" spans="1:15" s="50" customFormat="1">
      <c r="A5" s="53" t="s">
        <v>15</v>
      </c>
      <c r="B5" s="54"/>
    </row>
    <row r="6" spans="1:15" s="50" customFormat="1">
      <c r="A6" s="53" t="s">
        <v>17</v>
      </c>
      <c r="B6" s="54" t="s">
        <v>161</v>
      </c>
    </row>
    <row r="7" spans="1:15" s="50" customFormat="1" ht="15" thickBot="1">
      <c r="A7" s="55" t="s">
        <v>162</v>
      </c>
      <c r="B7" s="56" t="s">
        <v>163</v>
      </c>
    </row>
    <row r="8" spans="1:15">
      <c r="C8" s="11" t="s">
        <v>17</v>
      </c>
      <c r="D8" s="11" t="s">
        <v>164</v>
      </c>
    </row>
    <row r="10" spans="1:15">
      <c r="O10" s="11" t="s">
        <v>165</v>
      </c>
    </row>
    <row r="11" spans="1:15">
      <c r="N11" s="11" t="s">
        <v>166</v>
      </c>
      <c r="O11" s="57">
        <v>1.4999999999999999E-2</v>
      </c>
    </row>
    <row r="23" spans="3:4">
      <c r="C23" s="11" t="s">
        <v>17</v>
      </c>
      <c r="D23" s="11" t="s">
        <v>167</v>
      </c>
    </row>
    <row r="47" spans="3:3">
      <c r="C47" t="s">
        <v>168</v>
      </c>
    </row>
  </sheetData>
  <mergeCells count="1">
    <mergeCell ref="A1:B1"/>
  </mergeCell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EC8DA-EA75-4F40-B1C1-2D3EFC193A89}">
  <dimension ref="A1:E53"/>
  <sheetViews>
    <sheetView workbookViewId="0">
      <pane xSplit="2" ySplit="10" topLeftCell="C11" activePane="bottomRight" state="frozen"/>
      <selection pane="topRight"/>
      <selection pane="bottomLeft"/>
      <selection pane="bottomRight" activeCell="AB51" sqref="AB51"/>
    </sheetView>
  </sheetViews>
  <sheetFormatPr baseColWidth="10" defaultColWidth="8.88671875" defaultRowHeight="11.4" customHeight="1"/>
  <cols>
    <col min="1" max="1" width="14.88671875" style="66" customWidth="1"/>
    <col min="2" max="2" width="29.88671875" style="66" customWidth="1"/>
    <col min="3" max="5" width="10" style="66" customWidth="1"/>
    <col min="6" max="16384" width="8.88671875" style="66"/>
  </cols>
  <sheetData>
    <row r="1" spans="1:5">
      <c r="A1" s="65" t="s">
        <v>187</v>
      </c>
    </row>
    <row r="2" spans="1:5">
      <c r="A2" s="65" t="s">
        <v>188</v>
      </c>
      <c r="B2" s="67" t="s">
        <v>189</v>
      </c>
    </row>
    <row r="3" spans="1:5">
      <c r="A3" s="65" t="s">
        <v>190</v>
      </c>
      <c r="B3" s="65" t="s">
        <v>191</v>
      </c>
    </row>
    <row r="4" spans="1:5"/>
    <row r="5" spans="1:5">
      <c r="A5" s="67" t="s">
        <v>192</v>
      </c>
      <c r="C5" s="65" t="s">
        <v>193</v>
      </c>
    </row>
    <row r="6" spans="1:5">
      <c r="A6" s="67" t="s">
        <v>194</v>
      </c>
      <c r="C6" s="65" t="s">
        <v>160</v>
      </c>
    </row>
    <row r="7" spans="1:5">
      <c r="A7" s="67" t="s">
        <v>195</v>
      </c>
      <c r="C7" s="65" t="s">
        <v>196</v>
      </c>
    </row>
    <row r="8" spans="1:5"/>
    <row r="9" spans="1:5">
      <c r="A9" s="1070" t="s">
        <v>197</v>
      </c>
      <c r="B9" s="1070" t="s">
        <v>197</v>
      </c>
      <c r="C9" s="69" t="s">
        <v>198</v>
      </c>
      <c r="D9" s="69" t="s">
        <v>199</v>
      </c>
      <c r="E9" s="69" t="s">
        <v>200</v>
      </c>
    </row>
    <row r="10" spans="1:5">
      <c r="A10" s="70" t="s">
        <v>201</v>
      </c>
      <c r="B10" s="70" t="s">
        <v>202</v>
      </c>
      <c r="C10" s="71" t="s">
        <v>91</v>
      </c>
      <c r="D10" s="71" t="s">
        <v>91</v>
      </c>
      <c r="E10" s="71" t="s">
        <v>91</v>
      </c>
    </row>
    <row r="11" spans="1:5">
      <c r="A11" s="72" t="s">
        <v>203</v>
      </c>
      <c r="B11" s="72" t="s">
        <v>204</v>
      </c>
      <c r="C11" s="73">
        <v>11323810</v>
      </c>
      <c r="D11" s="73">
        <v>12738000</v>
      </c>
      <c r="E11" s="73">
        <v>17290368</v>
      </c>
    </row>
    <row r="12" spans="1:5">
      <c r="A12" s="72" t="s">
        <v>205</v>
      </c>
      <c r="B12" s="72" t="s">
        <v>206</v>
      </c>
      <c r="C12" s="74" t="s">
        <v>207</v>
      </c>
      <c r="D12" s="74" t="s">
        <v>207</v>
      </c>
      <c r="E12" s="74" t="s">
        <v>207</v>
      </c>
    </row>
    <row r="13" spans="1:5">
      <c r="A13" s="72" t="s">
        <v>208</v>
      </c>
      <c r="B13" s="72" t="s">
        <v>209</v>
      </c>
      <c r="C13" s="73" t="s">
        <v>207</v>
      </c>
      <c r="D13" s="73" t="s">
        <v>207</v>
      </c>
      <c r="E13" s="73">
        <v>16319</v>
      </c>
    </row>
    <row r="14" spans="1:5">
      <c r="A14" s="72" t="s">
        <v>210</v>
      </c>
      <c r="B14" s="72" t="s">
        <v>209</v>
      </c>
      <c r="C14" s="74" t="s">
        <v>207</v>
      </c>
      <c r="D14" s="74" t="s">
        <v>207</v>
      </c>
      <c r="E14" s="74" t="s">
        <v>207</v>
      </c>
    </row>
    <row r="15" spans="1:5">
      <c r="A15" s="72" t="s">
        <v>211</v>
      </c>
      <c r="B15" s="72" t="s">
        <v>212</v>
      </c>
      <c r="C15" s="73" t="s">
        <v>207</v>
      </c>
      <c r="D15" s="73">
        <v>0</v>
      </c>
      <c r="E15" s="73">
        <v>2554972</v>
      </c>
    </row>
    <row r="16" spans="1:5">
      <c r="A16" s="72" t="s">
        <v>213</v>
      </c>
      <c r="B16" s="72" t="s">
        <v>214</v>
      </c>
      <c r="C16" s="74" t="s">
        <v>207</v>
      </c>
      <c r="D16" s="74">
        <v>0</v>
      </c>
      <c r="E16" s="74" t="s">
        <v>207</v>
      </c>
    </row>
    <row r="17" spans="1:5">
      <c r="A17" s="72" t="s">
        <v>215</v>
      </c>
      <c r="B17" s="72" t="s">
        <v>216</v>
      </c>
      <c r="C17" s="73" t="s">
        <v>207</v>
      </c>
      <c r="D17" s="73" t="s">
        <v>207</v>
      </c>
      <c r="E17" s="73">
        <v>0</v>
      </c>
    </row>
    <row r="18" spans="1:5">
      <c r="A18" s="72" t="s">
        <v>217</v>
      </c>
      <c r="B18" s="72" t="s">
        <v>218</v>
      </c>
      <c r="C18" s="74" t="s">
        <v>207</v>
      </c>
      <c r="D18" s="74">
        <v>444913000</v>
      </c>
      <c r="E18" s="74">
        <v>563797071</v>
      </c>
    </row>
    <row r="19" spans="1:5">
      <c r="A19" s="72" t="s">
        <v>219</v>
      </c>
      <c r="B19" s="72" t="s">
        <v>212</v>
      </c>
      <c r="C19" s="73" t="s">
        <v>207</v>
      </c>
      <c r="D19" s="73" t="s">
        <v>207</v>
      </c>
      <c r="E19" s="73" t="s">
        <v>207</v>
      </c>
    </row>
    <row r="20" spans="1:5">
      <c r="A20" s="72" t="s">
        <v>220</v>
      </c>
      <c r="B20" s="72" t="s">
        <v>214</v>
      </c>
      <c r="C20" s="74">
        <v>0</v>
      </c>
      <c r="D20" s="74" t="s">
        <v>207</v>
      </c>
      <c r="E20" s="74" t="s">
        <v>207</v>
      </c>
    </row>
    <row r="21" spans="1:5">
      <c r="A21" s="72" t="s">
        <v>221</v>
      </c>
      <c r="B21" s="72" t="s">
        <v>218</v>
      </c>
      <c r="C21" s="73">
        <v>544580000</v>
      </c>
      <c r="D21" s="73" t="s">
        <v>207</v>
      </c>
      <c r="E21" s="73" t="s">
        <v>207</v>
      </c>
    </row>
    <row r="22" spans="1:5">
      <c r="A22" s="72" t="s">
        <v>222</v>
      </c>
      <c r="B22" s="72" t="s">
        <v>223</v>
      </c>
      <c r="C22" s="74" t="s">
        <v>207</v>
      </c>
      <c r="D22" s="74">
        <v>531316000</v>
      </c>
      <c r="E22" s="74">
        <v>928476771</v>
      </c>
    </row>
    <row r="23" spans="1:5">
      <c r="A23" s="72" t="s">
        <v>224</v>
      </c>
      <c r="B23" s="72" t="s">
        <v>225</v>
      </c>
      <c r="C23" s="73">
        <v>0</v>
      </c>
      <c r="D23" s="73" t="s">
        <v>207</v>
      </c>
      <c r="E23" s="73" t="s">
        <v>207</v>
      </c>
    </row>
    <row r="24" spans="1:5">
      <c r="A24" s="72" t="s">
        <v>226</v>
      </c>
      <c r="B24" s="72" t="s">
        <v>227</v>
      </c>
      <c r="C24" s="74" t="s">
        <v>207</v>
      </c>
      <c r="D24" s="74">
        <v>0</v>
      </c>
      <c r="E24" s="74" t="s">
        <v>207</v>
      </c>
    </row>
    <row r="25" spans="1:5">
      <c r="A25" s="72" t="s">
        <v>228</v>
      </c>
      <c r="B25" s="72" t="s">
        <v>223</v>
      </c>
      <c r="C25" s="73">
        <v>592724000</v>
      </c>
      <c r="D25" s="73" t="s">
        <v>207</v>
      </c>
      <c r="E25" s="73" t="s">
        <v>207</v>
      </c>
    </row>
    <row r="26" spans="1:5">
      <c r="A26" s="72" t="s">
        <v>229</v>
      </c>
      <c r="B26" s="72" t="s">
        <v>227</v>
      </c>
      <c r="C26" s="74" t="s">
        <v>207</v>
      </c>
      <c r="D26" s="74" t="s">
        <v>207</v>
      </c>
      <c r="E26" s="74" t="s">
        <v>207</v>
      </c>
    </row>
    <row r="27" spans="1:5">
      <c r="A27" s="72" t="s">
        <v>230</v>
      </c>
      <c r="B27" s="72" t="s">
        <v>231</v>
      </c>
      <c r="C27" s="73" t="s">
        <v>207</v>
      </c>
      <c r="D27" s="73" t="s">
        <v>207</v>
      </c>
      <c r="E27" s="73" t="s">
        <v>207</v>
      </c>
    </row>
    <row r="28" spans="1:5">
      <c r="A28" s="72" t="s">
        <v>232</v>
      </c>
      <c r="B28" s="72" t="s">
        <v>233</v>
      </c>
      <c r="C28" s="74">
        <v>1724000</v>
      </c>
      <c r="D28" s="74" t="s">
        <v>207</v>
      </c>
      <c r="E28" s="74" t="s">
        <v>207</v>
      </c>
    </row>
    <row r="29" spans="1:5">
      <c r="A29" s="72" t="s">
        <v>234</v>
      </c>
      <c r="B29" s="72" t="s">
        <v>233</v>
      </c>
      <c r="C29" s="73" t="s">
        <v>207</v>
      </c>
      <c r="D29" s="73" t="s">
        <v>207</v>
      </c>
      <c r="E29" s="73" t="s">
        <v>207</v>
      </c>
    </row>
    <row r="30" spans="1:5">
      <c r="A30" s="72" t="s">
        <v>235</v>
      </c>
      <c r="B30" s="72" t="s">
        <v>236</v>
      </c>
      <c r="C30" s="74" t="s">
        <v>207</v>
      </c>
      <c r="D30" s="74" t="s">
        <v>207</v>
      </c>
      <c r="E30" s="74">
        <v>339083472</v>
      </c>
    </row>
    <row r="31" spans="1:5">
      <c r="A31" s="72" t="s">
        <v>237</v>
      </c>
      <c r="B31" s="72" t="s">
        <v>238</v>
      </c>
      <c r="C31" s="73">
        <v>936861000</v>
      </c>
      <c r="D31" s="73">
        <v>587775000</v>
      </c>
      <c r="E31" s="73">
        <v>669887131</v>
      </c>
    </row>
    <row r="32" spans="1:5">
      <c r="A32" s="72" t="s">
        <v>239</v>
      </c>
      <c r="B32" s="72" t="s">
        <v>240</v>
      </c>
      <c r="C32" s="74">
        <v>2498365000</v>
      </c>
      <c r="D32" s="74">
        <v>2276641000</v>
      </c>
      <c r="E32" s="74">
        <v>2491518442</v>
      </c>
    </row>
    <row r="33" spans="1:5">
      <c r="A33" s="72" t="s">
        <v>241</v>
      </c>
      <c r="B33" s="72" t="s">
        <v>242</v>
      </c>
      <c r="C33" s="73">
        <v>104360000</v>
      </c>
      <c r="D33" s="73" t="s">
        <v>207</v>
      </c>
      <c r="E33" s="73" t="s">
        <v>207</v>
      </c>
    </row>
    <row r="34" spans="1:5">
      <c r="A34" s="72" t="s">
        <v>243</v>
      </c>
      <c r="B34" s="72" t="s">
        <v>244</v>
      </c>
      <c r="C34" s="74">
        <v>0</v>
      </c>
      <c r="D34" s="74">
        <v>0</v>
      </c>
      <c r="E34" s="74" t="s">
        <v>207</v>
      </c>
    </row>
    <row r="35" spans="1:5">
      <c r="A35" s="72" t="s">
        <v>245</v>
      </c>
      <c r="B35" s="72" t="s">
        <v>246</v>
      </c>
      <c r="C35" s="73" t="s">
        <v>207</v>
      </c>
      <c r="D35" s="73" t="s">
        <v>207</v>
      </c>
      <c r="E35" s="73" t="s">
        <v>207</v>
      </c>
    </row>
    <row r="36" spans="1:5">
      <c r="A36" s="72" t="s">
        <v>247</v>
      </c>
      <c r="B36" s="72" t="s">
        <v>248</v>
      </c>
      <c r="C36" s="74" t="s">
        <v>207</v>
      </c>
      <c r="D36" s="74" t="s">
        <v>207</v>
      </c>
      <c r="E36" s="74" t="s">
        <v>207</v>
      </c>
    </row>
    <row r="37" spans="1:5">
      <c r="A37" s="72" t="s">
        <v>249</v>
      </c>
      <c r="B37" s="72" t="s">
        <v>250</v>
      </c>
      <c r="C37" s="73">
        <v>0</v>
      </c>
      <c r="D37" s="73">
        <v>0</v>
      </c>
      <c r="E37" s="73" t="s">
        <v>207</v>
      </c>
    </row>
    <row r="38" spans="1:5">
      <c r="A38" s="72" t="s">
        <v>251</v>
      </c>
      <c r="B38" s="72" t="s">
        <v>252</v>
      </c>
      <c r="C38" s="74">
        <v>0</v>
      </c>
      <c r="D38" s="74" t="s">
        <v>207</v>
      </c>
      <c r="E38" s="74" t="s">
        <v>207</v>
      </c>
    </row>
    <row r="39" spans="1:5">
      <c r="A39" s="72" t="s">
        <v>253</v>
      </c>
      <c r="B39" s="72" t="s">
        <v>254</v>
      </c>
      <c r="C39" s="73" t="s">
        <v>207</v>
      </c>
      <c r="D39" s="73" t="s">
        <v>207</v>
      </c>
      <c r="E39" s="73" t="s">
        <v>207</v>
      </c>
    </row>
    <row r="40" spans="1:5">
      <c r="A40" s="72" t="s">
        <v>255</v>
      </c>
      <c r="B40" s="72" t="s">
        <v>256</v>
      </c>
      <c r="C40" s="74">
        <v>255178000</v>
      </c>
      <c r="D40" s="74">
        <v>359048000</v>
      </c>
      <c r="E40" s="74">
        <v>454175447</v>
      </c>
    </row>
    <row r="41" spans="1:5">
      <c r="A41" s="72" t="s">
        <v>257</v>
      </c>
      <c r="B41" s="72" t="s">
        <v>258</v>
      </c>
      <c r="C41" s="73">
        <v>0</v>
      </c>
      <c r="D41" s="73">
        <v>0</v>
      </c>
      <c r="E41" s="73">
        <v>0</v>
      </c>
    </row>
    <row r="42" spans="1:5">
      <c r="A42" s="72" t="s">
        <v>259</v>
      </c>
      <c r="B42" s="72" t="s">
        <v>260</v>
      </c>
      <c r="C42" s="74">
        <v>256419000</v>
      </c>
      <c r="D42" s="74">
        <v>204664000</v>
      </c>
      <c r="E42" s="74">
        <v>253806257</v>
      </c>
    </row>
    <row r="43" spans="1:5">
      <c r="A43" s="72" t="s">
        <v>261</v>
      </c>
      <c r="B43" s="72" t="s">
        <v>262</v>
      </c>
      <c r="C43" s="73" t="s">
        <v>207</v>
      </c>
      <c r="D43" s="73" t="s">
        <v>207</v>
      </c>
      <c r="E43" s="73" t="s">
        <v>207</v>
      </c>
    </row>
    <row r="44" spans="1:5">
      <c r="A44" s="72" t="s">
        <v>263</v>
      </c>
      <c r="B44" s="72" t="s">
        <v>264</v>
      </c>
      <c r="C44" s="74" t="s">
        <v>207</v>
      </c>
      <c r="D44" s="74" t="s">
        <v>207</v>
      </c>
      <c r="E44" s="74" t="s">
        <v>207</v>
      </c>
    </row>
    <row r="45" spans="1:5">
      <c r="A45" s="72" t="s">
        <v>265</v>
      </c>
      <c r="B45" s="72" t="s">
        <v>266</v>
      </c>
      <c r="C45" s="73" t="s">
        <v>207</v>
      </c>
      <c r="D45" s="73">
        <v>31445000</v>
      </c>
      <c r="E45" s="73">
        <v>32211960</v>
      </c>
    </row>
    <row r="46" spans="1:5">
      <c r="A46" s="72" t="s">
        <v>267</v>
      </c>
      <c r="B46" s="72" t="s">
        <v>268</v>
      </c>
      <c r="C46" s="74">
        <v>0</v>
      </c>
      <c r="D46" s="74">
        <v>0</v>
      </c>
      <c r="E46" s="74">
        <v>0</v>
      </c>
    </row>
    <row r="47" spans="1:5">
      <c r="A47" s="72" t="s">
        <v>269</v>
      </c>
      <c r="B47" s="72" t="s">
        <v>270</v>
      </c>
      <c r="C47" s="73">
        <v>0</v>
      </c>
      <c r="D47" s="73">
        <v>0</v>
      </c>
      <c r="E47" s="73">
        <v>0</v>
      </c>
    </row>
    <row r="48" spans="1:5">
      <c r="A48" s="72" t="s">
        <v>271</v>
      </c>
      <c r="B48" s="72" t="s">
        <v>272</v>
      </c>
      <c r="C48" s="74">
        <v>0</v>
      </c>
      <c r="D48" s="74">
        <v>0</v>
      </c>
      <c r="E48" s="74">
        <v>0</v>
      </c>
    </row>
    <row r="49" spans="1:5">
      <c r="A49" s="72" t="s">
        <v>273</v>
      </c>
      <c r="B49" s="72" t="s">
        <v>274</v>
      </c>
      <c r="C49" s="73" t="s">
        <v>207</v>
      </c>
      <c r="D49" s="73" t="s">
        <v>207</v>
      </c>
      <c r="E49" s="73" t="s">
        <v>207</v>
      </c>
    </row>
    <row r="50" spans="1:5">
      <c r="A50" s="72" t="s">
        <v>275</v>
      </c>
      <c r="B50" s="72" t="s">
        <v>276</v>
      </c>
      <c r="C50" s="74">
        <v>2896427000</v>
      </c>
      <c r="D50" s="74">
        <v>2571047000</v>
      </c>
      <c r="E50" s="74">
        <v>1968423120</v>
      </c>
    </row>
    <row r="52" spans="1:5">
      <c r="A52" s="67" t="s">
        <v>277</v>
      </c>
    </row>
    <row r="53" spans="1:5">
      <c r="A53" s="67" t="s">
        <v>207</v>
      </c>
      <c r="B53" s="65" t="s">
        <v>278</v>
      </c>
    </row>
  </sheetData>
  <mergeCells count="1">
    <mergeCell ref="A9:B9"/>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1A183-82F7-4B70-9CC1-E5CC56A28021}">
  <dimension ref="A1:K364"/>
  <sheetViews>
    <sheetView topLeftCell="A161" workbookViewId="0">
      <selection activeCell="P265" sqref="P265"/>
    </sheetView>
  </sheetViews>
  <sheetFormatPr baseColWidth="10" defaultRowHeight="14.4"/>
  <cols>
    <col min="9" max="9" width="12.21875" bestFit="1" customWidth="1"/>
    <col min="10" max="11" width="13.44140625" customWidth="1"/>
  </cols>
  <sheetData>
    <row r="1" spans="1:1">
      <c r="A1" t="s">
        <v>644</v>
      </c>
    </row>
    <row r="26" spans="1:1">
      <c r="A26" t="s">
        <v>645</v>
      </c>
    </row>
    <row r="64" spans="1:1">
      <c r="A64" t="s">
        <v>646</v>
      </c>
    </row>
    <row r="83" spans="1:1">
      <c r="A83" t="s">
        <v>647</v>
      </c>
    </row>
    <row r="102" spans="1:1">
      <c r="A102" t="s">
        <v>649</v>
      </c>
    </row>
    <row r="124" spans="1:1">
      <c r="A124" t="s">
        <v>648</v>
      </c>
    </row>
    <row r="142" spans="1:1">
      <c r="A142" t="s">
        <v>650</v>
      </c>
    </row>
    <row r="165" spans="1:1">
      <c r="A165" t="s">
        <v>651</v>
      </c>
    </row>
    <row r="198" spans="1:9">
      <c r="A198" t="s">
        <v>652</v>
      </c>
      <c r="F198" t="s">
        <v>1072</v>
      </c>
    </row>
    <row r="201" spans="1:9">
      <c r="I201" t="s">
        <v>1073</v>
      </c>
    </row>
    <row r="202" spans="1:9">
      <c r="I202" t="s">
        <v>1074</v>
      </c>
    </row>
    <row r="203" spans="1:9">
      <c r="I203" t="s">
        <v>1075</v>
      </c>
    </row>
    <row r="204" spans="1:9">
      <c r="I204" t="s">
        <v>1076</v>
      </c>
    </row>
    <row r="209" spans="1:11">
      <c r="J209" s="911"/>
      <c r="K209" s="911"/>
    </row>
    <row r="210" spans="1:11">
      <c r="I210" s="911"/>
      <c r="J210" s="911"/>
      <c r="K210" s="911"/>
    </row>
    <row r="211" spans="1:11">
      <c r="I211" s="911"/>
      <c r="J211" s="911"/>
      <c r="K211" s="911"/>
    </row>
    <row r="222" spans="1:11">
      <c r="A222" t="s">
        <v>653</v>
      </c>
    </row>
    <row r="254" spans="1:1">
      <c r="A254" t="s">
        <v>654</v>
      </c>
    </row>
    <row r="267" spans="1:1">
      <c r="A267" t="s">
        <v>655</v>
      </c>
    </row>
    <row r="302" spans="1:1">
      <c r="A302" t="s">
        <v>656</v>
      </c>
    </row>
    <row r="328" spans="1:1">
      <c r="A328" t="s">
        <v>657</v>
      </c>
    </row>
    <row r="364" spans="1:1">
      <c r="A364" t="s">
        <v>658</v>
      </c>
    </row>
  </sheetData>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079BF-7AB0-4A22-ADA0-A30FE8777235}">
  <dimension ref="A1"/>
  <sheetViews>
    <sheetView workbookViewId="0">
      <selection activeCell="K17" sqref="K17"/>
    </sheetView>
  </sheetViews>
  <sheetFormatPr baseColWidth="10" defaultRowHeight="14.4"/>
  <sheetData/>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B961E-5C26-477F-B4B7-874DF97119D1}">
  <dimension ref="A1"/>
  <sheetViews>
    <sheetView workbookViewId="0">
      <selection activeCell="W39" sqref="W39"/>
    </sheetView>
  </sheetViews>
  <sheetFormatPr baseColWidth="10" defaultRowHeight="14.4"/>
  <sheetData/>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05761-16BC-41A6-9343-E2E7074CC638}">
  <sheetPr>
    <tabColor theme="9" tint="-0.499984740745262"/>
  </sheetPr>
  <dimension ref="A1:T36"/>
  <sheetViews>
    <sheetView workbookViewId="0">
      <pane xSplit="2" ySplit="1" topLeftCell="C2" activePane="bottomRight" state="frozen"/>
      <selection activeCell="B15" sqref="B15"/>
      <selection pane="topRight" activeCell="B15" sqref="B15"/>
      <selection pane="bottomLeft" activeCell="B15" sqref="B15"/>
      <selection pane="bottomRight" activeCell="M12" sqref="M12"/>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1.6640625" style="2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8" width="21" customWidth="1"/>
    <col min="19" max="19" width="12.33203125" customWidth="1"/>
    <col min="20" max="20" width="17.44140625" customWidth="1"/>
  </cols>
  <sheetData>
    <row r="1" spans="1:20"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Etiquettes!$A$14</f>
        <v>Incohérence données collectées</v>
      </c>
      <c r="P1" s="18" t="str">
        <f>Etiquettes!$A$15</f>
        <v>Fiabilité des données</v>
      </c>
      <c r="Q1" s="18" t="str">
        <f>Etiquettes!$A$16</f>
        <v>Méthode</v>
      </c>
      <c r="R1" s="18" t="str">
        <f>Etiquettes!$A$17</f>
        <v>Analyse des résultats</v>
      </c>
      <c r="S1" s="17" t="s">
        <v>3</v>
      </c>
      <c r="T1" s="19" t="s">
        <v>5</v>
      </c>
    </row>
    <row r="2" spans="1:20">
      <c r="A2" t="str">
        <f>Secteurs!$B$48</f>
        <v>Indéterminé - Approvisionnement</v>
      </c>
      <c r="B2" t="str">
        <f>Produits!$B$11</f>
        <v>Graines collectées</v>
      </c>
      <c r="E2" t="str">
        <f>Etiquettes!$C$3</f>
        <v>kt</v>
      </c>
      <c r="F2" s="21" t="s">
        <v>81</v>
      </c>
      <c r="G2" s="21" t="str">
        <f>Etiquettes!$H$5</f>
        <v>2015-16</v>
      </c>
      <c r="H2" t="str">
        <f>Etiquettes!$C$4</f>
        <v>France entière</v>
      </c>
      <c r="I2" s="101" t="s">
        <v>1052</v>
      </c>
      <c r="O2" t="str">
        <f>Etiquettes!$C$14</f>
        <v>Ecart statistique</v>
      </c>
      <c r="P2" t="str">
        <f>Etiquettes!$J$15</f>
        <v>Probable</v>
      </c>
      <c r="Q2" s="66" t="s">
        <v>1470</v>
      </c>
      <c r="R2" s="66" t="str">
        <f>Etiquettes!$I$17</f>
        <v>Ecart statistique (ne permet pas de respecter un bilan matière)</v>
      </c>
    </row>
    <row r="3" spans="1:20">
      <c r="A3" t="str">
        <f>Produits!$B$11</f>
        <v>Graines collectées</v>
      </c>
      <c r="B3" t="str">
        <f>Secteurs!$B$49</f>
        <v>Indéterminé - Débouchés</v>
      </c>
      <c r="C3">
        <v>0</v>
      </c>
      <c r="E3" t="str">
        <f>Etiquettes!$C$3</f>
        <v>kt</v>
      </c>
      <c r="F3" s="21" t="s">
        <v>81</v>
      </c>
      <c r="G3" s="21" t="str">
        <f>Etiquettes!$H$5</f>
        <v>2015-16</v>
      </c>
      <c r="H3" t="str">
        <f>Etiquettes!$C$4</f>
        <v>France entière</v>
      </c>
      <c r="I3" s="101"/>
      <c r="J3" s="101"/>
    </row>
    <row r="4" spans="1:20">
      <c r="A4" t="str">
        <f>Produits!$B$11</f>
        <v>Graines collectées</v>
      </c>
      <c r="B4" t="str">
        <f>Secteurs!$B$49</f>
        <v>Indéterminé - Débouchés</v>
      </c>
      <c r="E4" t="str">
        <f>Etiquettes!$C$3</f>
        <v>kt</v>
      </c>
      <c r="F4" s="21" t="s">
        <v>81</v>
      </c>
      <c r="G4" s="21" t="s">
        <v>1051</v>
      </c>
      <c r="H4" t="str">
        <f>Etiquettes!$C$4</f>
        <v>France entière</v>
      </c>
      <c r="I4" s="101" t="s">
        <v>1052</v>
      </c>
      <c r="O4" t="str">
        <f>Etiquettes!$C$14</f>
        <v>Ecart statistique</v>
      </c>
      <c r="P4" t="str">
        <f>Etiquettes!$J$15</f>
        <v>Probable</v>
      </c>
      <c r="Q4" s="66" t="s">
        <v>1470</v>
      </c>
      <c r="R4" s="66" t="str">
        <f>Etiquettes!$I$17</f>
        <v>Ecart statistique (ne permet pas de respecter un bilan matière)</v>
      </c>
    </row>
    <row r="5" spans="1:20">
      <c r="A5" t="str">
        <f>Secteurs!$B$48</f>
        <v>Indéterminé - Approvisionnement</v>
      </c>
      <c r="B5" t="str">
        <f>Produits!$B$11</f>
        <v>Graines collectées</v>
      </c>
      <c r="C5">
        <v>0</v>
      </c>
      <c r="E5" t="str">
        <f>Etiquettes!$C$3</f>
        <v>kt</v>
      </c>
      <c r="F5" s="21" t="s">
        <v>81</v>
      </c>
      <c r="G5" s="21" t="s">
        <v>1051</v>
      </c>
      <c r="H5" t="str">
        <f>Etiquettes!$C$4</f>
        <v>France entière</v>
      </c>
      <c r="S5" t="s">
        <v>1053</v>
      </c>
    </row>
    <row r="6" spans="1:20">
      <c r="A6" t="str">
        <f>Secteurs!$B$48</f>
        <v>Indéterminé - Approvisionnement</v>
      </c>
      <c r="B6" t="str">
        <f>Produits!$B$11</f>
        <v>Graines collectées</v>
      </c>
      <c r="E6" t="str">
        <f>Etiquettes!$C$3</f>
        <v>kt</v>
      </c>
      <c r="F6" s="21" t="s">
        <v>80</v>
      </c>
      <c r="G6" s="21" t="str">
        <f>Etiquettes!$C$5</f>
        <v>2015-16:2019-20:2023-24</v>
      </c>
      <c r="H6" t="str">
        <f>Etiquettes!$C$4</f>
        <v>France entière</v>
      </c>
      <c r="I6" s="101" t="s">
        <v>1052</v>
      </c>
      <c r="O6" t="str">
        <f>Etiquettes!$C$14</f>
        <v>Ecart statistique</v>
      </c>
      <c r="P6" t="str">
        <f>Etiquettes!$J$15</f>
        <v>Probable</v>
      </c>
      <c r="Q6" s="66" t="s">
        <v>1470</v>
      </c>
      <c r="R6" s="66" t="str">
        <f>Etiquettes!$I$17</f>
        <v>Ecart statistique (ne permet pas de respecter un bilan matière)</v>
      </c>
    </row>
    <row r="7" spans="1:20">
      <c r="A7" t="str">
        <f>Produits!$B$11</f>
        <v>Graines collectées</v>
      </c>
      <c r="B7" t="str">
        <f>Secteurs!$B$49</f>
        <v>Indéterminé - Débouchés</v>
      </c>
      <c r="C7">
        <v>0</v>
      </c>
      <c r="E7" t="str">
        <f>Etiquettes!$C$3</f>
        <v>kt</v>
      </c>
      <c r="F7" s="21" t="s">
        <v>80</v>
      </c>
      <c r="G7" s="21" t="str">
        <f>Etiquettes!$C$5</f>
        <v>2015-16:2019-20:2023-24</v>
      </c>
      <c r="H7" t="str">
        <f>Etiquettes!$C$4</f>
        <v>France entière</v>
      </c>
    </row>
    <row r="8" spans="1:20">
      <c r="A8" t="str">
        <f>Secteurs!$B$48</f>
        <v>Indéterminé - Approvisionnement</v>
      </c>
      <c r="B8" t="str">
        <f>Produits!$B$11</f>
        <v>Graines collectées</v>
      </c>
      <c r="E8" t="str">
        <f>Etiquettes!$C$3</f>
        <v>kt</v>
      </c>
      <c r="F8" s="21" t="str">
        <f>Etiquettes!$J$6</f>
        <v>Soja</v>
      </c>
      <c r="G8" s="21" t="s">
        <v>1051</v>
      </c>
      <c r="H8" t="str">
        <f>Etiquettes!$C$4</f>
        <v>France entière</v>
      </c>
      <c r="I8" s="101" t="s">
        <v>1052</v>
      </c>
      <c r="O8" t="str">
        <f>Etiquettes!$C$14</f>
        <v>Ecart statistique</v>
      </c>
      <c r="P8" t="str">
        <f>Etiquettes!$J$15</f>
        <v>Probable</v>
      </c>
      <c r="Q8" s="66" t="s">
        <v>1470</v>
      </c>
      <c r="R8" s="66" t="str">
        <f>Etiquettes!$I$17</f>
        <v>Ecart statistique (ne permet pas de respecter un bilan matière)</v>
      </c>
    </row>
    <row r="9" spans="1:20">
      <c r="A9" t="str">
        <f>Produits!$B$11</f>
        <v>Graines collectées</v>
      </c>
      <c r="B9" t="str">
        <f>Secteurs!$B$49</f>
        <v>Indéterminé - Débouchés</v>
      </c>
      <c r="C9">
        <v>0</v>
      </c>
      <c r="E9" t="str">
        <f>Etiquettes!$C$3</f>
        <v>kt</v>
      </c>
      <c r="F9" s="21" t="str">
        <f>Etiquettes!$J$6</f>
        <v>Soja</v>
      </c>
      <c r="G9" s="21" t="s">
        <v>1051</v>
      </c>
      <c r="H9" t="str">
        <f>Etiquettes!$C$4</f>
        <v>France entière</v>
      </c>
      <c r="I9" s="101"/>
      <c r="J9" s="101"/>
    </row>
    <row r="10" spans="1:20">
      <c r="A10" t="str">
        <f>Secteurs!$B$48</f>
        <v>Indéterminé - Approvisionnement</v>
      </c>
      <c r="B10" t="str">
        <f>Produits!$B$11</f>
        <v>Graines collectées</v>
      </c>
      <c r="C10">
        <v>0</v>
      </c>
      <c r="E10" t="str">
        <f>Etiquettes!$C$3</f>
        <v>kt</v>
      </c>
      <c r="F10" s="21" t="str">
        <f>Etiquettes!$J$6</f>
        <v>Soja</v>
      </c>
      <c r="G10" s="21" t="str">
        <f>Etiquettes!$H$5</f>
        <v>2015-16</v>
      </c>
      <c r="H10" t="str">
        <f>Etiquettes!$C$4</f>
        <v>France entière</v>
      </c>
      <c r="S10" t="s">
        <v>1053</v>
      </c>
    </row>
    <row r="11" spans="1:20">
      <c r="A11" t="str">
        <f>Secteurs!$B$48</f>
        <v>Indéterminé - Approvisionnement</v>
      </c>
      <c r="B11" t="str">
        <f>Produits!$B$11</f>
        <v>Graines collectées</v>
      </c>
      <c r="E11" t="str">
        <f>Etiquettes!$C$3</f>
        <v>kt</v>
      </c>
      <c r="F11" s="21" t="str">
        <f>Etiquettes!$L$6</f>
        <v>Pois</v>
      </c>
      <c r="G11" s="21" t="s">
        <v>1158</v>
      </c>
      <c r="H11" t="str">
        <f>Etiquettes!$C$4</f>
        <v>France entière</v>
      </c>
      <c r="I11" s="101" t="s">
        <v>1052</v>
      </c>
      <c r="O11" t="str">
        <f>Etiquettes!$C$14</f>
        <v>Ecart statistique</v>
      </c>
      <c r="P11" t="str">
        <f>Etiquettes!$J$15</f>
        <v>Probable</v>
      </c>
      <c r="Q11" s="66" t="s">
        <v>1470</v>
      </c>
      <c r="R11" s="66" t="str">
        <f>Etiquettes!$I$17</f>
        <v>Ecart statistique (ne permet pas de respecter un bilan matière)</v>
      </c>
    </row>
    <row r="12" spans="1:20">
      <c r="A12" t="str">
        <f>Produits!$B$11</f>
        <v>Graines collectées</v>
      </c>
      <c r="B12" t="str">
        <f>Secteurs!$B$49</f>
        <v>Indéterminé - Débouchés</v>
      </c>
      <c r="C12">
        <v>0</v>
      </c>
      <c r="E12" t="str">
        <f>Etiquettes!$C$3</f>
        <v>kt</v>
      </c>
      <c r="F12" s="21" t="str">
        <f>Etiquettes!$L$6</f>
        <v>Pois</v>
      </c>
      <c r="G12" s="21" t="s">
        <v>1158</v>
      </c>
      <c r="H12" t="str">
        <f>Etiquettes!$C$4</f>
        <v>France entière</v>
      </c>
      <c r="I12" s="101"/>
      <c r="J12" s="101"/>
    </row>
    <row r="13" spans="1:20">
      <c r="A13" t="str">
        <f>Secteurs!$B$48</f>
        <v>Indéterminé - Approvisionnement</v>
      </c>
      <c r="B13" t="str">
        <f>Produits!$B$11</f>
        <v>Graines collectées</v>
      </c>
      <c r="C13">
        <v>0</v>
      </c>
      <c r="E13" t="str">
        <f>Etiquettes!$C$3</f>
        <v>kt</v>
      </c>
      <c r="F13" s="21" t="str">
        <f>Etiquettes!$L$6</f>
        <v>Pois</v>
      </c>
      <c r="G13" s="21" t="s">
        <v>699</v>
      </c>
      <c r="H13" t="str">
        <f>Etiquettes!$C$4</f>
        <v>France entière</v>
      </c>
      <c r="S13" t="s">
        <v>1053</v>
      </c>
    </row>
    <row r="14" spans="1:20">
      <c r="A14" t="str">
        <f>Produits!$B$11</f>
        <v>Graines collectées</v>
      </c>
      <c r="B14" t="str">
        <f>Secteurs!$B$49</f>
        <v>Indéterminé - Débouchés</v>
      </c>
      <c r="E14" t="str">
        <f>Etiquettes!$C$3</f>
        <v>kt</v>
      </c>
      <c r="F14" s="21" t="str">
        <f>Etiquettes!$M$6</f>
        <v>Féverole</v>
      </c>
      <c r="G14" s="21" t="str">
        <f>Etiquettes!$C$5</f>
        <v>2015-16:2019-20:2023-24</v>
      </c>
      <c r="H14" t="str">
        <f>Etiquettes!$C$4</f>
        <v>France entière</v>
      </c>
      <c r="I14" s="101" t="s">
        <v>1052</v>
      </c>
      <c r="O14" t="str">
        <f>Etiquettes!$C$14</f>
        <v>Ecart statistique</v>
      </c>
      <c r="P14" t="str">
        <f>Etiquettes!$J$15</f>
        <v>Probable</v>
      </c>
      <c r="Q14" s="66" t="s">
        <v>1470</v>
      </c>
      <c r="R14" s="66" t="str">
        <f>Etiquettes!$I$17</f>
        <v>Ecart statistique (ne permet pas de respecter un bilan matière)</v>
      </c>
    </row>
    <row r="15" spans="1:20">
      <c r="A15" t="str">
        <f>Secteurs!$B$48</f>
        <v>Indéterminé - Approvisionnement</v>
      </c>
      <c r="B15" t="str">
        <f>Produits!$B$11</f>
        <v>Graines collectées</v>
      </c>
      <c r="C15">
        <v>0</v>
      </c>
      <c r="E15" t="str">
        <f>Etiquettes!$C$3</f>
        <v>kt</v>
      </c>
      <c r="F15" s="21" t="str">
        <f>Etiquettes!$M$6</f>
        <v>Féverole</v>
      </c>
      <c r="G15" s="21" t="str">
        <f>Etiquettes!$C$5</f>
        <v>2015-16:2019-20:2023-24</v>
      </c>
      <c r="H15" t="str">
        <f>Etiquettes!$C$4</f>
        <v>France entière</v>
      </c>
    </row>
    <row r="16" spans="1:20">
      <c r="A16" t="str">
        <f>Produits!$B$11</f>
        <v>Graines collectées</v>
      </c>
      <c r="B16" t="str">
        <f>Secteurs!$B$49</f>
        <v>Indéterminé - Débouchés</v>
      </c>
      <c r="E16" t="str">
        <f>Etiquettes!$C$3</f>
        <v>kt</v>
      </c>
      <c r="F16" s="21" t="str">
        <f>Etiquettes!$O$6</f>
        <v>Lentille</v>
      </c>
      <c r="G16" s="21" t="str">
        <f>Etiquettes!$J$5</f>
        <v>2023-24</v>
      </c>
      <c r="H16" t="str">
        <f>Etiquettes!$C$4</f>
        <v>France entière</v>
      </c>
      <c r="I16" s="101" t="s">
        <v>1052</v>
      </c>
      <c r="O16" t="str">
        <f>Etiquettes!$C$14</f>
        <v>Ecart statistique</v>
      </c>
      <c r="P16" t="str">
        <f>Etiquettes!$K$15</f>
        <v>Approximative</v>
      </c>
      <c r="Q16" s="66" t="s">
        <v>1470</v>
      </c>
      <c r="R16" s="66" t="str">
        <f>Etiquettes!$I$17</f>
        <v>Ecart statistique (ne permet pas de respecter un bilan matière)</v>
      </c>
    </row>
    <row r="17" spans="1:19">
      <c r="A17" t="str">
        <f>Produits!$B$11</f>
        <v>Graines collectées</v>
      </c>
      <c r="B17" t="str">
        <f>Secteurs!$B$49</f>
        <v>Indéterminé - Débouchés</v>
      </c>
      <c r="C17">
        <v>0</v>
      </c>
      <c r="E17" t="str">
        <f>Etiquettes!$C$3</f>
        <v>kt</v>
      </c>
      <c r="F17" s="21" t="str">
        <f>Etiquettes!$O$6</f>
        <v>Lentille</v>
      </c>
      <c r="G17" s="21" t="s">
        <v>1054</v>
      </c>
      <c r="H17" t="str">
        <f>Etiquettes!$C$4</f>
        <v>France entière</v>
      </c>
      <c r="S17" t="s">
        <v>1053</v>
      </c>
    </row>
    <row r="18" spans="1:19">
      <c r="A18" t="str">
        <f>Secteurs!$B$48</f>
        <v>Indéterminé - Approvisionnement</v>
      </c>
      <c r="B18" t="str">
        <f>Produits!$B$11</f>
        <v>Graines collectées</v>
      </c>
      <c r="C18">
        <v>0</v>
      </c>
      <c r="E18" t="str">
        <f>Etiquettes!$C$3</f>
        <v>kt</v>
      </c>
      <c r="F18" s="21" t="str">
        <f>Etiquettes!$O$6</f>
        <v>Lentille</v>
      </c>
      <c r="G18" s="21" t="str">
        <f>Etiquettes!$C$5</f>
        <v>2015-16:2019-20:2023-24</v>
      </c>
      <c r="H18" t="str">
        <f>Etiquettes!$C$4</f>
        <v>France entière</v>
      </c>
    </row>
    <row r="19" spans="1:19">
      <c r="A19" t="str">
        <f>Secteurs!$B$48</f>
        <v>Indéterminé - Approvisionnement</v>
      </c>
      <c r="B19" t="str">
        <f>Produits!$B$11</f>
        <v>Graines collectées</v>
      </c>
      <c r="E19" t="str">
        <f>Etiquettes!$C$3</f>
        <v>kt</v>
      </c>
      <c r="F19" s="21" t="str">
        <f>Etiquettes!$P$6</f>
        <v>Pois chiche</v>
      </c>
      <c r="G19" s="21" t="str">
        <f>Etiquettes!$J$5</f>
        <v>2023-24</v>
      </c>
      <c r="H19" t="str">
        <f>Etiquettes!$C$4</f>
        <v>France entière</v>
      </c>
      <c r="I19" s="101" t="s">
        <v>1052</v>
      </c>
      <c r="O19" t="str">
        <f>Etiquettes!$C$14</f>
        <v>Ecart statistique</v>
      </c>
      <c r="P19" t="str">
        <f>Etiquettes!$K$15</f>
        <v>Approximative</v>
      </c>
      <c r="Q19" s="66" t="s">
        <v>1470</v>
      </c>
      <c r="R19" s="66" t="str">
        <f>Etiquettes!$I$17</f>
        <v>Ecart statistique (ne permet pas de respecter un bilan matière)</v>
      </c>
    </row>
    <row r="20" spans="1:19">
      <c r="A20" t="str">
        <f>Secteurs!$B$48</f>
        <v>Indéterminé - Approvisionnement</v>
      </c>
      <c r="B20" t="str">
        <f>Produits!$B$11</f>
        <v>Graines collectées</v>
      </c>
      <c r="C20">
        <v>0</v>
      </c>
      <c r="E20" t="str">
        <f>Etiquettes!$C$3</f>
        <v>kt</v>
      </c>
      <c r="F20" s="21" t="str">
        <f>Etiquettes!$P$6</f>
        <v>Pois chiche</v>
      </c>
      <c r="G20" s="21" t="s">
        <v>1054</v>
      </c>
      <c r="H20" t="str">
        <f>Etiquettes!$C$4</f>
        <v>France entière</v>
      </c>
      <c r="S20" t="s">
        <v>1053</v>
      </c>
    </row>
    <row r="21" spans="1:19">
      <c r="A21" t="str">
        <f>Produits!$B$11</f>
        <v>Graines collectées</v>
      </c>
      <c r="B21" t="str">
        <f>Secteurs!$B$49</f>
        <v>Indéterminé - Débouchés</v>
      </c>
      <c r="C21">
        <v>0</v>
      </c>
      <c r="E21" t="str">
        <f>Etiquettes!$C$3</f>
        <v>kt</v>
      </c>
      <c r="F21" s="21" t="str">
        <f>Etiquettes!$P$6</f>
        <v>Pois chiche</v>
      </c>
      <c r="G21" s="21" t="str">
        <f>Etiquettes!$C$5</f>
        <v>2015-16:2019-20:2023-24</v>
      </c>
      <c r="H21" t="str">
        <f>Etiquettes!$C$4</f>
        <v>France entière</v>
      </c>
    </row>
    <row r="22" spans="1:19">
      <c r="A22" t="str">
        <f>Secteurs!$B$48</f>
        <v>Indéterminé - Approvisionnement</v>
      </c>
      <c r="B22" t="str">
        <f>Produits!$B$11</f>
        <v>Graines collectées</v>
      </c>
      <c r="C22">
        <v>0</v>
      </c>
      <c r="E22" t="str">
        <f>Etiquettes!$C$3</f>
        <v>kt</v>
      </c>
      <c r="F22" s="21" t="s">
        <v>1441</v>
      </c>
      <c r="G22" s="21" t="str">
        <f>Etiquettes!$C$5</f>
        <v>2015-16:2019-20:2023-24</v>
      </c>
      <c r="H22" t="str">
        <f>Etiquettes!$C$4</f>
        <v>France entière</v>
      </c>
      <c r="S22" t="s">
        <v>1055</v>
      </c>
    </row>
    <row r="23" spans="1:19">
      <c r="A23" t="str">
        <f>Produits!$B$11</f>
        <v>Graines collectées</v>
      </c>
      <c r="B23" t="str">
        <f>Secteurs!$B$49</f>
        <v>Indéterminé - Débouchés</v>
      </c>
      <c r="C23">
        <v>0</v>
      </c>
      <c r="E23" t="str">
        <f>Etiquettes!$C$3</f>
        <v>kt</v>
      </c>
      <c r="F23" s="21" t="s">
        <v>1441</v>
      </c>
      <c r="G23" s="21" t="str">
        <f>Etiquettes!$C$5</f>
        <v>2015-16:2019-20:2023-24</v>
      </c>
      <c r="H23" t="str">
        <f>Etiquettes!$C$4</f>
        <v>France entière</v>
      </c>
      <c r="S23" t="s">
        <v>1055</v>
      </c>
    </row>
    <row r="24" spans="1:19">
      <c r="A24" t="str">
        <f>Secteurs!$B$48</f>
        <v>Indéterminé - Approvisionnement</v>
      </c>
      <c r="B24" t="str">
        <f>Produits!$B$3</f>
        <v>Olives</v>
      </c>
      <c r="E24" t="str">
        <f>Etiquettes!$C$3</f>
        <v>kt</v>
      </c>
      <c r="F24" s="21" t="str">
        <f>Etiquettes!$R$6</f>
        <v>Olive</v>
      </c>
      <c r="G24" s="21" t="s">
        <v>1158</v>
      </c>
      <c r="H24" t="str">
        <f>Etiquettes!$C$4</f>
        <v>France entière</v>
      </c>
      <c r="I24" s="101" t="s">
        <v>1052</v>
      </c>
      <c r="O24" t="str">
        <f>Etiquettes!$C$14</f>
        <v>Ecart statistique</v>
      </c>
      <c r="P24" t="str">
        <f>Etiquettes!$K$15</f>
        <v>Approximative</v>
      </c>
      <c r="Q24" s="66" t="s">
        <v>1470</v>
      </c>
      <c r="R24" s="66" t="str">
        <f>Etiquettes!$I$17</f>
        <v>Ecart statistique (ne permet pas de respecter un bilan matière)</v>
      </c>
      <c r="S24" s="1027" t="s">
        <v>1157</v>
      </c>
    </row>
    <row r="25" spans="1:19">
      <c r="A25" t="str">
        <f>Secteurs!$B$48</f>
        <v>Indéterminé - Approvisionnement</v>
      </c>
      <c r="B25" t="str">
        <f>Produits!$B$3</f>
        <v>Olives</v>
      </c>
      <c r="C25">
        <v>0</v>
      </c>
      <c r="E25" t="str">
        <f>Etiquettes!$C$3</f>
        <v>kt</v>
      </c>
      <c r="F25" s="21" t="str">
        <f>Etiquettes!$R$6</f>
        <v>Olive</v>
      </c>
      <c r="G25" s="21" t="str">
        <f>Etiquettes!$I$5</f>
        <v>2019-20</v>
      </c>
      <c r="H25" t="str">
        <f>Etiquettes!$C$4</f>
        <v>France entière</v>
      </c>
      <c r="S25" s="1027"/>
    </row>
    <row r="26" spans="1:19">
      <c r="A26" t="str">
        <f>Produits!$B$3</f>
        <v>Olives</v>
      </c>
      <c r="B26" t="str">
        <f>Secteurs!$B$49</f>
        <v>Indéterminé - Débouchés</v>
      </c>
      <c r="E26" t="str">
        <f>Etiquettes!$C$3</f>
        <v>kt</v>
      </c>
      <c r="F26" s="21" t="str">
        <f>Etiquettes!$R$6</f>
        <v>Olive</v>
      </c>
      <c r="G26" s="21" t="str">
        <f>Etiquettes!$I$5</f>
        <v>2019-20</v>
      </c>
      <c r="H26" t="str">
        <f>Etiquettes!$C$4</f>
        <v>France entière</v>
      </c>
      <c r="I26" s="101" t="s">
        <v>1052</v>
      </c>
      <c r="O26" t="str">
        <f>Etiquettes!$C$14</f>
        <v>Ecart statistique</v>
      </c>
      <c r="P26" t="str">
        <f>Etiquettes!$K$15</f>
        <v>Approximative</v>
      </c>
      <c r="Q26" s="66" t="s">
        <v>1470</v>
      </c>
      <c r="R26" s="66" t="str">
        <f>Etiquettes!$I$17</f>
        <v>Ecart statistique (ne permet pas de respecter un bilan matière)</v>
      </c>
      <c r="S26" s="1027"/>
    </row>
    <row r="27" spans="1:19">
      <c r="A27" t="str">
        <f>Produits!$B$3</f>
        <v>Olives</v>
      </c>
      <c r="B27" t="str">
        <f>Secteurs!$B$49</f>
        <v>Indéterminé - Débouchés</v>
      </c>
      <c r="C27">
        <v>0</v>
      </c>
      <c r="E27" t="str">
        <f>Etiquettes!$C$3</f>
        <v>kt</v>
      </c>
      <c r="F27" s="21" t="str">
        <f>Etiquettes!$R$6</f>
        <v>Olive</v>
      </c>
      <c r="G27" s="21" t="s">
        <v>1158</v>
      </c>
      <c r="H27" t="str">
        <f>Etiquettes!$C$4</f>
        <v>France entière</v>
      </c>
      <c r="S27" s="1027"/>
    </row>
    <row r="28" spans="1:19">
      <c r="A28" t="str">
        <f>Produits!$B$16</f>
        <v>Huile d'olive</v>
      </c>
      <c r="B28" t="str">
        <f>Secteurs!$B$49</f>
        <v>Indéterminé - Débouchés</v>
      </c>
      <c r="E28" t="str">
        <f>Etiquettes!$C$3</f>
        <v>kt</v>
      </c>
      <c r="F28" s="21" t="str">
        <f>Etiquettes!$R$6</f>
        <v>Olive</v>
      </c>
      <c r="G28" s="21" t="str">
        <f>Etiquettes!$C$5</f>
        <v>2015-16:2019-20:2023-24</v>
      </c>
      <c r="H28" t="str">
        <f>Etiquettes!$C$4</f>
        <v>France entière</v>
      </c>
      <c r="I28" s="101" t="s">
        <v>1052</v>
      </c>
      <c r="O28" t="str">
        <f>Etiquettes!$C$14</f>
        <v>Ecart statistique</v>
      </c>
      <c r="P28" t="str">
        <f>Etiquettes!$L$15</f>
        <v>Indicative</v>
      </c>
      <c r="Q28" s="66" t="s">
        <v>1470</v>
      </c>
      <c r="R28" s="66" t="str">
        <f>Etiquettes!$I$17</f>
        <v>Ecart statistique (ne permet pas de respecter un bilan matière)</v>
      </c>
    </row>
    <row r="29" spans="1:19">
      <c r="A29" t="str">
        <f>Produits!$B$18</f>
        <v>Olives de table</v>
      </c>
      <c r="B29" t="str">
        <f>Secteurs!$B$49</f>
        <v>Indéterminé - Débouchés</v>
      </c>
      <c r="E29" t="str">
        <f>Etiquettes!$C$3</f>
        <v>kt</v>
      </c>
      <c r="F29" s="21" t="str">
        <f>Etiquettes!$R$6</f>
        <v>Olive</v>
      </c>
      <c r="G29" s="21" t="s">
        <v>1054</v>
      </c>
      <c r="H29" t="str">
        <f>Etiquettes!$C$4</f>
        <v>France entière</v>
      </c>
      <c r="I29" s="101" t="s">
        <v>1052</v>
      </c>
      <c r="O29" t="str">
        <f>Etiquettes!$C$14</f>
        <v>Ecart statistique</v>
      </c>
      <c r="P29" t="str">
        <f>Etiquettes!$L$15</f>
        <v>Indicative</v>
      </c>
      <c r="Q29" s="66" t="s">
        <v>1470</v>
      </c>
      <c r="R29" s="66" t="str">
        <f>Etiquettes!$I$17</f>
        <v>Ecart statistique (ne permet pas de respecter un bilan matière)</v>
      </c>
    </row>
    <row r="30" spans="1:19">
      <c r="A30" t="str">
        <f>Produits!$B$18</f>
        <v>Olives de table</v>
      </c>
      <c r="B30" t="str">
        <f>Secteurs!$B$49</f>
        <v>Indéterminé - Débouchés</v>
      </c>
      <c r="C30">
        <v>0</v>
      </c>
      <c r="E30" t="str">
        <f>Etiquettes!$C$3</f>
        <v>kt</v>
      </c>
      <c r="F30" s="21" t="str">
        <f>Etiquettes!$R$6</f>
        <v>Olive</v>
      </c>
      <c r="G30" s="21" t="str">
        <f>Etiquettes!$J$5</f>
        <v>2023-24</v>
      </c>
      <c r="H30" t="str">
        <f>Etiquettes!$C$4</f>
        <v>France entière</v>
      </c>
      <c r="S30" t="s">
        <v>1053</v>
      </c>
    </row>
    <row r="31" spans="1:19">
      <c r="A31" t="str">
        <f>Secteurs!$B$48</f>
        <v>Indéterminé - Approvisionnement</v>
      </c>
      <c r="B31" t="str">
        <f>Produits!$B$18</f>
        <v>Olives de table</v>
      </c>
      <c r="E31" t="str">
        <f>Etiquettes!$C$3</f>
        <v>kt</v>
      </c>
      <c r="F31" s="21" t="str">
        <f>Etiquettes!$R$6</f>
        <v>Olive</v>
      </c>
      <c r="G31" s="21" t="str">
        <f>Etiquettes!$J$5</f>
        <v>2023-24</v>
      </c>
      <c r="H31" t="str">
        <f>Etiquettes!$C$4</f>
        <v>France entière</v>
      </c>
      <c r="I31" s="101" t="s">
        <v>1052</v>
      </c>
      <c r="O31" t="str">
        <f>Etiquettes!$C$14</f>
        <v>Ecart statistique</v>
      </c>
      <c r="P31" t="str">
        <f>Etiquettes!$L$15</f>
        <v>Indicative</v>
      </c>
      <c r="Q31" s="66" t="s">
        <v>1470</v>
      </c>
      <c r="R31" s="66" t="str">
        <f>Etiquettes!$I$17</f>
        <v>Ecart statistique (ne permet pas de respecter un bilan matière)</v>
      </c>
    </row>
    <row r="32" spans="1:19">
      <c r="A32" t="str">
        <f>Secteurs!$B$48</f>
        <v>Indéterminé - Approvisionnement</v>
      </c>
      <c r="B32" t="str">
        <f>Produits!$B$18</f>
        <v>Olives de table</v>
      </c>
      <c r="C32">
        <v>0</v>
      </c>
      <c r="E32" t="str">
        <f>Etiquettes!$C$3</f>
        <v>kt</v>
      </c>
      <c r="F32" s="21" t="str">
        <f>Etiquettes!$R$6</f>
        <v>Olive</v>
      </c>
      <c r="G32" s="21" t="s">
        <v>1054</v>
      </c>
      <c r="H32" t="str">
        <f>Etiquettes!$C$4</f>
        <v>France entière</v>
      </c>
      <c r="S32" t="s">
        <v>1053</v>
      </c>
    </row>
    <row r="33" spans="1:19">
      <c r="A33" t="str">
        <f>Secteurs!$B$48</f>
        <v>Indéterminé - Approvisionnement</v>
      </c>
      <c r="B33" t="str">
        <f>Produits!$B$4</f>
        <v>Graines autoconsommées</v>
      </c>
      <c r="E33" t="str">
        <f>Etiquettes!$C$3</f>
        <v>kt</v>
      </c>
      <c r="F33" s="21" t="str">
        <f>Etiquettes!$L$6</f>
        <v>Pois</v>
      </c>
      <c r="G33" s="913" t="str">
        <f>Etiquettes!$C$5</f>
        <v>2015-16:2019-20:2023-24</v>
      </c>
      <c r="H33" t="str">
        <f>Etiquettes!$C$4</f>
        <v>France entière</v>
      </c>
      <c r="I33" s="101" t="s">
        <v>1052</v>
      </c>
      <c r="O33" t="str">
        <f>Etiquettes!$C$14</f>
        <v>Ecart statistique</v>
      </c>
      <c r="P33" t="str">
        <f>Etiquettes!$L$15</f>
        <v>Indicative</v>
      </c>
      <c r="Q33" s="66" t="s">
        <v>1470</v>
      </c>
      <c r="R33" s="66" t="str">
        <f>Etiquettes!$I$17</f>
        <v>Ecart statistique (ne permet pas de respecter un bilan matière)</v>
      </c>
    </row>
    <row r="34" spans="1:19">
      <c r="A34" t="str">
        <f>Secteurs!$B$48</f>
        <v>Indéterminé - Approvisionnement</v>
      </c>
      <c r="B34" t="str">
        <f>Produits!$B$4</f>
        <v>Graines autoconsommées</v>
      </c>
      <c r="C34">
        <v>0</v>
      </c>
      <c r="E34" t="str">
        <f>Etiquettes!$C$3</f>
        <v>kt</v>
      </c>
      <c r="F34" s="21" t="s">
        <v>1253</v>
      </c>
      <c r="G34" s="913" t="str">
        <f>Etiquettes!$C$5</f>
        <v>2015-16:2019-20:2023-24</v>
      </c>
      <c r="H34" t="str">
        <f>Etiquettes!$C$4</f>
        <v>France entière</v>
      </c>
      <c r="S34" t="s">
        <v>1055</v>
      </c>
    </row>
    <row r="35" spans="1:19">
      <c r="A35" t="str">
        <f>Produits!$B$4</f>
        <v>Graines autoconsommées</v>
      </c>
      <c r="B35" t="str">
        <f>Secteurs!$B$49</f>
        <v>Indéterminé - Débouchés</v>
      </c>
      <c r="E35" t="str">
        <f>Etiquettes!$C$3</f>
        <v>kt</v>
      </c>
      <c r="F35" s="21" t="str">
        <f>Etiquettes!$M$6</f>
        <v>Féverole</v>
      </c>
      <c r="G35" s="913" t="str">
        <f>Etiquettes!$C$5</f>
        <v>2015-16:2019-20:2023-24</v>
      </c>
      <c r="H35" t="str">
        <f>Etiquettes!$C$4</f>
        <v>France entière</v>
      </c>
      <c r="I35" s="101" t="s">
        <v>1052</v>
      </c>
      <c r="O35" t="str">
        <f>Etiquettes!$C$14</f>
        <v>Ecart statistique</v>
      </c>
      <c r="P35" t="str">
        <f>Etiquettes!$L$15</f>
        <v>Indicative</v>
      </c>
      <c r="Q35" s="66" t="s">
        <v>1470</v>
      </c>
      <c r="R35" s="66" t="str">
        <f>Etiquettes!$I$17</f>
        <v>Ecart statistique (ne permet pas de respecter un bilan matière)</v>
      </c>
    </row>
    <row r="36" spans="1:19">
      <c r="A36" t="str">
        <f>Produits!$B$4</f>
        <v>Graines autoconsommées</v>
      </c>
      <c r="B36" t="str">
        <f>Secteurs!$B$49</f>
        <v>Indéterminé - Débouchés</v>
      </c>
      <c r="C36">
        <v>0</v>
      </c>
      <c r="E36" t="str">
        <f>Etiquettes!$C$3</f>
        <v>kt</v>
      </c>
      <c r="F36" s="21" t="s">
        <v>1254</v>
      </c>
      <c r="G36" s="913" t="str">
        <f>Etiquettes!$C$5</f>
        <v>2015-16:2019-20:2023-24</v>
      </c>
      <c r="H36" t="str">
        <f>Etiquettes!$C$4</f>
        <v>France entière</v>
      </c>
      <c r="S36" t="s">
        <v>1055</v>
      </c>
    </row>
  </sheetData>
  <mergeCells count="1">
    <mergeCell ref="S24:S27"/>
  </mergeCells>
  <phoneticPr fontId="114" type="noConversion"/>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CD5D0-4B3A-44E7-9BCB-FC0005BE8F1A}">
  <sheetPr>
    <tabColor rgb="FF002060"/>
  </sheetPr>
  <dimension ref="A1:S28"/>
  <sheetViews>
    <sheetView workbookViewId="0">
      <pane xSplit="2" ySplit="1" topLeftCell="C2" activePane="bottomRight" state="frozen"/>
      <selection activeCell="D35" sqref="D35"/>
      <selection pane="topRight" activeCell="D35" sqref="D35"/>
      <selection pane="bottomLeft" activeCell="D35" sqref="D35"/>
      <selection pane="bottomRight" activeCell="D35" sqref="D35"/>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20.77734375" style="21" bestFit="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Produits!$B$5</f>
        <v>Stock initial</v>
      </c>
      <c r="B2" t="str">
        <f>'Données '!B5</f>
        <v>OS</v>
      </c>
      <c r="D2"/>
      <c r="E2" t="str">
        <f>'Données '!E5</f>
        <v>kt</v>
      </c>
      <c r="F2" t="str">
        <f>'Données '!F5</f>
        <v>Colza</v>
      </c>
      <c r="G2" s="913" t="str">
        <f>Etiquettes!$C$5</f>
        <v>2015-16:2019-20:2023-24</v>
      </c>
      <c r="H2" t="str">
        <f>'Données '!H5</f>
        <v>France entière</v>
      </c>
      <c r="I2" t="str">
        <f>'Données '!I5</f>
        <v>Stock initial collecteurs</v>
      </c>
      <c r="J2"/>
      <c r="K2" t="str">
        <f>'Données '!K5</f>
        <v>Bilans par campagne - FranceAgriMer</v>
      </c>
      <c r="L2" t="str">
        <f>'Données '!L5</f>
        <v>Bilans Colza - FAM</v>
      </c>
      <c r="M2" t="str">
        <f>'Données '!M5</f>
        <v>Volume</v>
      </c>
      <c r="N2" t="str">
        <f>'Données '!N5</f>
        <v>Stock initial collecteurs = 61 kt (Bilans par campagne - FranceAgriMer)</v>
      </c>
      <c r="O2" t="str">
        <f>'Données '!O5</f>
        <v>Robuste</v>
      </c>
      <c r="P2" t="str">
        <f>'Données '!P5</f>
        <v>Données collectées</v>
      </c>
      <c r="Q2" t="str">
        <f>'Données '!Q5</f>
        <v>Donnée collectée (valeur du flux ou coefficient)</v>
      </c>
      <c r="R2" s="891"/>
      <c r="S2" s="1028" t="s">
        <v>1298</v>
      </c>
    </row>
    <row r="3" spans="1:19">
      <c r="A3" t="str">
        <f>'Données '!A6</f>
        <v>OS</v>
      </c>
      <c r="B3" t="str">
        <f>Produits!$B$8</f>
        <v>Stock final</v>
      </c>
      <c r="D3"/>
      <c r="E3" t="str">
        <f>'Données '!E6</f>
        <v>kt</v>
      </c>
      <c r="F3" t="str">
        <f>'Données '!F6</f>
        <v>Colza</v>
      </c>
      <c r="G3" s="913" t="str">
        <f>Etiquettes!$C$5</f>
        <v>2015-16:2019-20:2023-24</v>
      </c>
      <c r="H3" t="str">
        <f>'Données '!H6</f>
        <v>France entière</v>
      </c>
      <c r="I3" t="str">
        <f>'Données '!I6</f>
        <v>Stock final collecteurs</v>
      </c>
      <c r="J3"/>
      <c r="K3" t="str">
        <f>'Données '!K6</f>
        <v>Bilans par campagne - FranceAgriMer</v>
      </c>
      <c r="L3" t="str">
        <f>'Données '!L6</f>
        <v>Bilans Colza - FAM</v>
      </c>
      <c r="M3" t="str">
        <f>'Données '!M6</f>
        <v>Volume</v>
      </c>
      <c r="N3" t="str">
        <f>'Données '!N6</f>
        <v>Stock final collecteurs = 115 kt (Bilans par campagne - FranceAgriMer)</v>
      </c>
      <c r="O3" t="str">
        <f>'Données '!O6</f>
        <v>Robuste</v>
      </c>
      <c r="P3" t="str">
        <f>'Données '!P6</f>
        <v>Données collectées</v>
      </c>
      <c r="Q3" t="str">
        <f>'Données '!Q6</f>
        <v>Donnée collectée (valeur du flux ou coefficient)</v>
      </c>
      <c r="S3" s="1027"/>
    </row>
    <row r="4" spans="1:19">
      <c r="A4" t="str">
        <f>Produits!$B$5</f>
        <v>Stock initial</v>
      </c>
      <c r="B4" t="str">
        <f>'Données  '!B5</f>
        <v>OS</v>
      </c>
      <c r="D4"/>
      <c r="E4" t="str">
        <f>'Données  '!E5</f>
        <v>kt</v>
      </c>
      <c r="F4" t="str">
        <f>'Données  '!F5</f>
        <v>Tournesol</v>
      </c>
      <c r="G4" s="913" t="str">
        <f>Etiquettes!$C$5</f>
        <v>2015-16:2019-20:2023-24</v>
      </c>
      <c r="H4" t="str">
        <f>'Données  '!H5</f>
        <v>France entière</v>
      </c>
      <c r="I4" t="str">
        <f>'Données  '!I5</f>
        <v>Stock initial collecteurs</v>
      </c>
      <c r="J4"/>
      <c r="K4" t="str">
        <f>'Données  '!K5</f>
        <v>Bilans par campagne - FranceAgriMer</v>
      </c>
      <c r="L4" t="str">
        <f>'Données  '!L5</f>
        <v>BIlans Tournesol - FAM</v>
      </c>
      <c r="M4" t="str">
        <f>'Données  '!M5</f>
        <v>Volume</v>
      </c>
      <c r="N4" t="str">
        <f>'Données  '!N5</f>
        <v>Stock initial collecteurs = 79 kt (Bilans par campagne - FranceAgriMer)</v>
      </c>
      <c r="O4" t="str">
        <f>'Données  '!O5</f>
        <v>Robuste</v>
      </c>
      <c r="P4" t="str">
        <f>'Données  '!P5</f>
        <v>Données collectées</v>
      </c>
      <c r="Q4" t="str">
        <f>'Données  '!Q5</f>
        <v>Donnée collectée (valeur du flux ou coefficient)</v>
      </c>
      <c r="S4" s="1027"/>
    </row>
    <row r="5" spans="1:19">
      <c r="A5" t="str">
        <f>'Données  '!A6</f>
        <v>OS</v>
      </c>
      <c r="B5" t="str">
        <f>Produits!$B$8</f>
        <v>Stock final</v>
      </c>
      <c r="D5"/>
      <c r="E5" t="str">
        <f>'Données  '!E6</f>
        <v>kt</v>
      </c>
      <c r="F5" t="str">
        <f>'Données  '!F6</f>
        <v>Tournesol</v>
      </c>
      <c r="G5" s="913" t="str">
        <f>Etiquettes!$C$5</f>
        <v>2015-16:2019-20:2023-24</v>
      </c>
      <c r="H5" t="str">
        <f>'Données  '!H6</f>
        <v>France entière</v>
      </c>
      <c r="I5" t="str">
        <f>'Données  '!I6</f>
        <v>Stock final collecteurs</v>
      </c>
      <c r="J5"/>
      <c r="K5" t="str">
        <f>'Données  '!K6</f>
        <v>Bilans par campagne - FranceAgriMer</v>
      </c>
      <c r="L5" t="str">
        <f>'Données  '!L6</f>
        <v>BIlans Tournesol - FAM</v>
      </c>
      <c r="M5" t="str">
        <f>'Données  '!M6</f>
        <v>Volume</v>
      </c>
      <c r="N5" t="str">
        <f>'Données  '!N6</f>
        <v>Stock final collecteurs = 82 kt (Bilans par campagne - FranceAgriMer)</v>
      </c>
      <c r="O5" t="str">
        <f>'Données  '!O6</f>
        <v>Robuste</v>
      </c>
      <c r="P5" t="str">
        <f>'Données  '!P6</f>
        <v>Données collectées</v>
      </c>
      <c r="Q5" t="str">
        <f>'Données  '!Q6</f>
        <v>Donnée collectée (valeur du flux ou coefficient)</v>
      </c>
      <c r="S5" s="1027"/>
    </row>
    <row r="6" spans="1:19">
      <c r="A6" t="str">
        <f>Produits!$B$5</f>
        <v>Stock initial</v>
      </c>
      <c r="B6" t="str">
        <f>'Données   '!B5</f>
        <v>OS</v>
      </c>
      <c r="D6"/>
      <c r="E6" t="str">
        <f>'Données   '!E5</f>
        <v>kt</v>
      </c>
      <c r="F6" t="str">
        <f>'Données   '!F5</f>
        <v>Soja</v>
      </c>
      <c r="G6" s="913" t="str">
        <f>Etiquettes!$C$5</f>
        <v>2015-16:2019-20:2023-24</v>
      </c>
      <c r="H6" t="str">
        <f>'Données   '!H5</f>
        <v>France entière</v>
      </c>
      <c r="I6" t="str">
        <f>'Données   '!I5</f>
        <v>Stock initial collecteurs</v>
      </c>
      <c r="J6"/>
      <c r="K6" t="str">
        <f>'Données   '!K5</f>
        <v>Bilans par campagne - FranceAgriMer</v>
      </c>
      <c r="L6" t="str">
        <f>'Données   '!L5</f>
        <v>Bilans Soja - FAM</v>
      </c>
      <c r="M6" t="str">
        <f>'Données   '!M5</f>
        <v>Volume</v>
      </c>
      <c r="N6" t="str">
        <f>'Données   '!N5</f>
        <v>Stock initial collecteurs = 44 kt (Bilans par campagne - FranceAgriMer)</v>
      </c>
      <c r="O6" t="str">
        <f>'Données   '!O5</f>
        <v>Robuste</v>
      </c>
      <c r="P6" t="str">
        <f>'Données   '!P5</f>
        <v>Données collectées</v>
      </c>
      <c r="Q6" t="str">
        <f>'Données   '!Q5</f>
        <v>Donnée collectée (valeur du flux ou coefficient)</v>
      </c>
      <c r="S6" s="1027"/>
    </row>
    <row r="7" spans="1:19">
      <c r="A7" t="str">
        <f>'Données   '!A6</f>
        <v>OS</v>
      </c>
      <c r="B7" t="str">
        <f>Produits!$B$8</f>
        <v>Stock final</v>
      </c>
      <c r="D7"/>
      <c r="E7" t="str">
        <f>'Données   '!E6</f>
        <v>kt</v>
      </c>
      <c r="F7" t="str">
        <f>'Données   '!F6</f>
        <v>Soja</v>
      </c>
      <c r="G7" s="913" t="str">
        <f>Etiquettes!$C$5</f>
        <v>2015-16:2019-20:2023-24</v>
      </c>
      <c r="H7" t="str">
        <f>'Données   '!H6</f>
        <v>France entière</v>
      </c>
      <c r="I7" t="str">
        <f>'Données   '!I6</f>
        <v>Stock final collecteurs</v>
      </c>
      <c r="J7"/>
      <c r="K7" t="str">
        <f>'Données   '!K6</f>
        <v>Bilans par campagne - FranceAgriMer</v>
      </c>
      <c r="L7" t="str">
        <f>'Données   '!L6</f>
        <v>Bilans Soja - FAM</v>
      </c>
      <c r="M7" t="str">
        <f>'Données   '!M6</f>
        <v>Volume</v>
      </c>
      <c r="N7" t="str">
        <f>'Données   '!N6</f>
        <v>Stock final collecteurs = 41 kt (Bilans par campagne - FranceAgriMer)</v>
      </c>
      <c r="O7" t="str">
        <f>'Données   '!O6</f>
        <v>Robuste</v>
      </c>
      <c r="P7" t="str">
        <f>'Données   '!P6</f>
        <v>Données collectées</v>
      </c>
      <c r="Q7" t="str">
        <f>'Données   '!Q6</f>
        <v>Donnée collectée (valeur du flux ou coefficient)</v>
      </c>
      <c r="S7" s="1027"/>
    </row>
    <row r="8" spans="1:19">
      <c r="A8" t="str">
        <f>Produits!$B$5</f>
        <v>Stock initial</v>
      </c>
      <c r="B8" t="str">
        <f>'Données    '!B5</f>
        <v>OS</v>
      </c>
      <c r="D8"/>
      <c r="E8" t="str">
        <f>'Données    '!E5</f>
        <v>kt</v>
      </c>
      <c r="F8" t="str">
        <f>'Données    '!F5</f>
        <v>Pois</v>
      </c>
      <c r="G8" s="913" t="str">
        <f>Etiquettes!$C$5</f>
        <v>2015-16:2019-20:2023-24</v>
      </c>
      <c r="H8" t="str">
        <f>'Données    '!H5</f>
        <v>France entière</v>
      </c>
      <c r="I8" t="str">
        <f>'Données    '!I5</f>
        <v>Stock initial collecteurs</v>
      </c>
      <c r="J8"/>
      <c r="K8" t="str">
        <f>'Données    '!K5</f>
        <v>Bilans par campagne - FranceAgriMer</v>
      </c>
      <c r="L8" t="str">
        <f>'Données    '!L5</f>
        <v>Bilans Pois - FAM</v>
      </c>
      <c r="M8" t="str">
        <f>'Données    '!M5</f>
        <v>Volume</v>
      </c>
      <c r="N8" t="str">
        <f>'Données    '!N5</f>
        <v>Stock initial collecteurs = 57 kt (Bilans par campagne - FranceAgriMer)</v>
      </c>
      <c r="O8" t="str">
        <f>'Données    '!O5</f>
        <v>Robuste</v>
      </c>
      <c r="P8" t="str">
        <f>'Données    '!P5</f>
        <v>Données collectées</v>
      </c>
      <c r="Q8" t="str">
        <f>'Données    '!Q5</f>
        <v>Donnée collectée (valeur du flux ou coefficient)</v>
      </c>
      <c r="S8" s="1027"/>
    </row>
    <row r="9" spans="1:19">
      <c r="A9" t="str">
        <f>'Données    '!A6</f>
        <v>OS</v>
      </c>
      <c r="B9" t="str">
        <f>Produits!$B$8</f>
        <v>Stock final</v>
      </c>
      <c r="D9"/>
      <c r="E9" t="str">
        <f>'Données    '!E6</f>
        <v>kt</v>
      </c>
      <c r="F9" t="str">
        <f>'Données    '!F6</f>
        <v>Pois</v>
      </c>
      <c r="G9" s="913" t="str">
        <f>Etiquettes!$C$5</f>
        <v>2015-16:2019-20:2023-24</v>
      </c>
      <c r="H9" t="str">
        <f>'Données    '!H6</f>
        <v>France entière</v>
      </c>
      <c r="I9" t="str">
        <f>'Données    '!I6</f>
        <v>Stock final collecteurs</v>
      </c>
      <c r="J9"/>
      <c r="K9" t="str">
        <f>'Données    '!K6</f>
        <v>Bilans par campagne - FranceAgriMer</v>
      </c>
      <c r="L9" t="str">
        <f>'Données    '!L6</f>
        <v>Bilans Pois - FAM</v>
      </c>
      <c r="M9" t="str">
        <f>'Données    '!M6</f>
        <v>Volume</v>
      </c>
      <c r="N9" t="str">
        <f>'Données    '!N6</f>
        <v>Stock final collecteurs = 65 kt (Bilans par campagne - FranceAgriMer)</v>
      </c>
      <c r="O9" t="str">
        <f>'Données    '!O6</f>
        <v>Robuste</v>
      </c>
      <c r="P9" t="str">
        <f>'Données    '!P6</f>
        <v>Données collectées</v>
      </c>
      <c r="Q9" t="str">
        <f>'Données    '!Q6</f>
        <v>Donnée collectée (valeur du flux ou coefficient)</v>
      </c>
      <c r="S9" s="1027"/>
    </row>
    <row r="10" spans="1:19">
      <c r="A10" t="str">
        <f>Produits!$B$5</f>
        <v>Stock initial</v>
      </c>
      <c r="B10" t="str">
        <f>'Données     '!B5</f>
        <v>OS</v>
      </c>
      <c r="D10"/>
      <c r="E10" t="str">
        <f>'Données     '!E5</f>
        <v>kt</v>
      </c>
      <c r="F10" t="str">
        <f>'Données     '!F5</f>
        <v>Féverole</v>
      </c>
      <c r="G10" s="913" t="str">
        <f>Etiquettes!$C$5</f>
        <v>2015-16:2019-20:2023-24</v>
      </c>
      <c r="H10" t="str">
        <f>'Données     '!H5</f>
        <v>France entière</v>
      </c>
      <c r="I10" t="str">
        <f>'Données     '!I5</f>
        <v>Stock initial collecteurs</v>
      </c>
      <c r="J10"/>
      <c r="K10" t="str">
        <f>'Données     '!K5</f>
        <v>Bilans par campagne - FranceAgriMer</v>
      </c>
      <c r="L10" t="str">
        <f>'Données     '!L5</f>
        <v>Bilans Féverole - FAM</v>
      </c>
      <c r="M10" t="str">
        <f>'Données     '!M5</f>
        <v>Volume</v>
      </c>
      <c r="N10" t="str">
        <f>'Données     '!N5</f>
        <v>Stock initial collecteurs = 34 kt (Bilans par campagne - FranceAgriMer)</v>
      </c>
      <c r="O10" t="str">
        <f>'Données     '!O5</f>
        <v>Robuste</v>
      </c>
      <c r="P10" t="str">
        <f>'Données     '!P5</f>
        <v>Données collectées</v>
      </c>
      <c r="Q10" t="str">
        <f>'Données     '!Q5</f>
        <v>Donnée collectée (valeur du flux ou coefficient)</v>
      </c>
      <c r="S10" s="1027"/>
    </row>
    <row r="11" spans="1:19">
      <c r="A11" t="str">
        <f>'Données     '!A6</f>
        <v>OS</v>
      </c>
      <c r="B11" t="str">
        <f>Produits!$B$8</f>
        <v>Stock final</v>
      </c>
      <c r="D11"/>
      <c r="E11" t="str">
        <f>'Données     '!E6</f>
        <v>kt</v>
      </c>
      <c r="F11" t="str">
        <f>'Données     '!F6</f>
        <v>Féverole</v>
      </c>
      <c r="G11" s="913" t="str">
        <f>Etiquettes!$C$5</f>
        <v>2015-16:2019-20:2023-24</v>
      </c>
      <c r="H11" t="str">
        <f>'Données     '!H6</f>
        <v>France entière</v>
      </c>
      <c r="I11" t="str">
        <f>'Données     '!I6</f>
        <v>Stock final collecteurs</v>
      </c>
      <c r="J11"/>
      <c r="K11" t="str">
        <f>'Données     '!K6</f>
        <v>Bilans par campagne - FranceAgriMer</v>
      </c>
      <c r="L11" t="str">
        <f>'Données     '!L6</f>
        <v>Bilans Féverole - FAM</v>
      </c>
      <c r="M11" t="str">
        <f>'Données     '!M6</f>
        <v>Volume</v>
      </c>
      <c r="N11" t="str">
        <f>'Données     '!N6</f>
        <v>Stock final collecteurs = 59 kt (Bilans par campagne - FranceAgriMer)</v>
      </c>
      <c r="O11" t="str">
        <f>'Données     '!O6</f>
        <v>Robuste</v>
      </c>
      <c r="P11" t="str">
        <f>'Données     '!P6</f>
        <v>Données collectées</v>
      </c>
      <c r="Q11" t="str">
        <f>'Données     '!Q6</f>
        <v>Donnée collectée (valeur du flux ou coefficient)</v>
      </c>
      <c r="S11" s="1027"/>
    </row>
    <row r="12" spans="1:19">
      <c r="A12" t="str">
        <f>Produits!$B$5</f>
        <v>Stock initial</v>
      </c>
      <c r="B12" t="str">
        <f>'Données           '!B4</f>
        <v>OS</v>
      </c>
      <c r="D12"/>
      <c r="E12" t="str">
        <f>'Données           '!E4</f>
        <v>kt</v>
      </c>
      <c r="F12" t="str">
        <f>'Données           '!F4</f>
        <v>Lin</v>
      </c>
      <c r="G12" s="913" t="str">
        <f>Etiquettes!$C$5</f>
        <v>2015-16:2019-20:2023-24</v>
      </c>
      <c r="H12" t="str">
        <f>'Données           '!H4</f>
        <v>France entière</v>
      </c>
      <c r="I12" t="str">
        <f>'Données           '!I4</f>
        <v>Stock initial collecteurs</v>
      </c>
      <c r="J12"/>
      <c r="K12" t="str">
        <f>'Données           '!K4</f>
        <v>Collectes, stocks - FranceAgriMer</v>
      </c>
      <c r="L12" t="str">
        <f>'Données           '!L4</f>
        <v>Collectes, stocks - FAM</v>
      </c>
      <c r="M12" t="str">
        <f>'Données           '!M4</f>
        <v>Volume</v>
      </c>
      <c r="N12" t="str">
        <f>'Données           '!N4</f>
        <v>Stock initial collecteurs = 2 kt (Collectes, stocks - FranceAgriMer)</v>
      </c>
      <c r="O12" t="str">
        <f>'Données           '!O4</f>
        <v>Robuste</v>
      </c>
      <c r="P12" t="str">
        <f>'Données           '!P4</f>
        <v>Données collectées</v>
      </c>
      <c r="Q12" t="str">
        <f>'Données           '!Q4</f>
        <v>Donnée collectée (valeur du flux ou coefficient)</v>
      </c>
      <c r="S12" s="1027"/>
    </row>
    <row r="13" spans="1:19">
      <c r="A13" t="str">
        <f>'Données           '!A5</f>
        <v>OS</v>
      </c>
      <c r="B13" t="str">
        <f>Produits!$B$8</f>
        <v>Stock final</v>
      </c>
      <c r="D13"/>
      <c r="E13" t="str">
        <f>'Données           '!E5</f>
        <v>kt</v>
      </c>
      <c r="F13" t="str">
        <f>'Données           '!F5</f>
        <v>Lin</v>
      </c>
      <c r="G13" s="913" t="str">
        <f>Etiquettes!$C$5</f>
        <v>2015-16:2019-20:2023-24</v>
      </c>
      <c r="H13" t="str">
        <f>'Données           '!H5</f>
        <v>France entière</v>
      </c>
      <c r="I13" t="str">
        <f>'Données           '!I5</f>
        <v>Stock final collecteurs</v>
      </c>
      <c r="J13"/>
      <c r="K13" t="str">
        <f>'Données           '!K5</f>
        <v>Collectes, stocks - FranceAgriMer</v>
      </c>
      <c r="L13" t="str">
        <f>'Données           '!L5</f>
        <v>Collectes, stocks - FAM</v>
      </c>
      <c r="M13" t="str">
        <f>'Données           '!M5</f>
        <v>Volume</v>
      </c>
      <c r="N13" t="str">
        <f>'Données           '!N5</f>
        <v>Stock final collecteurs = 6 kt (Collectes, stocks - FranceAgriMer)</v>
      </c>
      <c r="O13" t="str">
        <f>'Données           '!O5</f>
        <v>Robuste</v>
      </c>
      <c r="P13" t="str">
        <f>'Données           '!P5</f>
        <v>Données collectées</v>
      </c>
      <c r="Q13" t="str">
        <f>'Données           '!Q5</f>
        <v>Donnée collectée (valeur du flux ou coefficient)</v>
      </c>
      <c r="S13" s="1027"/>
    </row>
    <row r="14" spans="1:19">
      <c r="A14" t="str">
        <f>Produits!$B$5</f>
        <v>Stock initial</v>
      </c>
      <c r="B14" t="str">
        <f>'Données           '!B22</f>
        <v>OS</v>
      </c>
      <c r="D14"/>
      <c r="E14" t="str">
        <f>'Données           '!E22</f>
        <v>kt</v>
      </c>
      <c r="F14" t="str">
        <f>'Données           '!F22</f>
        <v>Lupin</v>
      </c>
      <c r="G14" s="913" t="str">
        <f>Etiquettes!$C$5</f>
        <v>2015-16:2019-20:2023-24</v>
      </c>
      <c r="H14" t="str">
        <f>'Données           '!H22</f>
        <v>France entière</v>
      </c>
      <c r="I14" t="str">
        <f>'Données           '!I22</f>
        <v>Stock initial collecteurs</v>
      </c>
      <c r="J14"/>
      <c r="K14" t="str">
        <f>'Données           '!K22</f>
        <v>Collectes, stocks - FranceAgriMer</v>
      </c>
      <c r="L14" t="str">
        <f>'Données           '!L22</f>
        <v>Collectes, stocks protéa - FAM</v>
      </c>
      <c r="M14" t="str">
        <f>'Données           '!M22</f>
        <v>Volume</v>
      </c>
      <c r="N14" t="str">
        <f>'Données           '!N22</f>
        <v>Stock initial collecteurs = 3 kt (Collectes, stocks - FranceAgriMer)</v>
      </c>
      <c r="O14" t="str">
        <f>'Données           '!O22</f>
        <v>Robuste</v>
      </c>
      <c r="P14" t="str">
        <f>'Données           '!P22</f>
        <v>Données collectées</v>
      </c>
      <c r="Q14" t="str">
        <f>'Données           '!Q22</f>
        <v>Donnée collectée (valeur du flux ou coefficient)</v>
      </c>
      <c r="S14" s="1027"/>
    </row>
    <row r="15" spans="1:19">
      <c r="A15" t="str">
        <f>'Données           '!A23</f>
        <v>OS</v>
      </c>
      <c r="B15" t="str">
        <f>Produits!$B$8</f>
        <v>Stock final</v>
      </c>
      <c r="D15"/>
      <c r="E15" t="str">
        <f>'Données           '!E23</f>
        <v>kt</v>
      </c>
      <c r="F15" t="str">
        <f>'Données           '!F23</f>
        <v>Lupin</v>
      </c>
      <c r="G15" s="913" t="str">
        <f>Etiquettes!$C$5</f>
        <v>2015-16:2019-20:2023-24</v>
      </c>
      <c r="H15" t="str">
        <f>'Données           '!H23</f>
        <v>France entière</v>
      </c>
      <c r="I15" t="str">
        <f>'Données           '!I23</f>
        <v>Stock final collecteurs</v>
      </c>
      <c r="J15"/>
      <c r="K15" t="str">
        <f>'Données           '!K23</f>
        <v>Collectes, stocks - FranceAgriMer</v>
      </c>
      <c r="L15" t="str">
        <f>'Données           '!L23</f>
        <v>Collectes, stocks protéa - FAM</v>
      </c>
      <c r="M15" t="str">
        <f>'Données           '!M23</f>
        <v>Volume</v>
      </c>
      <c r="N15" t="str">
        <f>'Données           '!N23</f>
        <v>Stock final collecteurs = 11 kt (Collectes, stocks - FranceAgriMer)</v>
      </c>
      <c r="O15" t="str">
        <f>'Données           '!O23</f>
        <v>Robuste</v>
      </c>
      <c r="P15" t="str">
        <f>'Données           '!P23</f>
        <v>Données collectées</v>
      </c>
      <c r="Q15" t="str">
        <f>'Données           '!Q23</f>
        <v>Donnée collectée (valeur du flux ou coefficient)</v>
      </c>
      <c r="S15" s="1027"/>
    </row>
    <row r="16" spans="1:19">
      <c r="A16" t="str">
        <f>Produits!$B$5</f>
        <v>Stock initial</v>
      </c>
      <c r="B16" t="str">
        <f>'Données           '!B42</f>
        <v>OS</v>
      </c>
      <c r="D16"/>
      <c r="E16" t="str">
        <f>'Données           '!E42</f>
        <v>kt</v>
      </c>
      <c r="F16" t="str">
        <f>'Données           '!F42</f>
        <v>Lentille</v>
      </c>
      <c r="G16" t="str">
        <f>'Données           '!G42</f>
        <v>2023-24</v>
      </c>
      <c r="H16" t="str">
        <f>'Données           '!H42</f>
        <v>France entière</v>
      </c>
      <c r="I16" t="str">
        <f>'Données           '!I42</f>
        <v>Stock initial collecteurs</v>
      </c>
      <c r="J16"/>
      <c r="K16" t="str">
        <f>'Données           '!K42</f>
        <v>Collectes, stocks - FranceAgriMer</v>
      </c>
      <c r="L16" t="str">
        <f>'Données           '!L42</f>
        <v>Collectes, stocks protéa - FAM</v>
      </c>
      <c r="M16" t="str">
        <f>'Données           '!M42</f>
        <v>Volume</v>
      </c>
      <c r="N16" t="str">
        <f>'Données           '!N42</f>
        <v>Stock initial collecteurs = 3 kt (Collectes, stocks - FranceAgriMer)</v>
      </c>
      <c r="O16" t="str">
        <f>'Données           '!O42</f>
        <v>Robuste</v>
      </c>
      <c r="P16" t="str">
        <f>'Données           '!P42</f>
        <v>Données collectées</v>
      </c>
      <c r="Q16" t="str">
        <f>'Données           '!Q42</f>
        <v>Donnée collectée (valeur du flux ou coefficient)</v>
      </c>
      <c r="S16" s="1027"/>
    </row>
    <row r="17" spans="1:19">
      <c r="A17" t="str">
        <f>'Données           '!A43</f>
        <v>OS</v>
      </c>
      <c r="B17" t="str">
        <f>Produits!$B$8</f>
        <v>Stock final</v>
      </c>
      <c r="D17"/>
      <c r="E17" t="str">
        <f>'Données           '!E43</f>
        <v>kt</v>
      </c>
      <c r="F17" t="str">
        <f>'Données           '!F43</f>
        <v>Lentille</v>
      </c>
      <c r="G17" t="str">
        <f>'Données           '!G43</f>
        <v>2023-24</v>
      </c>
      <c r="H17" t="str">
        <f>'Données           '!H43</f>
        <v>France entière</v>
      </c>
      <c r="I17" t="str">
        <f>'Données           '!I43</f>
        <v>Stock final collecteurs</v>
      </c>
      <c r="J17"/>
      <c r="K17" t="str">
        <f>'Données           '!K43</f>
        <v>Collectes, stocks - FranceAgriMer</v>
      </c>
      <c r="L17" t="str">
        <f>'Données           '!L43</f>
        <v>Collectes, stocks protéa - FAM</v>
      </c>
      <c r="M17" t="str">
        <f>'Données           '!M43</f>
        <v>Volume</v>
      </c>
      <c r="N17" t="str">
        <f>'Données           '!N43</f>
        <v>Stock final collecteurs = 3 kt (Collectes, stocks - FranceAgriMer)</v>
      </c>
      <c r="O17" t="str">
        <f>'Données           '!O43</f>
        <v>Robuste</v>
      </c>
      <c r="P17" t="str">
        <f>'Données           '!P43</f>
        <v>Données collectées</v>
      </c>
      <c r="Q17" t="str">
        <f>'Données           '!Q43</f>
        <v>Donnée collectée (valeur du flux ou coefficient)</v>
      </c>
      <c r="S17" s="1027"/>
    </row>
    <row r="18" spans="1:19">
      <c r="A18" t="str">
        <f>Produits!$B$5</f>
        <v>Stock initial</v>
      </c>
      <c r="B18" t="str">
        <f>'Données           '!B49</f>
        <v>OS</v>
      </c>
      <c r="D18"/>
      <c r="E18" t="str">
        <f>'Données           '!E49</f>
        <v>kt</v>
      </c>
      <c r="F18" t="str">
        <f>'Données           '!F49</f>
        <v>Pois chiche</v>
      </c>
      <c r="G18" t="str">
        <f>'Données           '!G49</f>
        <v>2023-24</v>
      </c>
      <c r="H18" t="str">
        <f>'Données           '!H49</f>
        <v>France entière</v>
      </c>
      <c r="I18" t="str">
        <f>'Données           '!I49</f>
        <v>Stock initial collecteurs</v>
      </c>
      <c r="J18"/>
      <c r="K18" t="str">
        <f>'Données           '!K49</f>
        <v>Collectes, stocks - FranceAgriMer</v>
      </c>
      <c r="L18" t="str">
        <f>'Données           '!L49</f>
        <v>Collectes, stocks protéa - FAM</v>
      </c>
      <c r="M18" t="str">
        <f>'Données           '!M49</f>
        <v>Volume</v>
      </c>
      <c r="N18" t="str">
        <f>'Données           '!N49</f>
        <v>Stock initial collecteurs = 3 kt (Collectes, stocks - FranceAgriMer)</v>
      </c>
      <c r="O18" t="str">
        <f>'Données           '!O49</f>
        <v>Robuste</v>
      </c>
      <c r="P18" t="str">
        <f>'Données           '!P49</f>
        <v>Données collectées</v>
      </c>
      <c r="Q18" t="str">
        <f>'Données           '!Q49</f>
        <v>Donnée collectée (valeur du flux ou coefficient)</v>
      </c>
      <c r="S18" s="1027"/>
    </row>
    <row r="19" spans="1:19">
      <c r="A19" t="str">
        <f>'Données           '!A50</f>
        <v>OS</v>
      </c>
      <c r="B19" t="str">
        <f>Produits!$B$8</f>
        <v>Stock final</v>
      </c>
      <c r="D19"/>
      <c r="E19" t="str">
        <f>'Données           '!E50</f>
        <v>kt</v>
      </c>
      <c r="F19" t="str">
        <f>'Données           '!F50</f>
        <v>Pois chiche</v>
      </c>
      <c r="G19" t="str">
        <f>'Données           '!G50</f>
        <v>2023-24</v>
      </c>
      <c r="H19" t="str">
        <f>'Données           '!H50</f>
        <v>France entière</v>
      </c>
      <c r="I19" t="str">
        <f>'Données           '!I50</f>
        <v>Stock final collecteurs</v>
      </c>
      <c r="J19"/>
      <c r="K19" t="str">
        <f>'Données           '!K50</f>
        <v>Collectes, stocks - FranceAgriMer</v>
      </c>
      <c r="L19" t="str">
        <f>'Données           '!L50</f>
        <v>Collectes, stocks protéa - FAM</v>
      </c>
      <c r="M19" t="str">
        <f>'Données           '!M50</f>
        <v>Volume</v>
      </c>
      <c r="N19" t="str">
        <f>'Données           '!N50</f>
        <v>Stock final collecteurs = 3 kt (Collectes, stocks - FranceAgriMer)</v>
      </c>
      <c r="O19" t="str">
        <f>'Données           '!O50</f>
        <v>Robuste</v>
      </c>
      <c r="P19" t="str">
        <f>'Données           '!P50</f>
        <v>Données collectées</v>
      </c>
      <c r="Q19" t="str">
        <f>'Données           '!Q50</f>
        <v>Donnée collectée (valeur du flux ou coefficient)</v>
      </c>
      <c r="S19" s="1027"/>
    </row>
    <row r="20" spans="1:19">
      <c r="A20" t="str">
        <f>'Données '!A9</f>
        <v>Graines collectées</v>
      </c>
      <c r="B20" t="str">
        <f>Secteurs!$B$42</f>
        <v>Semences</v>
      </c>
      <c r="D20"/>
      <c r="E20" t="str">
        <f>'Données '!E9</f>
        <v>kt</v>
      </c>
      <c r="F20" t="str">
        <f>'Données '!F9</f>
        <v>Colza</v>
      </c>
      <c r="G20" s="913" t="str">
        <f>Etiquettes!$C$5</f>
        <v>2015-16:2019-20:2023-24</v>
      </c>
      <c r="H20" t="str">
        <f>'Données '!H9</f>
        <v>France entière</v>
      </c>
      <c r="I20" t="str">
        <f>'Données '!I9</f>
        <v>Production de semences certifiées</v>
      </c>
      <c r="J20"/>
      <c r="K20" t="str">
        <f>'Données '!K9</f>
        <v>Bilans par campagne - FranceAgriMer</v>
      </c>
      <c r="L20" t="str">
        <f>'Données '!L9</f>
        <v>Bilans Colza - FAM</v>
      </c>
      <c r="M20" t="str">
        <f>'Données '!M9</f>
        <v>Volume</v>
      </c>
      <c r="N20" t="str">
        <f>'Données '!N9</f>
        <v>Production de semences certifiées = 10 kt (Bilans par campagne - FranceAgriMer)</v>
      </c>
      <c r="O20" t="str">
        <f>'Données '!O9</f>
        <v>Probable</v>
      </c>
      <c r="P20" t="str">
        <f>'Données '!P9</f>
        <v>Données collectées</v>
      </c>
      <c r="Q20" t="str">
        <f>'Données '!Q9</f>
        <v>Donnée collectée (valeur du flux ou coefficient)</v>
      </c>
      <c r="S20" s="1027"/>
    </row>
    <row r="21" spans="1:19">
      <c r="A21" t="str">
        <f>'Données  '!A10</f>
        <v>Graines collectées</v>
      </c>
      <c r="B21" t="str">
        <f>Secteurs!$B$42</f>
        <v>Semences</v>
      </c>
      <c r="D21"/>
      <c r="E21" t="str">
        <f>'Données  '!E10</f>
        <v>kt</v>
      </c>
      <c r="F21" t="str">
        <f>'Données  '!F10</f>
        <v>Tournesol</v>
      </c>
      <c r="G21" s="913" t="str">
        <f>Etiquettes!$C$5</f>
        <v>2015-16:2019-20:2023-24</v>
      </c>
      <c r="H21" t="str">
        <f>'Données  '!H10</f>
        <v>France entière</v>
      </c>
      <c r="I21" t="str">
        <f>'Données  '!I10</f>
        <v>Production de semences certifiées</v>
      </c>
      <c r="J21"/>
      <c r="K21" t="str">
        <f>'Données  '!K10</f>
        <v>Bilans par campagne - FranceAgriMer</v>
      </c>
      <c r="L21" t="str">
        <f>'Données  '!L10</f>
        <v>BIlans Tournesol - FAM</v>
      </c>
      <c r="M21" t="str">
        <f>'Données  '!M10</f>
        <v>Volume</v>
      </c>
      <c r="N21" t="str">
        <f>'Données  '!N10</f>
        <v>Production de semences certifiées = 10 kt (Bilans par campagne - FranceAgriMer)</v>
      </c>
      <c r="O21" t="str">
        <f>'Données  '!O10</f>
        <v>Probable</v>
      </c>
      <c r="P21" t="str">
        <f>'Données  '!P10</f>
        <v>Données collectées</v>
      </c>
      <c r="Q21" t="str">
        <f>'Données  '!Q10</f>
        <v>Donnée collectée (valeur du flux ou coefficient)</v>
      </c>
      <c r="S21" s="1027"/>
    </row>
    <row r="22" spans="1:19">
      <c r="A22" t="str">
        <f>'Données   '!A10</f>
        <v>Graines collectées</v>
      </c>
      <c r="B22" t="str">
        <f>Secteurs!$B$42</f>
        <v>Semences</v>
      </c>
      <c r="D22"/>
      <c r="E22" t="str">
        <f>'Données   '!E10</f>
        <v>kt</v>
      </c>
      <c r="F22" t="str">
        <f>'Données   '!F10</f>
        <v>Soja</v>
      </c>
      <c r="G22" s="913" t="str">
        <f>Etiquettes!$C$5</f>
        <v>2015-16:2019-20:2023-24</v>
      </c>
      <c r="H22" t="str">
        <f>'Données   '!H10</f>
        <v>France entière</v>
      </c>
      <c r="I22" t="str">
        <f>'Données   '!I10</f>
        <v>Production de semences certifiées</v>
      </c>
      <c r="J22"/>
      <c r="K22" t="str">
        <f>'Données   '!K10</f>
        <v>Bilans par campagne - FranceAgriMer</v>
      </c>
      <c r="L22" t="str">
        <f>'Données   '!L10</f>
        <v>Bilans Soja - FAM</v>
      </c>
      <c r="M22" t="str">
        <f>'Données   '!M10</f>
        <v>Volume</v>
      </c>
      <c r="N22" t="str">
        <f>'Données   '!N10</f>
        <v>Production de semences certifiées = 8 kt (Bilans par campagne - FranceAgriMer)</v>
      </c>
      <c r="O22" t="str">
        <f>'Données   '!O10</f>
        <v>Probable</v>
      </c>
      <c r="P22" t="str">
        <f>'Données   '!P10</f>
        <v>Données collectées</v>
      </c>
      <c r="Q22" t="str">
        <f>'Données   '!Q10</f>
        <v>Donnée collectée (valeur du flux ou coefficient)</v>
      </c>
      <c r="S22" s="1027"/>
    </row>
    <row r="23" spans="1:19">
      <c r="A23" t="str">
        <f>'Données    '!A9</f>
        <v>Graines collectées</v>
      </c>
      <c r="B23" t="str">
        <f>Secteurs!$B$42</f>
        <v>Semences</v>
      </c>
      <c r="D23"/>
      <c r="E23" t="str">
        <f>'Données    '!E9</f>
        <v>kt</v>
      </c>
      <c r="F23" t="str">
        <f>'Données    '!F9</f>
        <v>Pois</v>
      </c>
      <c r="G23" s="913" t="str">
        <f>Etiquettes!$C$5</f>
        <v>2015-16:2019-20:2023-24</v>
      </c>
      <c r="H23" t="str">
        <f>'Données    '!H9</f>
        <v>France entière</v>
      </c>
      <c r="I23" t="str">
        <f>'Données    '!I9</f>
        <v>Production de semences certifiées</v>
      </c>
      <c r="J23"/>
      <c r="K23" t="str">
        <f>'Données    '!K9</f>
        <v>Bilans par campagne - FranceAgriMer</v>
      </c>
      <c r="L23" t="str">
        <f>'Données    '!L9</f>
        <v>Bilans Pois - FAM</v>
      </c>
      <c r="M23" t="str">
        <f>'Données    '!M9</f>
        <v>Volume</v>
      </c>
      <c r="N23" t="str">
        <f>'Données    '!N9</f>
        <v>Production de semences certifiées = 25 kt (Bilans par campagne - FranceAgriMer)</v>
      </c>
      <c r="O23" t="str">
        <f>'Données    '!O9</f>
        <v>Probable</v>
      </c>
      <c r="P23" t="str">
        <f>'Données    '!P9</f>
        <v>Données collectées</v>
      </c>
      <c r="Q23" t="str">
        <f>'Données    '!Q9</f>
        <v>Donnée collectée (valeur du flux ou coefficient)</v>
      </c>
      <c r="S23" s="1027"/>
    </row>
    <row r="24" spans="1:19">
      <c r="A24" t="str">
        <f>'Données     '!A9</f>
        <v>Graines collectées</v>
      </c>
      <c r="B24" t="str">
        <f>Secteurs!$B$42</f>
        <v>Semences</v>
      </c>
      <c r="D24"/>
      <c r="E24" t="str">
        <f>'Données     '!E9</f>
        <v>kt</v>
      </c>
      <c r="F24" t="str">
        <f>'Données     '!F9</f>
        <v>Féverole</v>
      </c>
      <c r="G24" s="913" t="str">
        <f>Etiquettes!$C$5</f>
        <v>2015-16:2019-20:2023-24</v>
      </c>
      <c r="H24" t="str">
        <f>'Données     '!H9</f>
        <v>France entière</v>
      </c>
      <c r="I24" t="str">
        <f>'Données     '!I9</f>
        <v>Production de semences certifiées</v>
      </c>
      <c r="J24"/>
      <c r="K24" t="str">
        <f>'Données     '!K9</f>
        <v>Bilans par campagne - FranceAgriMer</v>
      </c>
      <c r="L24" t="str">
        <f>'Données     '!L9</f>
        <v>Bilans Féverole - FAM</v>
      </c>
      <c r="M24" t="str">
        <f>'Données     '!M9</f>
        <v>Volume</v>
      </c>
      <c r="N24" t="str">
        <f>'Données     '!N9</f>
        <v>Production de semences certifiées = 8 kt (Bilans par campagne - FranceAgriMer)</v>
      </c>
      <c r="O24" t="str">
        <f>'Données     '!O9</f>
        <v>Probable</v>
      </c>
      <c r="P24" t="str">
        <f>'Données     '!P9</f>
        <v>Données collectées</v>
      </c>
      <c r="Q24" t="str">
        <f>'Données     '!Q9</f>
        <v>Donnée collectée (valeur du flux ou coefficient)</v>
      </c>
      <c r="S24" s="1027"/>
    </row>
    <row r="25" spans="1:19">
      <c r="A25" t="str">
        <f>'Données           '!A6</f>
        <v>Graines collectées</v>
      </c>
      <c r="B25" t="str">
        <f>Secteurs!$B$42</f>
        <v>Semences</v>
      </c>
      <c r="D25"/>
      <c r="E25" t="str">
        <f>'Données           '!E6</f>
        <v>kt</v>
      </c>
      <c r="F25" t="str">
        <f>'Données           '!F6</f>
        <v>Lin</v>
      </c>
      <c r="G25" s="913" t="str">
        <f>Etiquettes!$C$5</f>
        <v>2015-16:2019-20:2023-24</v>
      </c>
      <c r="H25" t="str">
        <f>'Données           '!H6</f>
        <v>France entière</v>
      </c>
      <c r="I25" t="str">
        <f>'Données           '!I6</f>
        <v>Production de semences certifiées</v>
      </c>
      <c r="J25"/>
      <c r="K25" t="str">
        <f>'Données           '!K6</f>
        <v>Collectes, stocks - FranceAgriMer</v>
      </c>
      <c r="L25" t="str">
        <f>'Données           '!L6</f>
        <v>Collectes, stocks - FAM</v>
      </c>
      <c r="M25" t="str">
        <f>'Données           '!M6</f>
        <v>Volume</v>
      </c>
      <c r="N25" t="str">
        <f>'Données           '!N6</f>
        <v>Production de semences certifiées = 1 kt (Collectes, stocks - FranceAgriMer)</v>
      </c>
      <c r="O25" t="str">
        <f>'Données           '!O6</f>
        <v>Probable</v>
      </c>
      <c r="P25" t="str">
        <f>'Données           '!P6</f>
        <v>Données collectées</v>
      </c>
      <c r="Q25" t="str">
        <f>'Données           '!Q6</f>
        <v>Donnée collectée (valeur du flux ou coefficient)</v>
      </c>
      <c r="S25" s="1027"/>
    </row>
    <row r="26" spans="1:19">
      <c r="A26" t="str">
        <f>'Données           '!A24</f>
        <v>Graines collectées</v>
      </c>
      <c r="B26" t="str">
        <f>Secteurs!$B$42</f>
        <v>Semences</v>
      </c>
      <c r="D26"/>
      <c r="E26" t="str">
        <f>'Données           '!E24</f>
        <v>kt</v>
      </c>
      <c r="F26" t="str">
        <f>'Données           '!F24</f>
        <v>Lupin</v>
      </c>
      <c r="G26" s="913" t="str">
        <f>Etiquettes!$C$5</f>
        <v>2015-16:2019-20:2023-24</v>
      </c>
      <c r="H26" t="str">
        <f>'Données           '!H24</f>
        <v>France entière</v>
      </c>
      <c r="I26" t="str">
        <f>'Données           '!I24</f>
        <v>Production de semences certifiées</v>
      </c>
      <c r="J26"/>
      <c r="K26" t="str">
        <f>'Données           '!K24</f>
        <v>Collectes, stocks - FranceAgriMer</v>
      </c>
      <c r="L26" t="str">
        <f>'Données           '!L24</f>
        <v>Collectes, stocks protéa - FAM</v>
      </c>
      <c r="M26" t="str">
        <f>'Données           '!M24</f>
        <v>Volume</v>
      </c>
      <c r="N26" t="str">
        <f>'Données           '!N24</f>
        <v>Production de semences certifiées = 1 kt (Collectes, stocks - FranceAgriMer)</v>
      </c>
      <c r="O26" t="str">
        <f>'Données           '!O24</f>
        <v>Probable</v>
      </c>
      <c r="P26" t="str">
        <f>'Données           '!P24</f>
        <v>Données collectées</v>
      </c>
      <c r="Q26" t="str">
        <f>'Données           '!Q24</f>
        <v>Donnée collectée (valeur du flux ou coefficient)</v>
      </c>
      <c r="S26" s="1027"/>
    </row>
    <row r="27" spans="1:19">
      <c r="A27" t="str">
        <f>'Données           '!A44</f>
        <v>Graines collectées</v>
      </c>
      <c r="B27" t="str">
        <f>Secteurs!$B$42</f>
        <v>Semences</v>
      </c>
      <c r="D27"/>
      <c r="E27" t="str">
        <f>'Données           '!E44</f>
        <v>kt</v>
      </c>
      <c r="F27" t="str">
        <f>'Données           '!F44</f>
        <v>Lentille</v>
      </c>
      <c r="G27" t="str">
        <f>'Données           '!G44</f>
        <v>2023-24</v>
      </c>
      <c r="H27" t="str">
        <f>'Données           '!H44</f>
        <v>France entière</v>
      </c>
      <c r="I27" t="str">
        <f>'Données           '!I44</f>
        <v>Production de semences certifiées</v>
      </c>
      <c r="J27"/>
      <c r="K27" t="str">
        <f>'Données           '!K44</f>
        <v>Collectes, stocks - FranceAgriMer</v>
      </c>
      <c r="L27" t="str">
        <f>'Données           '!L44</f>
        <v>Collectes, stocks protéa - FAM</v>
      </c>
      <c r="M27" t="str">
        <f>'Données           '!M44</f>
        <v>Volume</v>
      </c>
      <c r="N27" t="str">
        <f>'Données           '!N44</f>
        <v>Production de semences certifiées = 2 kt (Collectes, stocks - FranceAgriMer)</v>
      </c>
      <c r="O27" t="str">
        <f>'Données           '!O44</f>
        <v>Probable</v>
      </c>
      <c r="P27" t="str">
        <f>'Données           '!P44</f>
        <v>Données collectées</v>
      </c>
      <c r="Q27" t="str">
        <f>'Données           '!Q44</f>
        <v>Donnée collectée (valeur du flux ou coefficient)</v>
      </c>
      <c r="S27" s="1027"/>
    </row>
    <row r="28" spans="1:19">
      <c r="A28" t="str">
        <f>'Données           '!A51</f>
        <v>Graines collectées</v>
      </c>
      <c r="B28" t="str">
        <f>Secteurs!$B$42</f>
        <v>Semences</v>
      </c>
      <c r="D28"/>
      <c r="E28" t="str">
        <f>'Données           '!E51</f>
        <v>kt</v>
      </c>
      <c r="F28" t="str">
        <f>'Données           '!F51</f>
        <v>Pois chiche</v>
      </c>
      <c r="G28" t="str">
        <f>'Données           '!G51</f>
        <v>2023-24</v>
      </c>
      <c r="H28" t="str">
        <f>'Données           '!H51</f>
        <v>France entière</v>
      </c>
      <c r="I28" t="str">
        <f>'Données           '!I51</f>
        <v>Production de semences certifiées</v>
      </c>
      <c r="J28"/>
      <c r="K28" t="str">
        <f>'Données           '!K51</f>
        <v>Collectes, stocks - FranceAgriMer</v>
      </c>
      <c r="L28" t="str">
        <f>'Données           '!L51</f>
        <v>Collectes, stocks protéa - FAM</v>
      </c>
      <c r="M28" t="str">
        <f>'Données           '!M51</f>
        <v>Volume</v>
      </c>
      <c r="N28" t="str">
        <f>'Données           '!N51</f>
        <v>Production de semences certifiées = 5 kt (Collectes, stocks - FranceAgriMer)</v>
      </c>
      <c r="O28" t="str">
        <f>'Données           '!O51</f>
        <v>Probable</v>
      </c>
      <c r="P28" t="str">
        <f>'Données           '!P51</f>
        <v>Données collectées</v>
      </c>
      <c r="Q28" t="str">
        <f>'Données           '!Q51</f>
        <v>Donnée collectée (valeur du flux ou coefficient)</v>
      </c>
      <c r="S28" s="1027"/>
    </row>
  </sheetData>
  <mergeCells count="1">
    <mergeCell ref="S2:S2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215A6-0D5D-4D77-B19D-7F789AB59CE1}">
  <sheetPr>
    <tabColor theme="9" tint="-0.499984740745262"/>
  </sheetPr>
  <dimension ref="A1:S29"/>
  <sheetViews>
    <sheetView workbookViewId="0">
      <pane xSplit="2" ySplit="1" topLeftCell="C2" activePane="bottomRight" state="frozen"/>
      <selection activeCell="B15" sqref="B15"/>
      <selection pane="topRight" activeCell="B15" sqref="B15"/>
      <selection pane="bottomLeft" activeCell="B15" sqref="B15"/>
      <selection pane="bottomRight" activeCell="P1" sqref="P1:Q1048576"/>
    </sheetView>
  </sheetViews>
  <sheetFormatPr baseColWidth="10" defaultColWidth="9.109375" defaultRowHeight="14.4"/>
  <cols>
    <col min="1" max="1" width="23.44140625" bestFit="1" customWidth="1"/>
    <col min="2" max="2" width="32.664062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30.21875" style="21" customWidth="1"/>
    <col min="10" max="10" width="12.21875" style="21" bestFit="1" customWidth="1"/>
    <col min="11" max="11" width="33.21875" style="21" bestFit="1" customWidth="1"/>
    <col min="12" max="12" width="14.44140625" style="101" customWidth="1"/>
    <col min="13" max="13" width="14.44140625" style="21" customWidth="1"/>
    <col min="14"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ht="14.4" customHeight="1">
      <c r="A2" t="str">
        <f>Produits!$B$4</f>
        <v>Graines autoconsommées</v>
      </c>
      <c r="B2" t="str">
        <f>Secteurs!$B$26</f>
        <v>FAF</v>
      </c>
      <c r="R2" s="1027" t="str">
        <f>Secteurs!$B$25</f>
        <v>Hors FAB</v>
      </c>
      <c r="S2" s="1028" t="s">
        <v>865</v>
      </c>
    </row>
    <row r="3" spans="1:19">
      <c r="A3" t="str">
        <f>Produits!$B$4</f>
        <v>Graines autoconsommées</v>
      </c>
      <c r="B3" t="str">
        <f>Secteurs!$B$27</f>
        <v>Direct élevage</v>
      </c>
      <c r="R3" s="1027"/>
      <c r="S3" s="1027"/>
    </row>
    <row r="4" spans="1:19">
      <c r="A4" t="str">
        <f>Produits!$B$17</f>
        <v>Grignons d'olive</v>
      </c>
      <c r="B4" t="str">
        <f>Secteurs!$B$24</f>
        <v>FAB</v>
      </c>
      <c r="R4" s="1027" t="s">
        <v>37</v>
      </c>
      <c r="S4" s="1027"/>
    </row>
    <row r="5" spans="1:19">
      <c r="A5" t="str">
        <f>Produits!$B$17</f>
        <v>Grignons d'olive</v>
      </c>
      <c r="B5" t="str">
        <f>Secteurs!$B$26</f>
        <v>FAF</v>
      </c>
      <c r="R5" s="1027"/>
      <c r="S5" s="1027"/>
    </row>
    <row r="6" spans="1:19">
      <c r="A6" t="str">
        <f>Produits!$B$17</f>
        <v>Grignons d'olive</v>
      </c>
      <c r="B6" t="str">
        <f>Secteurs!$B$27</f>
        <v>Direct élevage</v>
      </c>
      <c r="R6" s="1027"/>
      <c r="S6" s="1027"/>
    </row>
    <row r="7" spans="1:19">
      <c r="A7" t="str">
        <f>Produits!$B$17</f>
        <v>Grignons d'olive</v>
      </c>
      <c r="B7" t="str">
        <f>Secteurs!$B$28</f>
        <v>Petfood</v>
      </c>
      <c r="R7" s="1027"/>
      <c r="S7" s="1027"/>
    </row>
    <row r="8" spans="1:19">
      <c r="A8" t="s">
        <v>1126</v>
      </c>
      <c r="B8" t="str">
        <f>Secteurs!$B$15</f>
        <v>Vente directe et autoconsommation</v>
      </c>
      <c r="R8" s="1027" t="s">
        <v>8</v>
      </c>
      <c r="S8" s="1027"/>
    </row>
    <row r="9" spans="1:19">
      <c r="A9" t="s">
        <v>1126</v>
      </c>
      <c r="B9" t="str">
        <f>Secteurs!$B$17</f>
        <v>Circuits spécialisés</v>
      </c>
      <c r="R9" s="1027"/>
      <c r="S9" s="1027"/>
    </row>
    <row r="10" spans="1:19">
      <c r="A10" t="s">
        <v>1126</v>
      </c>
      <c r="B10" t="str">
        <f>Secteurs!$B$20</f>
        <v>RHD</v>
      </c>
      <c r="R10" s="1027"/>
      <c r="S10" s="1027"/>
    </row>
    <row r="11" spans="1:19">
      <c r="A11" t="s">
        <v>1126</v>
      </c>
      <c r="B11" t="str">
        <f>Secteurs!$B$21</f>
        <v>Autres IAA</v>
      </c>
      <c r="R11" s="1027"/>
      <c r="S11" s="1027"/>
    </row>
    <row r="12" spans="1:19">
      <c r="A12" t="s">
        <v>1110</v>
      </c>
      <c r="B12" t="str">
        <f>Secteurs!$B$15</f>
        <v>Vente directe et autoconsommation</v>
      </c>
      <c r="R12" s="1027" t="s">
        <v>8</v>
      </c>
      <c r="S12" s="1027"/>
    </row>
    <row r="13" spans="1:19">
      <c r="A13" t="s">
        <v>1110</v>
      </c>
      <c r="B13" t="str">
        <f>Secteurs!$B$17</f>
        <v>Circuits spécialisés</v>
      </c>
      <c r="R13" s="1027"/>
      <c r="S13" s="1027"/>
    </row>
    <row r="14" spans="1:19">
      <c r="A14" t="s">
        <v>1110</v>
      </c>
      <c r="B14" t="str">
        <f>Secteurs!$B$20</f>
        <v>RHD</v>
      </c>
      <c r="R14" s="1027"/>
      <c r="S14" s="1027"/>
    </row>
    <row r="15" spans="1:19">
      <c r="A15" t="s">
        <v>1110</v>
      </c>
      <c r="B15" t="str">
        <f>Secteurs!$B$21</f>
        <v>Autres IAA</v>
      </c>
      <c r="R15" s="1027"/>
      <c r="S15" s="1027"/>
    </row>
    <row r="16" spans="1:19">
      <c r="A16" t="str">
        <f>Produits!$B$14</f>
        <v>Tourteaux</v>
      </c>
      <c r="B16" t="str">
        <f>Secteurs!$B$25</f>
        <v>Hors FAB</v>
      </c>
      <c r="R16" t="s">
        <v>42</v>
      </c>
      <c r="S16" s="1027"/>
    </row>
    <row r="17" spans="1:19" ht="14.4" customHeight="1">
      <c r="A17" t="str">
        <f>Produits!$B$11</f>
        <v>Graines collectées</v>
      </c>
      <c r="B17" t="str">
        <f>Secteurs!$B$15</f>
        <v>Vente directe et autoconsommation</v>
      </c>
      <c r="F17" s="21" t="s">
        <v>1095</v>
      </c>
      <c r="R17" s="1027" t="s">
        <v>8</v>
      </c>
      <c r="S17" s="1027"/>
    </row>
    <row r="18" spans="1:19">
      <c r="A18" t="str">
        <f>Produits!$B$11</f>
        <v>Graines collectées</v>
      </c>
      <c r="B18" t="str">
        <f>Secteurs!$B$17</f>
        <v>Circuits spécialisés</v>
      </c>
      <c r="F18" s="21" t="s">
        <v>1095</v>
      </c>
      <c r="R18" s="1027"/>
      <c r="S18" s="1027"/>
    </row>
    <row r="19" spans="1:19">
      <c r="A19" t="str">
        <f>Produits!$B$11</f>
        <v>Graines collectées</v>
      </c>
      <c r="B19" t="str">
        <f>Secteurs!$B$19</f>
        <v>GMS</v>
      </c>
      <c r="F19" s="21" t="s">
        <v>1095</v>
      </c>
      <c r="R19" s="1027"/>
      <c r="S19" s="1027"/>
    </row>
    <row r="20" spans="1:19">
      <c r="A20" t="str">
        <f>Produits!$B$11</f>
        <v>Graines collectées</v>
      </c>
      <c r="B20" t="str">
        <f>Secteurs!$B$20</f>
        <v>RHD</v>
      </c>
      <c r="F20" s="21" t="s">
        <v>1095</v>
      </c>
      <c r="R20" s="1027"/>
      <c r="S20" s="1027"/>
    </row>
    <row r="21" spans="1:19">
      <c r="A21" t="str">
        <f>Produits!$B$11</f>
        <v>Graines collectées</v>
      </c>
      <c r="B21" t="str">
        <f>Secteurs!$B$21</f>
        <v>Autres IAA</v>
      </c>
      <c r="F21" s="21" t="s">
        <v>1095</v>
      </c>
      <c r="R21" s="1027"/>
      <c r="S21" s="1027"/>
    </row>
    <row r="22" spans="1:19">
      <c r="A22" t="str">
        <f>Produits!$B$26</f>
        <v>Sons</v>
      </c>
      <c r="B22" t="str">
        <f>Secteurs!$B$24</f>
        <v>FAB</v>
      </c>
      <c r="R22" s="1027" t="s">
        <v>37</v>
      </c>
      <c r="S22" s="1027"/>
    </row>
    <row r="23" spans="1:19">
      <c r="A23" t="str">
        <f>Produits!$B$26</f>
        <v>Sons</v>
      </c>
      <c r="B23" t="str">
        <f>Secteurs!$B$26</f>
        <v>FAF</v>
      </c>
      <c r="R23" s="1027"/>
      <c r="S23" s="1027"/>
    </row>
    <row r="24" spans="1:19">
      <c r="A24" t="str">
        <f>Produits!$B$26</f>
        <v>Sons</v>
      </c>
      <c r="B24" t="str">
        <f>Secteurs!$B$27</f>
        <v>Direct élevage</v>
      </c>
      <c r="R24" s="1027"/>
      <c r="S24" s="1027"/>
    </row>
    <row r="25" spans="1:19">
      <c r="A25" t="str">
        <f>Produits!$B$26</f>
        <v>Sons</v>
      </c>
      <c r="B25" t="str">
        <f>Secteurs!$B$28</f>
        <v>Petfood</v>
      </c>
      <c r="R25" s="1027"/>
      <c r="S25" s="1027"/>
    </row>
    <row r="26" spans="1:19">
      <c r="A26" t="str">
        <f>Produits!$B$20</f>
        <v>Légumes secs bruts</v>
      </c>
      <c r="B26" t="str">
        <f>Secteurs!$B$19</f>
        <v>GMS</v>
      </c>
      <c r="R26" s="1027" t="str">
        <f>Produits!$B$19</f>
        <v>Produits alimentaires</v>
      </c>
    </row>
    <row r="27" spans="1:19">
      <c r="A27" t="str">
        <f>Produits!$B$21</f>
        <v>Légumes secs appertisés et surgelés</v>
      </c>
      <c r="B27" t="str">
        <f>Secteurs!$B$19</f>
        <v>GMS</v>
      </c>
      <c r="R27" s="1027"/>
    </row>
    <row r="28" spans="1:19">
      <c r="A28" t="str">
        <f>Produits!$B$20</f>
        <v>Légumes secs bruts</v>
      </c>
      <c r="B28" t="str">
        <f>Secteurs!$B$17</f>
        <v>Circuits spécialisés</v>
      </c>
      <c r="R28" s="1027" t="str">
        <f>Produits!$B$19</f>
        <v>Produits alimentaires</v>
      </c>
    </row>
    <row r="29" spans="1:19">
      <c r="A29" t="str">
        <f>Produits!$B$21</f>
        <v>Légumes secs appertisés et surgelés</v>
      </c>
      <c r="B29" t="str">
        <f>Secteurs!$B$17</f>
        <v>Circuits spécialisés</v>
      </c>
      <c r="R29" s="1027"/>
    </row>
  </sheetData>
  <mergeCells count="9">
    <mergeCell ref="R26:R27"/>
    <mergeCell ref="R28:R29"/>
    <mergeCell ref="R22:R25"/>
    <mergeCell ref="S2:S25"/>
    <mergeCell ref="R8:R11"/>
    <mergeCell ref="R12:R15"/>
    <mergeCell ref="R17:R21"/>
    <mergeCell ref="R2:R3"/>
    <mergeCell ref="R4:R7"/>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DB0D-008A-4F26-8E9C-B9C3DAC239AC}">
  <sheetPr>
    <tabColor rgb="FF002060"/>
  </sheetPr>
  <dimension ref="A1:S32"/>
  <sheetViews>
    <sheetView workbookViewId="0">
      <pane xSplit="2" ySplit="1" topLeftCell="C2" activePane="bottomRight" state="frozen"/>
      <selection activeCell="D35" sqref="D35"/>
      <selection pane="topRight" activeCell="D35" sqref="D35"/>
      <selection pane="bottomLeft" activeCell="D35" sqref="D35"/>
      <selection pane="bottomRight" activeCell="D35" sqref="D35"/>
    </sheetView>
  </sheetViews>
  <sheetFormatPr baseColWidth="10" defaultColWidth="9.109375" defaultRowHeight="14.4"/>
  <cols>
    <col min="1" max="2" width="38.33203125" bestFit="1" customWidth="1"/>
    <col min="3" max="3" width="14.33203125" customWidth="1"/>
    <col min="4" max="4" width="13.109375" customWidth="1"/>
    <col min="5" max="5" width="6.6640625" bestFit="1" customWidth="1"/>
    <col min="6" max="6" width="35.109375" customWidth="1"/>
    <col min="7" max="7" width="16.77734375" customWidth="1"/>
    <col min="8" max="8" width="9.5546875" customWidth="1"/>
    <col min="9" max="13" width="14.44140625" style="21" customWidth="1"/>
    <col min="14" max="14" width="16.5546875" customWidth="1"/>
    <col min="15" max="17" width="21" customWidth="1"/>
  </cols>
  <sheetData>
    <row r="1" spans="1:19" ht="63.6"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Etiquettes!$A$8</f>
        <v>Rendement, répartition ou volume d'échange collecté</v>
      </c>
      <c r="O1" s="18" t="str">
        <f>Etiquettes!$A$15</f>
        <v>Fiabilité des données</v>
      </c>
      <c r="P1" s="18" t="str">
        <f>Etiquettes!$A$16</f>
        <v>Méthode</v>
      </c>
      <c r="Q1" s="18" t="str">
        <f>Etiquettes!$A$17</f>
        <v>Analyse des résultats</v>
      </c>
      <c r="R1" s="17" t="s">
        <v>3</v>
      </c>
      <c r="S1" s="19" t="s">
        <v>5</v>
      </c>
    </row>
    <row r="2" spans="1:19">
      <c r="A2" t="str">
        <f>Produits!$B$5</f>
        <v>Stock initial</v>
      </c>
      <c r="B2" t="str">
        <f>'Contraintes     '!C5</f>
        <v>OS</v>
      </c>
      <c r="E2" t="str">
        <f>'Contraintes     '!G5</f>
        <v>kt</v>
      </c>
      <c r="F2" t="str">
        <f>'Contraintes     '!H5</f>
        <v>Lentille:Pois chiche:Haricot sec</v>
      </c>
      <c r="G2" t="str">
        <f>'Contraintes     '!I5</f>
        <v>2015-16:2019-20</v>
      </c>
      <c r="H2" t="str">
        <f>'Contraintes     '!J5</f>
        <v>France entière</v>
      </c>
      <c r="I2" t="str">
        <f>'Contraintes     '!K5</f>
        <v>Part du stock initial</v>
      </c>
      <c r="J2" t="str">
        <f>'Contraintes     '!L5</f>
        <v>10 % de la récolte est déstockée</v>
      </c>
      <c r="K2"/>
      <c r="L2"/>
      <c r="M2" t="str">
        <f>'Contraintes     '!O5</f>
        <v>Répartition</v>
      </c>
      <c r="O2" t="str">
        <f>'Contraintes     '!Q5</f>
        <v>Indicative</v>
      </c>
      <c r="P2" t="str">
        <f>'Contraintes     '!R5</f>
        <v>Données collectées:Données déterminées</v>
      </c>
      <c r="Q2" t="str">
        <f>'Contraintes     '!S5</f>
        <v>Donnée collectée (valeur du flux ou coefficient)</v>
      </c>
      <c r="S2" s="1028" t="s">
        <v>1298</v>
      </c>
    </row>
    <row r="3" spans="1:19">
      <c r="A3" t="str">
        <f>'Contraintes     '!B7</f>
        <v>OS</v>
      </c>
      <c r="B3" t="str">
        <f>Produits!$B$8</f>
        <v>Stock final</v>
      </c>
      <c r="E3" t="str">
        <f>'Contraintes     '!G7</f>
        <v>kt</v>
      </c>
      <c r="F3" t="str">
        <f>'Contraintes     '!H7</f>
        <v>Lentille:Pois chiche:Haricot sec</v>
      </c>
      <c r="G3" t="str">
        <f>'Contraintes     '!I7</f>
        <v>2015-16:2019-20</v>
      </c>
      <c r="H3" t="str">
        <f>'Contraintes     '!J7</f>
        <v>France entière</v>
      </c>
      <c r="I3" t="str">
        <f>'Contraintes     '!K7</f>
        <v>Part du stock final</v>
      </c>
      <c r="J3" t="str">
        <f>'Contraintes     '!L7</f>
        <v>10 % de la récolte est stockée</v>
      </c>
      <c r="K3"/>
      <c r="L3"/>
      <c r="M3" t="str">
        <f>'Contraintes     '!O7</f>
        <v>Répartition</v>
      </c>
      <c r="O3" t="str">
        <f>'Contraintes     '!Q7</f>
        <v>Indicative</v>
      </c>
      <c r="P3" t="str">
        <f>'Contraintes     '!R7</f>
        <v>Données collectées:Données déterminées</v>
      </c>
      <c r="Q3" t="str">
        <f>'Contraintes     '!S7</f>
        <v>Donnée collectée (valeur du flux ou coefficient)</v>
      </c>
      <c r="S3" s="1027"/>
    </row>
    <row r="4" spans="1:19">
      <c r="A4" t="str">
        <f>Produits!$B$5</f>
        <v>Stock initial</v>
      </c>
      <c r="B4" t="str">
        <f>'Contraintes     '!C13</f>
        <v>OS</v>
      </c>
      <c r="E4" t="str">
        <f>'Contraintes     '!G13</f>
        <v>kt</v>
      </c>
      <c r="F4" t="str">
        <f>'Contraintes     '!H13</f>
        <v>Haricot sec</v>
      </c>
      <c r="G4" t="str">
        <f>'Contraintes     '!I13</f>
        <v>2023-24</v>
      </c>
      <c r="H4" t="str">
        <f>'Contraintes     '!J13</f>
        <v>France entière</v>
      </c>
      <c r="I4" t="str">
        <f>'Contraintes     '!K13</f>
        <v>Part du stock initial</v>
      </c>
      <c r="J4" t="str">
        <f>'Contraintes     '!L13</f>
        <v>10 % de la récolte est déstockée</v>
      </c>
      <c r="K4"/>
      <c r="L4"/>
      <c r="M4" t="str">
        <f>'Contraintes     '!O13</f>
        <v>Répartition</v>
      </c>
      <c r="O4" t="str">
        <f>'Contraintes     '!Q13</f>
        <v>Indicative</v>
      </c>
      <c r="P4" t="str">
        <f>'Contraintes     '!R13</f>
        <v>Données collectées:Données déterminées</v>
      </c>
      <c r="Q4" t="str">
        <f>'Contraintes     '!S13</f>
        <v>Donnée collectée (valeur du flux ou coefficient)</v>
      </c>
      <c r="S4" s="1027"/>
    </row>
    <row r="5" spans="1:19">
      <c r="A5" t="str">
        <f>'Contraintes     '!B15</f>
        <v>OS</v>
      </c>
      <c r="B5" t="str">
        <f>Produits!$B$8</f>
        <v>Stock final</v>
      </c>
      <c r="E5" t="str">
        <f>'Contraintes     '!G15</f>
        <v>kt</v>
      </c>
      <c r="F5" t="str">
        <f>'Contraintes     '!H15</f>
        <v>Haricot sec</v>
      </c>
      <c r="G5" t="str">
        <f>'Contraintes     '!I15</f>
        <v>2023-24</v>
      </c>
      <c r="H5" t="str">
        <f>'Contraintes     '!J15</f>
        <v>France entière</v>
      </c>
      <c r="I5" t="str">
        <f>'Contraintes     '!K15</f>
        <v>Part du stock final</v>
      </c>
      <c r="J5" t="str">
        <f>'Contraintes     '!L15</f>
        <v>10 % de la récolte est stockée</v>
      </c>
      <c r="K5"/>
      <c r="L5"/>
      <c r="M5" t="str">
        <f>'Contraintes     '!O15</f>
        <v>Répartition</v>
      </c>
      <c r="O5" t="str">
        <f>'Contraintes     '!Q15</f>
        <v>Indicative</v>
      </c>
      <c r="P5" t="str">
        <f>'Contraintes     '!R15</f>
        <v>Données collectées:Données déterminées</v>
      </c>
      <c r="Q5" t="str">
        <f>'Contraintes     '!S15</f>
        <v>Donnée collectée (valeur du flux ou coefficient)</v>
      </c>
      <c r="S5" s="1027"/>
    </row>
    <row r="6" spans="1:19">
      <c r="A6" t="str">
        <f>'Contraintes     '!B9</f>
        <v>Graines collectées</v>
      </c>
      <c r="B6" t="str">
        <f>Secteurs!$B$42</f>
        <v>Semences</v>
      </c>
      <c r="E6" t="str">
        <f>'Contraintes     '!G9</f>
        <v>kt</v>
      </c>
      <c r="F6" t="str">
        <f>'Contraintes     '!H9</f>
        <v>Lentille:Pois chiche:Haricot sec</v>
      </c>
      <c r="G6" t="str">
        <f>'Contraintes     '!I9</f>
        <v>2015-16:2019-20</v>
      </c>
      <c r="H6" t="str">
        <f>'Contraintes     '!J9</f>
        <v>France entière</v>
      </c>
      <c r="I6" t="str">
        <f>'Contraintes     '!K9</f>
        <v>Part de la production de semences certifiées</v>
      </c>
      <c r="J6" t="str">
        <f>'Contraintes     '!L9</f>
        <v>10 % de la récolte sont des semences certifiées</v>
      </c>
      <c r="K6"/>
      <c r="L6"/>
      <c r="M6" t="str">
        <f>'Contraintes     '!O9</f>
        <v>Répartition</v>
      </c>
      <c r="O6" t="str">
        <f>'Contraintes     '!Q9</f>
        <v>Indicative</v>
      </c>
      <c r="P6" t="str">
        <f>'Contraintes     '!R9</f>
        <v>Données collectées:Données déterminées</v>
      </c>
      <c r="Q6" t="str">
        <f>'Contraintes     '!S9</f>
        <v>Donnée collectée (valeur du flux ou coefficient)</v>
      </c>
      <c r="S6" s="1027"/>
    </row>
    <row r="7" spans="1:19">
      <c r="A7" t="str">
        <f>'Contraintes     '!B17</f>
        <v>Graines collectées</v>
      </c>
      <c r="B7" t="str">
        <f>Secteurs!$B$42</f>
        <v>Semences</v>
      </c>
      <c r="E7" t="str">
        <f>'Contraintes     '!G17</f>
        <v>kt</v>
      </c>
      <c r="F7" t="str">
        <f>'Contraintes     '!H17</f>
        <v>Haricot sec</v>
      </c>
      <c r="G7" t="str">
        <f>'Contraintes     '!I17</f>
        <v>2023-24</v>
      </c>
      <c r="H7" t="str">
        <f>'Contraintes     '!J17</f>
        <v>France entière</v>
      </c>
      <c r="I7" t="str">
        <f>'Contraintes     '!K17</f>
        <v>Part de la production de semences certifiées</v>
      </c>
      <c r="J7" t="str">
        <f>'Contraintes     '!L17</f>
        <v>10 % de la récolte sont des semences certifiées</v>
      </c>
      <c r="K7"/>
      <c r="L7"/>
      <c r="M7" t="str">
        <f>'Contraintes     '!O17</f>
        <v>Répartition</v>
      </c>
      <c r="O7" t="str">
        <f>'Contraintes     '!Q17</f>
        <v>Indicative</v>
      </c>
      <c r="P7" t="str">
        <f>'Contraintes     '!R17</f>
        <v>Données collectées:Données déterminées</v>
      </c>
      <c r="Q7" t="str">
        <f>'Contraintes     '!S17</f>
        <v>Donnée collectée (valeur du flux ou coefficient)</v>
      </c>
      <c r="S7" s="1027"/>
    </row>
    <row r="8" spans="1:19">
      <c r="A8" t="str">
        <f>'Contraintes  '!B3</f>
        <v>Graines autoconsommées</v>
      </c>
      <c r="B8" t="str">
        <f>Secteurs!$B$42</f>
        <v>Semences</v>
      </c>
      <c r="E8" t="str">
        <f>'Contraintes  '!G3</f>
        <v>kt</v>
      </c>
      <c r="F8" t="s">
        <v>1670</v>
      </c>
      <c r="G8" s="913" t="str">
        <f>Etiquettes!$C$5</f>
        <v>2015-16:2019-20:2023-24</v>
      </c>
      <c r="H8" t="str">
        <f>'Contraintes  '!J3</f>
        <v>France entière</v>
      </c>
      <c r="I8" t="str">
        <f>'Contraintes  '!K3</f>
        <v>Part de semences fermières (par rapport aux semences certifiées)</v>
      </c>
      <c r="J8"/>
      <c r="K8" t="str">
        <f>'Contraintes  '!M3</f>
        <v>Enquête Pratiques culturales en grandes cultures - SSP</v>
      </c>
      <c r="L8" t="str">
        <f>'Contraintes  '!N3</f>
        <v>Semences fermières - AGRESTE</v>
      </c>
      <c r="M8" t="str">
        <f>'Contraintes  '!O3</f>
        <v>Répartition</v>
      </c>
      <c r="O8" t="str">
        <f>'Contraintes  '!Q3</f>
        <v>Approximative</v>
      </c>
      <c r="P8" t="str">
        <f>'Contraintes  '!R3</f>
        <v>Données collectées:Données déterminées</v>
      </c>
      <c r="Q8" t="str">
        <f>'Contraintes  '!S3</f>
        <v>Donnée collectée (valeur du flux ou coefficient)</v>
      </c>
      <c r="S8" s="1027"/>
    </row>
    <row r="9" spans="1:19">
      <c r="A9" t="str">
        <f>'Contraintes  '!B39</f>
        <v>Graines autoconsommées</v>
      </c>
      <c r="B9" t="str">
        <f>Secteurs!$B$42</f>
        <v>Semences</v>
      </c>
      <c r="E9" t="str">
        <f>'Contraintes  '!G39</f>
        <v>kt</v>
      </c>
      <c r="F9" t="str">
        <f>'Contraintes  '!H39</f>
        <v>Lupin:Lentille:Pois chiche:Haricot sec</v>
      </c>
      <c r="G9" t="str">
        <f>'Contraintes  '!I39</f>
        <v>2015-16:2019-20:2023-24</v>
      </c>
      <c r="H9" t="str">
        <f>'Contraintes  '!J39</f>
        <v>France entière</v>
      </c>
      <c r="I9" t="str">
        <f>'Contraintes  '!K39</f>
        <v>Part de semences fermières (par rapport aux semences certifiées)</v>
      </c>
      <c r="J9" t="str">
        <f>'Contraintes  '!L39</f>
        <v>Autant de semences fermières que de semences certifiées sont produites</v>
      </c>
      <c r="K9"/>
      <c r="L9"/>
      <c r="M9" t="str">
        <f>'Contraintes  '!O39</f>
        <v>Répartition</v>
      </c>
      <c r="O9" t="str">
        <f>'Contraintes  '!Q39</f>
        <v>Indicative</v>
      </c>
      <c r="P9" t="str">
        <f>'Contraintes  '!R39</f>
        <v>Données collectées:Données déterminées</v>
      </c>
      <c r="Q9" t="str">
        <f>'Contraintes  '!S39</f>
        <v>Donnée collectée (valeur du flux ou coefficient)</v>
      </c>
      <c r="S9" s="1027"/>
    </row>
    <row r="10" spans="1:19">
      <c r="A10" t="str">
        <f>'Contraintes    '!B9</f>
        <v>Tourteaux</v>
      </c>
      <c r="B10" t="str">
        <f>Secteurs!$B$25</f>
        <v>Hors FAB</v>
      </c>
      <c r="E10" t="str">
        <f>'Contraintes    '!G9</f>
        <v>kt</v>
      </c>
      <c r="F10" t="str">
        <f>'Contraintes    '!H9</f>
        <v>Tournesol:Soja</v>
      </c>
      <c r="G10">
        <f>'Contraintes    '!I9</f>
        <v>0</v>
      </c>
      <c r="H10" t="str">
        <f>'Contraintes    '!J9</f>
        <v>France entière</v>
      </c>
      <c r="I10" t="str">
        <f>'Contraintes    '!K9</f>
        <v>Part de tourteaux consommés par les FAB</v>
      </c>
      <c r="J10"/>
      <c r="K10" t="str">
        <f>'Contraintes    '!M9</f>
        <v>ONRB - FranceAgriMer</v>
      </c>
      <c r="L10" t="str">
        <f>'Contraintes    '!N9</f>
        <v>Usages tourteaux - ONRB</v>
      </c>
      <c r="M10" t="str">
        <f>'Contraintes    '!O9</f>
        <v>Répartition</v>
      </c>
      <c r="O10" t="str">
        <f>'Contraintes    '!Q9</f>
        <v>Approximative</v>
      </c>
      <c r="P10">
        <f>'Contraintes    '!R9</f>
        <v>0</v>
      </c>
      <c r="Q10">
        <f>'Contraintes    '!S9</f>
        <v>0</v>
      </c>
      <c r="S10" s="1027"/>
    </row>
    <row r="11" spans="1:19">
      <c r="A11" t="str">
        <f>'Contraintes    '!B11</f>
        <v>Tourteaux</v>
      </c>
      <c r="B11" t="str">
        <f>Secteurs!$B$25</f>
        <v>Hors FAB</v>
      </c>
      <c r="E11" t="str">
        <f>'Contraintes    '!G11</f>
        <v>kt</v>
      </c>
      <c r="F11" t="str">
        <f>'Contraintes    '!H11</f>
        <v>Colza</v>
      </c>
      <c r="G11">
        <f>'Contraintes    '!I11</f>
        <v>0</v>
      </c>
      <c r="H11" t="str">
        <f>'Contraintes    '!J11</f>
        <v>France entière</v>
      </c>
      <c r="I11" t="str">
        <f>'Contraintes    '!K11</f>
        <v>Part de tourteaux consommés par les FAB</v>
      </c>
      <c r="J11"/>
      <c r="K11" t="str">
        <f>'Contraintes    '!M11</f>
        <v>ONRB - FranceAgriMer</v>
      </c>
      <c r="L11" t="str">
        <f>'Contraintes    '!N11</f>
        <v>Usages tourteaux - ONRB</v>
      </c>
      <c r="M11" t="str">
        <f>'Contraintes    '!O11</f>
        <v>Répartition</v>
      </c>
      <c r="O11" t="str">
        <f>'Contraintes    '!Q11</f>
        <v>Approximative</v>
      </c>
      <c r="P11">
        <f>'Contraintes    '!R11</f>
        <v>0</v>
      </c>
      <c r="Q11">
        <f>'Contraintes    '!S11</f>
        <v>0</v>
      </c>
      <c r="S11" s="1027"/>
    </row>
    <row r="12" spans="1:19">
      <c r="A12" t="str">
        <f>'Contraintes    '!B13</f>
        <v>Tourteaux</v>
      </c>
      <c r="B12" t="str">
        <f>Secteurs!$B$25</f>
        <v>Hors FAB</v>
      </c>
      <c r="E12" t="str">
        <f>'Contraintes    '!G13</f>
        <v>kt</v>
      </c>
      <c r="F12" t="str">
        <f>'Contraintes    '!H13</f>
        <v>Lin</v>
      </c>
      <c r="G12">
        <f>'Contraintes    '!I13</f>
        <v>0</v>
      </c>
      <c r="H12" t="str">
        <f>'Contraintes    '!J13</f>
        <v>France entière</v>
      </c>
      <c r="I12" t="str">
        <f>'Contraintes    '!K13</f>
        <v>Part de tourteaux consommés par les FAB</v>
      </c>
      <c r="J12" t="str">
        <f>'Contraintes    '!L13</f>
        <v>Mêmes usages que les tourteaux de tournesol et de soja</v>
      </c>
      <c r="K12" t="str">
        <f>'Contraintes    '!M13</f>
        <v>ONRB - FranceAgriMer</v>
      </c>
      <c r="L12" t="str">
        <f>'Contraintes    '!N13</f>
        <v>Usages tourteaux - ONRB</v>
      </c>
      <c r="M12" t="str">
        <f>'Contraintes    '!O13</f>
        <v>Répartition</v>
      </c>
      <c r="O12" t="str">
        <f>'Contraintes    '!Q13</f>
        <v>Approximative</v>
      </c>
      <c r="P12">
        <f>'Contraintes    '!R13</f>
        <v>0</v>
      </c>
      <c r="Q12">
        <f>'Contraintes    '!S13</f>
        <v>0</v>
      </c>
      <c r="S12" s="1027"/>
    </row>
    <row r="13" spans="1:19">
      <c r="A13" t="str">
        <f>Contraintes!B9</f>
        <v>Issues de silo</v>
      </c>
      <c r="B13" t="str">
        <f>Secteurs!$B$25</f>
        <v>Hors FAB</v>
      </c>
      <c r="E13" t="str">
        <f>Contraintes!G9</f>
        <v>kt</v>
      </c>
      <c r="F13" t="str">
        <f>Contraintes!H9</f>
        <v>Colza:Tournesol:Soja:Lin:Pois:Fèverole</v>
      </c>
      <c r="G13" t="str">
        <f>Contraintes!I9</f>
        <v>2015-16:2019-20:2023-24</v>
      </c>
      <c r="H13" t="str">
        <f>Contraintes!J9</f>
        <v>France entière</v>
      </c>
      <c r="I13" t="str">
        <f>Contraintes!K9</f>
        <v>Part d'issues de silo consommées par les FAF</v>
      </c>
      <c r="J13"/>
      <c r="K13" t="str">
        <f>Contraintes!M9</f>
        <v>ONRB - FranceAgriMer</v>
      </c>
      <c r="L13" t="str">
        <f>Contraintes!N9</f>
        <v>Issues de silo - ONRB</v>
      </c>
      <c r="M13" t="str">
        <f>Contraintes!O9</f>
        <v>Répartition</v>
      </c>
      <c r="O13" t="str">
        <f>Contraintes!Q9</f>
        <v>Approximative</v>
      </c>
      <c r="P13" t="str">
        <f>Contraintes!R9</f>
        <v>Données collectées:Données déterminées</v>
      </c>
      <c r="Q13" t="str">
        <f>Contraintes!S9</f>
        <v>Donnée collectée (valeur du flux ou coefficient)</v>
      </c>
      <c r="S13" s="1027"/>
    </row>
    <row r="14" spans="1:19">
      <c r="A14" t="str">
        <f>Contraintes!B11</f>
        <v>Issues de silo</v>
      </c>
      <c r="B14" t="str">
        <f>Secteurs!$B$31</f>
        <v>Biomatériaux</v>
      </c>
      <c r="E14" t="str">
        <f>Contraintes!G11</f>
        <v>kt</v>
      </c>
      <c r="F14" t="str">
        <f>Contraintes!H11</f>
        <v>Colza:Tournesol:Soja:Lin:Pois:Fèverole</v>
      </c>
      <c r="G14" t="str">
        <f>Contraintes!I11</f>
        <v>2015-16:2019-20:2023-24</v>
      </c>
      <c r="H14" t="str">
        <f>Contraintes!J11</f>
        <v>France entière</v>
      </c>
      <c r="I14" t="str">
        <f>Contraintes!K11</f>
        <v>Part d'issues de silo consommées comme litière</v>
      </c>
      <c r="J14"/>
      <c r="K14" t="str">
        <f>Contraintes!M11</f>
        <v>ONRB - FranceAgriMer</v>
      </c>
      <c r="L14" t="str">
        <f>Contraintes!N11</f>
        <v>Issues de silo - ONRB</v>
      </c>
      <c r="M14" t="str">
        <f>Contraintes!O11</f>
        <v>Répartition</v>
      </c>
      <c r="O14" t="str">
        <f>Contraintes!Q11</f>
        <v>Approximative</v>
      </c>
      <c r="P14" t="str">
        <f>Contraintes!R11</f>
        <v>Données collectées:Données déterminées</v>
      </c>
      <c r="Q14" t="str">
        <f>Contraintes!S11</f>
        <v>Donnée collectée (valeur du flux ou coefficient)</v>
      </c>
      <c r="S14" s="1027"/>
    </row>
    <row r="15" spans="1:19">
      <c r="A15" t="str">
        <f>Contraintes!B13</f>
        <v>Issues de silo</v>
      </c>
      <c r="B15" t="str">
        <f>Secteurs!$B$38</f>
        <v>Fertilisation</v>
      </c>
      <c r="E15" t="str">
        <f>Contraintes!G13</f>
        <v>kt</v>
      </c>
      <c r="F15" t="str">
        <f>Contraintes!H13</f>
        <v>Colza:Tournesol:Soja:Lin:Pois:Fèverole</v>
      </c>
      <c r="G15" t="str">
        <f>Contraintes!I13</f>
        <v>2015-16:2019-20:2023-24</v>
      </c>
      <c r="H15" t="str">
        <f>Contraintes!J13</f>
        <v>France entière</v>
      </c>
      <c r="I15" t="str">
        <f>Contraintes!K13</f>
        <v>Part d'issues de silo compostées</v>
      </c>
      <c r="J15"/>
      <c r="K15" t="str">
        <f>Contraintes!M13</f>
        <v>ONRB - FranceAgriMer</v>
      </c>
      <c r="L15" t="str">
        <f>Contraintes!N13</f>
        <v>Issues de silo - ONRB</v>
      </c>
      <c r="M15" t="str">
        <f>Contraintes!O13</f>
        <v>Répartition</v>
      </c>
      <c r="O15" t="str">
        <f>Contraintes!Q13</f>
        <v>Approximative</v>
      </c>
      <c r="P15" t="str">
        <f>Contraintes!R13</f>
        <v>Données collectées:Données déterminées</v>
      </c>
      <c r="Q15" t="str">
        <f>Contraintes!S13</f>
        <v>Donnée collectée (valeur du flux ou coefficient)</v>
      </c>
      <c r="S15" s="1027"/>
    </row>
    <row r="16" spans="1:19">
      <c r="A16" t="str">
        <f>Contraintes!B15</f>
        <v>Issues de silo</v>
      </c>
      <c r="B16" t="str">
        <f>Secteurs!$B$31</f>
        <v>Biomatériaux</v>
      </c>
      <c r="E16" t="str">
        <f>Contraintes!G15</f>
        <v>kt</v>
      </c>
      <c r="F16" t="str">
        <f>Contraintes!H15</f>
        <v>Colza:Tournesol:Soja:Lin:Pois:Fèverole</v>
      </c>
      <c r="G16" t="str">
        <f>Contraintes!I15</f>
        <v>2015-16:2019-20:2023-24</v>
      </c>
      <c r="H16" t="str">
        <f>Contraintes!J15</f>
        <v>France entière</v>
      </c>
      <c r="I16" t="str">
        <f>Contraintes!K15</f>
        <v>Part d'issues de silo consommées comme autres biomatériaux</v>
      </c>
      <c r="J16"/>
      <c r="K16" t="str">
        <f>Contraintes!M15</f>
        <v>ONRB - FranceAgriMer</v>
      </c>
      <c r="L16" t="str">
        <f>Contraintes!N15</f>
        <v>Issues de silo - ONRB</v>
      </c>
      <c r="M16" t="str">
        <f>Contraintes!O15</f>
        <v>Répartition</v>
      </c>
      <c r="O16" t="str">
        <f>Contraintes!Q15</f>
        <v>Approximative</v>
      </c>
      <c r="P16" t="str">
        <f>Contraintes!R15</f>
        <v>Données collectées:Données déterminées</v>
      </c>
      <c r="Q16" t="str">
        <f>Contraintes!S15</f>
        <v>Donnée collectée (valeur du flux ou coefficient)</v>
      </c>
      <c r="S16" s="1027"/>
    </row>
    <row r="17" spans="1:19">
      <c r="A17" t="str">
        <f>Contraintes!B17</f>
        <v>Issues de silo</v>
      </c>
      <c r="B17" t="str">
        <f>Secteurs!$B$34</f>
        <v>Energie</v>
      </c>
      <c r="E17" t="str">
        <f>Contraintes!G17</f>
        <v>kt</v>
      </c>
      <c r="F17" t="str">
        <f>Contraintes!H17</f>
        <v>Colza:Tournesol:Soja:Lin:Pois:Fèverole</v>
      </c>
      <c r="G17" t="str">
        <f>Contraintes!I17</f>
        <v>2015-16:2019-20:2023-24</v>
      </c>
      <c r="H17" t="str">
        <f>Contraintes!J17</f>
        <v>France entière</v>
      </c>
      <c r="I17" t="str">
        <f>Contraintes!K17</f>
        <v>Part d'issues de silo consommées en méthanisation</v>
      </c>
      <c r="J17"/>
      <c r="K17" t="str">
        <f>Contraintes!M17</f>
        <v>ONRB - FranceAgriMer</v>
      </c>
      <c r="L17" t="str">
        <f>Contraintes!N17</f>
        <v>Issues de silo - ONRB</v>
      </c>
      <c r="M17" t="str">
        <f>Contraintes!O17</f>
        <v>Répartition</v>
      </c>
      <c r="O17" t="str">
        <f>Contraintes!Q17</f>
        <v>Approximative</v>
      </c>
      <c r="P17" t="str">
        <f>Contraintes!R17</f>
        <v>Données collectées:Données déterminées</v>
      </c>
      <c r="Q17" t="str">
        <f>Contraintes!S17</f>
        <v>Donnée collectée (valeur du flux ou coefficient)</v>
      </c>
      <c r="S17" s="1027"/>
    </row>
    <row r="18" spans="1:19">
      <c r="A18" t="str">
        <f>Contraintes!B19</f>
        <v>Issues de silo</v>
      </c>
      <c r="B18" t="str">
        <f>Secteurs!$B$34</f>
        <v>Energie</v>
      </c>
      <c r="E18" t="str">
        <f>Contraintes!G19</f>
        <v>kt</v>
      </c>
      <c r="F18" t="str">
        <f>Contraintes!H19</f>
        <v>Colza:Tournesol:Soja:Lin:Pois:Fèverole</v>
      </c>
      <c r="G18" t="str">
        <f>Contraintes!I19</f>
        <v>2015-16:2019-20:2023-24</v>
      </c>
      <c r="H18" t="str">
        <f>Contraintes!J19</f>
        <v>France entière</v>
      </c>
      <c r="I18" t="str">
        <f>Contraintes!K19</f>
        <v>Part d'issues de silo brûlées</v>
      </c>
      <c r="J18"/>
      <c r="K18" t="str">
        <f>Contraintes!M19</f>
        <v>ONRB - FranceAgriMer</v>
      </c>
      <c r="L18" t="str">
        <f>Contraintes!N19</f>
        <v>Issues de silo - ONRB</v>
      </c>
      <c r="M18" t="str">
        <f>Contraintes!O19</f>
        <v>Répartition</v>
      </c>
      <c r="O18" t="str">
        <f>Contraintes!Q19</f>
        <v>Approximative</v>
      </c>
      <c r="P18" t="str">
        <f>Contraintes!R19</f>
        <v>Données collectées:Données déterminées</v>
      </c>
      <c r="Q18" t="str">
        <f>Contraintes!S19</f>
        <v>Donnée collectée (valeur du flux ou coefficient)</v>
      </c>
      <c r="S18" s="1027"/>
    </row>
    <row r="19" spans="1:19">
      <c r="A19" t="str">
        <f>Contraintes!B23</f>
        <v>Issues de silo</v>
      </c>
      <c r="B19" t="str">
        <f>Secteurs!$B$25</f>
        <v>Hors FAB</v>
      </c>
      <c r="E19" t="str">
        <f>Contraintes!G23</f>
        <v>kt</v>
      </c>
      <c r="F19" t="str">
        <f>Contraintes!H23</f>
        <v>Lupin:Lentille:Pois chiche:Haricot sec</v>
      </c>
      <c r="G19" t="str">
        <f>Contraintes!I23</f>
        <v>2015-16:2019-20:2023-24</v>
      </c>
      <c r="H19" t="str">
        <f>Contraintes!J23</f>
        <v>France entière</v>
      </c>
      <c r="I19" t="str">
        <f>Contraintes!K23</f>
        <v>Part d'issues de silo consommées par les FAF</v>
      </c>
      <c r="J19" t="str">
        <f>Contraintes!L23</f>
        <v>Mêmes usages que les issues de silo de pois et fèveroles</v>
      </c>
      <c r="K19" t="str">
        <f>Contraintes!M23</f>
        <v>ONRB - FranceAgriMer</v>
      </c>
      <c r="L19" t="str">
        <f>Contraintes!N23</f>
        <v>Issues de silo - ONRB</v>
      </c>
      <c r="M19" t="str">
        <f>Contraintes!O23</f>
        <v>Répartition</v>
      </c>
      <c r="O19" t="str">
        <f>Contraintes!Q23</f>
        <v>Approximative</v>
      </c>
      <c r="P19" t="str">
        <f>Contraintes!R23</f>
        <v>Données collectées:Données déterminées</v>
      </c>
      <c r="Q19" t="str">
        <f>Contraintes!S23</f>
        <v>Donnée collectée (valeur du flux ou coefficient)</v>
      </c>
      <c r="S19" s="1027"/>
    </row>
    <row r="20" spans="1:19">
      <c r="A20" t="str">
        <f>Contraintes!B25</f>
        <v>Issues de silo</v>
      </c>
      <c r="B20" t="str">
        <f>Secteurs!$B$31</f>
        <v>Biomatériaux</v>
      </c>
      <c r="E20" t="str">
        <f>Contraintes!G25</f>
        <v>kt</v>
      </c>
      <c r="F20" t="str">
        <f>Contraintes!H25</f>
        <v>Lupin:Lentille:Pois chiche:Haricot sec</v>
      </c>
      <c r="G20" t="str">
        <f>Contraintes!I25</f>
        <v>2015-16:2019-20:2023-24</v>
      </c>
      <c r="H20" t="str">
        <f>Contraintes!J25</f>
        <v>France entière</v>
      </c>
      <c r="I20" t="str">
        <f>Contraintes!K25</f>
        <v>Part d'issues de silo consommées comme litière</v>
      </c>
      <c r="J20" t="str">
        <f>Contraintes!L25</f>
        <v>Mêmes usages que les issues de silo de pois et fèveroles</v>
      </c>
      <c r="K20" t="str">
        <f>Contraintes!M25</f>
        <v>ONRB - FranceAgriMer</v>
      </c>
      <c r="L20" t="str">
        <f>Contraintes!N25</f>
        <v>Issues de silo - ONRB</v>
      </c>
      <c r="M20" t="str">
        <f>Contraintes!O25</f>
        <v>Répartition</v>
      </c>
      <c r="O20" t="str">
        <f>Contraintes!Q25</f>
        <v>Approximative</v>
      </c>
      <c r="P20" t="str">
        <f>Contraintes!R25</f>
        <v>Données collectées:Données déterminées</v>
      </c>
      <c r="Q20" t="str">
        <f>Contraintes!S25</f>
        <v>Donnée collectée (valeur du flux ou coefficient)</v>
      </c>
      <c r="S20" s="1027"/>
    </row>
    <row r="21" spans="1:19">
      <c r="A21" t="str">
        <f>Contraintes!B27</f>
        <v>Issues de silo</v>
      </c>
      <c r="B21" t="str">
        <f>Secteurs!$B$38</f>
        <v>Fertilisation</v>
      </c>
      <c r="E21" t="str">
        <f>Contraintes!G27</f>
        <v>kt</v>
      </c>
      <c r="F21" t="str">
        <f>Contraintes!H27</f>
        <v>Lupin:Lentille:Pois chiche:Haricot sec</v>
      </c>
      <c r="G21" t="str">
        <f>Contraintes!I27</f>
        <v>2015-16:2019-20:2023-24</v>
      </c>
      <c r="H21" t="str">
        <f>Contraintes!J27</f>
        <v>France entière</v>
      </c>
      <c r="I21" t="str">
        <f>Contraintes!K27</f>
        <v>Part d'issues de silo compostées</v>
      </c>
      <c r="J21" t="str">
        <f>Contraintes!L27</f>
        <v>Mêmes usages que les issues de silo de pois et fèveroles</v>
      </c>
      <c r="K21" t="str">
        <f>Contraintes!M27</f>
        <v>ONRB - FranceAgriMer</v>
      </c>
      <c r="L21" t="str">
        <f>Contraintes!N27</f>
        <v>Issues de silo - ONRB</v>
      </c>
      <c r="M21" t="str">
        <f>Contraintes!O27</f>
        <v>Répartition</v>
      </c>
      <c r="O21" t="str">
        <f>Contraintes!Q27</f>
        <v>Approximative</v>
      </c>
      <c r="P21" t="str">
        <f>Contraintes!R27</f>
        <v>Données collectées:Données déterminées</v>
      </c>
      <c r="Q21" t="str">
        <f>Contraintes!S27</f>
        <v>Donnée collectée (valeur du flux ou coefficient)</v>
      </c>
      <c r="S21" s="1027"/>
    </row>
    <row r="22" spans="1:19">
      <c r="A22" t="str">
        <f>Contraintes!B29</f>
        <v>Issues de silo</v>
      </c>
      <c r="B22" t="str">
        <f>Secteurs!$B$31</f>
        <v>Biomatériaux</v>
      </c>
      <c r="E22" t="str">
        <f>Contraintes!G29</f>
        <v>kt</v>
      </c>
      <c r="F22" t="str">
        <f>Contraintes!H29</f>
        <v>Lupin:Lentille:Pois chiche:Haricot sec</v>
      </c>
      <c r="G22" t="str">
        <f>Contraintes!I29</f>
        <v>2015-16:2019-20:2023-24</v>
      </c>
      <c r="H22" t="str">
        <f>Contraintes!J29</f>
        <v>France entière</v>
      </c>
      <c r="I22" t="str">
        <f>Contraintes!K29</f>
        <v>Part d'issues de silo consommées comme autres biomatériaux</v>
      </c>
      <c r="J22" t="str">
        <f>Contraintes!L29</f>
        <v>Mêmes usages que les issues de silo de pois et fèveroles</v>
      </c>
      <c r="K22" t="str">
        <f>Contraintes!M29</f>
        <v>ONRB - FranceAgriMer</v>
      </c>
      <c r="L22" t="str">
        <f>Contraintes!N29</f>
        <v>Issues de silo - ONRB</v>
      </c>
      <c r="M22" t="str">
        <f>Contraintes!O29</f>
        <v>Répartition</v>
      </c>
      <c r="O22" t="str">
        <f>Contraintes!Q29</f>
        <v>Approximative</v>
      </c>
      <c r="P22" t="str">
        <f>Contraintes!R29</f>
        <v>Données collectées:Données déterminées</v>
      </c>
      <c r="Q22" t="str">
        <f>Contraintes!S29</f>
        <v>Donnée collectée (valeur du flux ou coefficient)</v>
      </c>
      <c r="S22" s="1027"/>
    </row>
    <row r="23" spans="1:19">
      <c r="A23" t="str">
        <f>Contraintes!B31</f>
        <v>Issues de silo</v>
      </c>
      <c r="B23" t="str">
        <f>Secteurs!$B$34</f>
        <v>Energie</v>
      </c>
      <c r="E23" t="str">
        <f>Contraintes!G31</f>
        <v>kt</v>
      </c>
      <c r="F23" t="str">
        <f>Contraintes!H31</f>
        <v>Lupin:Lentille:Pois chiche:Haricot sec</v>
      </c>
      <c r="G23" t="str">
        <f>Contraintes!I31</f>
        <v>2015-16:2019-20:2023-24</v>
      </c>
      <c r="H23" t="str">
        <f>Contraintes!J31</f>
        <v>France entière</v>
      </c>
      <c r="I23" t="str">
        <f>Contraintes!K31</f>
        <v>Part d'issues de silo consommées en méthanisation</v>
      </c>
      <c r="J23" t="str">
        <f>Contraintes!L31</f>
        <v>Mêmes usages que les issues de silo de pois et fèveroles</v>
      </c>
      <c r="K23" t="str">
        <f>Contraintes!M31</f>
        <v>ONRB - FranceAgriMer</v>
      </c>
      <c r="L23" t="str">
        <f>Contraintes!N31</f>
        <v>Issues de silo - ONRB</v>
      </c>
      <c r="M23" t="str">
        <f>Contraintes!O31</f>
        <v>Répartition</v>
      </c>
      <c r="O23" t="str">
        <f>Contraintes!Q31</f>
        <v>Approximative</v>
      </c>
      <c r="P23" t="str">
        <f>Contraintes!R31</f>
        <v>Données collectées:Données déterminées</v>
      </c>
      <c r="Q23" t="str">
        <f>Contraintes!S31</f>
        <v>Donnée collectée (valeur du flux ou coefficient)</v>
      </c>
      <c r="S23" s="1027"/>
    </row>
    <row r="24" spans="1:19">
      <c r="A24" t="str">
        <f>Contraintes!B33</f>
        <v>Issues de silo</v>
      </c>
      <c r="B24" t="str">
        <f>Secteurs!$B$34</f>
        <v>Energie</v>
      </c>
      <c r="E24" t="str">
        <f>Contraintes!G33</f>
        <v>kt</v>
      </c>
      <c r="F24" t="str">
        <f>Contraintes!H33</f>
        <v>Lupin:Lentille:Pois chiche:Haricot sec</v>
      </c>
      <c r="G24" t="str">
        <f>Contraintes!I33</f>
        <v>2015-16:2019-20:2023-24</v>
      </c>
      <c r="H24" t="str">
        <f>Contraintes!J33</f>
        <v>France entière</v>
      </c>
      <c r="I24" t="str">
        <f>Contraintes!K33</f>
        <v>Part d'issues de silo brûlées</v>
      </c>
      <c r="J24" t="str">
        <f>Contraintes!L33</f>
        <v>Mêmes usages que les issues de silo de pois et fèveroles</v>
      </c>
      <c r="K24" t="str">
        <f>Contraintes!M33</f>
        <v>ONRB - FranceAgriMer</v>
      </c>
      <c r="L24" t="str">
        <f>Contraintes!N33</f>
        <v>Issues de silo - ONRB</v>
      </c>
      <c r="M24" t="str">
        <f>Contraintes!O33</f>
        <v>Répartition</v>
      </c>
      <c r="O24" t="str">
        <f>Contraintes!Q33</f>
        <v>Approximative</v>
      </c>
      <c r="P24" t="str">
        <f>Contraintes!R33</f>
        <v>Données collectées:Données déterminées</v>
      </c>
      <c r="Q24" t="str">
        <f>Contraintes!S33</f>
        <v>Donnée collectée (valeur du flux ou coefficient)</v>
      </c>
      <c r="S24" s="1027"/>
    </row>
    <row r="25" spans="1:19">
      <c r="A25" t="str">
        <f>'Contraintes         '!B9</f>
        <v>Huile</v>
      </c>
      <c r="B25" t="str">
        <f>Secteurs!$B$34</f>
        <v>Energie</v>
      </c>
      <c r="E25" t="str">
        <f>'Contraintes         '!G9</f>
        <v>kt</v>
      </c>
      <c r="F25" t="str">
        <f>'Contraintes         '!H9</f>
        <v>Tournesol</v>
      </c>
      <c r="G25" t="str">
        <f>'Contraintes         '!I9</f>
        <v>2015-16:2019-20:2023-24</v>
      </c>
      <c r="H25" t="str">
        <f>'Contraintes         '!J9</f>
        <v>France entière</v>
      </c>
      <c r="I25" t="str">
        <f>'Contraintes         '!K9</f>
        <v>Part de consommation d'huile en biocarburants</v>
      </c>
      <c r="J25" t="str">
        <f>'Contraintes         '!L9</f>
        <v>Même répartition des usages d'huile qu'en 2023</v>
      </c>
      <c r="K25" t="str">
        <f>'Contraintes         '!M9</f>
        <v>Veille concurrentielle biocarburants - FranceAgriMer</v>
      </c>
      <c r="L25" t="str">
        <f>'Contraintes         '!N9</f>
        <v>Usages huiles - TERRES UNIVIA</v>
      </c>
      <c r="M25" t="str">
        <f>'Contraintes         '!O9</f>
        <v>Répartition</v>
      </c>
      <c r="O25" t="str">
        <f>'Contraintes         '!Q9</f>
        <v>Approximative</v>
      </c>
      <c r="P25" t="str">
        <f>'Contraintes         '!R9</f>
        <v>Données collectées:Données déterminées</v>
      </c>
      <c r="Q25" t="str">
        <f>'Contraintes         '!S9</f>
        <v>Donnée collectée (valeur du flux ou coefficient)</v>
      </c>
    </row>
    <row r="26" spans="1:19">
      <c r="A26" t="str">
        <f>'Contraintes         '!B13</f>
        <v>Huile</v>
      </c>
      <c r="B26" t="str">
        <f>Secteurs!$B$34</f>
        <v>Energie</v>
      </c>
      <c r="E26" t="str">
        <f>'Contraintes         '!G13</f>
        <v>kt</v>
      </c>
      <c r="F26" t="str">
        <f>'Contraintes         '!H13</f>
        <v>Colza</v>
      </c>
      <c r="G26" t="str">
        <f>'Contraintes         '!I13</f>
        <v>2015-16:2019-20:2023-24</v>
      </c>
      <c r="H26" t="str">
        <f>'Contraintes         '!J13</f>
        <v>France entière</v>
      </c>
      <c r="I26" t="str">
        <f>'Contraintes         '!K13</f>
        <v>Part de consommation d'huile en biocarburants</v>
      </c>
      <c r="J26" t="str">
        <f>'Contraintes         '!L13</f>
        <v>Même répartition des usages d'huile qu'en 2023</v>
      </c>
      <c r="K26" t="str">
        <f>'Contraintes         '!M13</f>
        <v>Veille concurrentielle biocarburants - FranceAgriMer</v>
      </c>
      <c r="L26" t="str">
        <f>'Contraintes         '!N13</f>
        <v>Usages huiles - TERRES UNIVIA</v>
      </c>
      <c r="M26" t="str">
        <f>'Contraintes         '!O13</f>
        <v>Répartition</v>
      </c>
      <c r="O26" t="str">
        <f>'Contraintes         '!Q13</f>
        <v>Approximative</v>
      </c>
      <c r="P26" t="str">
        <f>'Contraintes         '!R13</f>
        <v>Données collectées:Données déterminées</v>
      </c>
      <c r="Q26" t="str">
        <f>'Contraintes         '!S13</f>
        <v>Donnée collectée (valeur du flux ou coefficient)</v>
      </c>
    </row>
    <row r="27" spans="1:19">
      <c r="A27" t="str">
        <f>'Contraintes        '!B23</f>
        <v>Coques (+ eau)</v>
      </c>
      <c r="B27" t="str">
        <f>Secteurs!$B$34</f>
        <v>Energie</v>
      </c>
      <c r="E27" t="str">
        <f>'Contraintes        '!G23</f>
        <v>kt</v>
      </c>
      <c r="F27" t="str">
        <f>'Contraintes        '!H23</f>
        <v>Tournesol</v>
      </c>
      <c r="G27" t="str">
        <f>'Contraintes        '!I23</f>
        <v>2015-16:2019-20:2023-24</v>
      </c>
      <c r="H27" t="str">
        <f>'Contraintes        '!J23</f>
        <v>France entière</v>
      </c>
      <c r="I27" t="str">
        <f>'Contraintes        '!K23</f>
        <v>Part de la consommation des coques (+ eau) pour la combustion</v>
      </c>
      <c r="J27">
        <f>'Contraintes        '!L23</f>
        <v>0</v>
      </c>
      <c r="K27" t="str">
        <f>'Contraintes        '!M23</f>
        <v>Terres Univia</v>
      </c>
      <c r="L27" t="str">
        <f>'Contraintes        '!N23</f>
        <v>Rend. trituration-TERRES UNIVIA</v>
      </c>
      <c r="M27" t="str">
        <f>'Contraintes        '!O23</f>
        <v>Répartition</v>
      </c>
      <c r="O27" t="str">
        <f>'Contraintes        '!Q23</f>
        <v>Indicative</v>
      </c>
      <c r="P27" t="str">
        <f>'Contraintes        '!R23</f>
        <v>Données collectées:Données déterminées</v>
      </c>
      <c r="Q27" t="str">
        <f>'Contraintes        '!S23</f>
        <v>Donnée collectée (valeur du flux ou coefficient)</v>
      </c>
    </row>
    <row r="28" spans="1:19">
      <c r="A28" t="str">
        <f>'Contraintes         '!B3</f>
        <v>Huile</v>
      </c>
      <c r="B28" t="str">
        <f>Secteurs!$B$14</f>
        <v>Alimentation humaine</v>
      </c>
      <c r="E28" t="str">
        <f>'Contraintes         '!G3</f>
        <v>kt</v>
      </c>
      <c r="F28" t="str">
        <f>'Contraintes         '!H3</f>
        <v>Tournesol</v>
      </c>
      <c r="G28" t="str">
        <f>'Contraintes         '!I3</f>
        <v>2015-16:2019-20:2023-24</v>
      </c>
      <c r="H28" t="str">
        <f>'Contraintes         '!J3</f>
        <v>France entière</v>
      </c>
      <c r="I28" t="str">
        <f>'Contraintes         '!K3</f>
        <v>Part de consommation d'huile par les ménages</v>
      </c>
      <c r="J28" t="str">
        <f>'Contraintes         '!L3</f>
        <v>Même répartition des usages d'huile qu'en 2023</v>
      </c>
      <c r="K28" t="str">
        <f>'Contraintes         '!M3</f>
        <v>Terres Univia</v>
      </c>
      <c r="L28" t="str">
        <f>'Contraintes         '!N3</f>
        <v>Usages huiles - TERRES UNIVIA</v>
      </c>
      <c r="M28" t="str">
        <f>'Contraintes         '!O3</f>
        <v>Répartition</v>
      </c>
      <c r="N28" t="str">
        <f>'Contraintes         '!P3</f>
        <v>Part de consommation d'huile par les ménages = 64,88 % (Terres Univia)</v>
      </c>
      <c r="O28" t="str">
        <f>'Contraintes         '!Q3</f>
        <v>Approximative</v>
      </c>
      <c r="P28" t="str">
        <f>'Contraintes         '!R3</f>
        <v>Données collectées:Données déterminées</v>
      </c>
      <c r="Q28" t="str">
        <f>'Contraintes         '!S3</f>
        <v>Donnée collectée (valeur du flux ou coefficient)</v>
      </c>
    </row>
    <row r="29" spans="1:19">
      <c r="A29" t="str">
        <f>'Données   '!A27</f>
        <v>Graines collectées</v>
      </c>
      <c r="B29" t="str">
        <f>Secteurs!$B$14</f>
        <v>Alimentation humaine</v>
      </c>
      <c r="E29" t="str">
        <f>'Données   '!E27</f>
        <v>kt</v>
      </c>
      <c r="F29" t="str">
        <f>'Données   '!F27</f>
        <v>Soja</v>
      </c>
      <c r="G29" t="str">
        <f>'Contraintes         '!I4</f>
        <v>2015-16:2019-20:2023-24</v>
      </c>
      <c r="H29" t="str">
        <f>'Données   '!H27</f>
        <v>France entière</v>
      </c>
      <c r="I29" t="str">
        <f>'Données   '!I27</f>
        <v>Consommation de graines en alimentation humaine</v>
      </c>
      <c r="J29">
        <f>'Données   '!J27</f>
        <v>0</v>
      </c>
      <c r="K29" t="str">
        <f>'Données   '!K27</f>
        <v>Bilans par campagne - FranceAgriMer</v>
      </c>
      <c r="L29" t="str">
        <f>'Données   '!L27</f>
        <v>Bilans Soja - FAM</v>
      </c>
      <c r="M29" t="str">
        <f>'Données   '!M27</f>
        <v>Volume</v>
      </c>
      <c r="N29" t="str">
        <f>'Données   '!N27</f>
        <v>Consommation de graines en alimentation humaine = 45 kt (Bilans par campagne - FranceAgriMer)</v>
      </c>
      <c r="O29" t="str">
        <f>'Données   '!O27</f>
        <v>Probable</v>
      </c>
      <c r="P29" t="str">
        <f>'Données   '!P27</f>
        <v>Données collectées</v>
      </c>
      <c r="Q29" t="str">
        <f>'Données   '!Q27</f>
        <v>Donnée collectée (valeur du flux ou coefficient)</v>
      </c>
    </row>
    <row r="30" spans="1:19">
      <c r="A30" t="str">
        <f>Données!A9</f>
        <v>Graines autoconsommées</v>
      </c>
      <c r="B30" t="str">
        <f>Secteurs!$B$14</f>
        <v>Alimentation humaine</v>
      </c>
      <c r="E30" t="str">
        <f>Données!E9</f>
        <v>kt</v>
      </c>
      <c r="F30" t="str">
        <f>Données!F9</f>
        <v>Lentille:Pois chiche:Haricot sec:Olive</v>
      </c>
      <c r="G30" t="str">
        <f>Données!G9</f>
        <v>2015-16:2019-20:2023-24</v>
      </c>
      <c r="H30" t="str">
        <f>Données!H9</f>
        <v>France entière</v>
      </c>
      <c r="I30" t="str">
        <f>Données!I9</f>
        <v>Consommation de graines à la ferme directement</v>
      </c>
      <c r="J30" t="str">
        <f>Données!J9</f>
        <v>Le reste des graines autoconsommées est consommé en alimentation humaine</v>
      </c>
      <c r="K30">
        <f>Données!K9</f>
        <v>0</v>
      </c>
      <c r="L30">
        <f>Données!L9</f>
        <v>0</v>
      </c>
      <c r="M30">
        <f>Données!M9</f>
        <v>0</v>
      </c>
      <c r="N30">
        <f>Données!N9</f>
        <v>0</v>
      </c>
      <c r="O30" t="str">
        <f>Données!O9</f>
        <v>Indicative</v>
      </c>
      <c r="P30" t="str">
        <f>Données!P9</f>
        <v>Complétion des flux:Données déterminées</v>
      </c>
      <c r="Q30" t="str">
        <f>Données!Q9</f>
        <v>Donnée déterminée (par bilan matière)</v>
      </c>
    </row>
    <row r="31" spans="1:19">
      <c r="A31" t="str">
        <f>'Données            '!A30</f>
        <v>Légumes secs bruts</v>
      </c>
      <c r="B31" t="str">
        <f>Secteurs!$B$14</f>
        <v>Alimentation humaine</v>
      </c>
      <c r="E31" t="str">
        <f>'Données            '!E30</f>
        <v>kt</v>
      </c>
      <c r="F31" t="str">
        <f>'Données            '!F30</f>
        <v>Lentille:Pois chiche</v>
      </c>
      <c r="G31" t="str">
        <f>'Données            '!G30</f>
        <v>2023-24</v>
      </c>
      <c r="H31" t="str">
        <f>'Données            '!H30</f>
        <v>France entière</v>
      </c>
      <c r="I31" t="str">
        <f>'Données            '!I30</f>
        <v>Consommation de LS bruts par les autres IAA</v>
      </c>
      <c r="J31" t="str">
        <f>'Données            '!J30</f>
        <v>Consommation par les autres IAA négligeable</v>
      </c>
      <c r="K31" t="str">
        <f>'Données            '!K30</f>
        <v>OléoProtéines - Terres Univia</v>
      </c>
      <c r="L31" t="str">
        <f>'Données            '!L30</f>
        <v>Consommation - OléoProtéines</v>
      </c>
      <c r="M31" t="str">
        <f>'Données            '!M30</f>
        <v>Volume</v>
      </c>
      <c r="N31" t="str">
        <f>'Données            '!N30</f>
        <v>Consommation de LS bruts par les autres IAA = 0 kt (OléoProtéines - Terres Univia)</v>
      </c>
      <c r="O31" t="str">
        <f>'Données            '!O30</f>
        <v>Approximative</v>
      </c>
      <c r="P31" t="str">
        <f>'Données            '!P30</f>
        <v>Données collectées</v>
      </c>
      <c r="Q31" t="str">
        <f>'Données            '!Q30</f>
        <v>Donnée collectée (valeur du flux ou coefficient)</v>
      </c>
    </row>
    <row r="32" spans="1:19">
      <c r="A32" t="str">
        <f>'Données            '!A31</f>
        <v>Légumes secs appertisés et surgelés</v>
      </c>
      <c r="B32" t="str">
        <f>Secteurs!$B$14</f>
        <v>Alimentation humaine</v>
      </c>
      <c r="E32" t="str">
        <f>'Données            '!E31</f>
        <v>kt</v>
      </c>
      <c r="F32" t="str">
        <f>'Données            '!F31</f>
        <v>Lentille:Pois chiche</v>
      </c>
      <c r="G32" t="str">
        <f>'Données            '!G31</f>
        <v>2023-24</v>
      </c>
      <c r="H32" t="str">
        <f>'Données            '!H31</f>
        <v>France entière</v>
      </c>
      <c r="I32" t="str">
        <f>'Données            '!I31</f>
        <v>Consommation de LS appertisés et surgelés par les autres IAA</v>
      </c>
      <c r="J32" t="str">
        <f>'Données            '!J31</f>
        <v>Consommation par les autres IAA négligeable</v>
      </c>
      <c r="K32" t="str">
        <f>'Données            '!K31</f>
        <v>OléoProtéines - Terres Univia</v>
      </c>
      <c r="L32" t="str">
        <f>'Données            '!L31</f>
        <v>Consommation - OléoProtéines</v>
      </c>
      <c r="M32" t="str">
        <f>'Données            '!M31</f>
        <v>Volume</v>
      </c>
      <c r="N32" t="str">
        <f>'Données            '!N31</f>
        <v>Consommation de LS appertisés et surgelés par les autres IAA = 0 kt (OléoProtéines - Terres Univia)</v>
      </c>
      <c r="O32" t="str">
        <f>'Données            '!O31</f>
        <v>Approximative</v>
      </c>
      <c r="P32" t="str">
        <f>'Données            '!P31</f>
        <v>Données collectées</v>
      </c>
      <c r="Q32" t="str">
        <f>'Données            '!Q31</f>
        <v>Donnée collectée (valeur du flux ou coefficient)</v>
      </c>
    </row>
  </sheetData>
  <mergeCells count="1">
    <mergeCell ref="S2:S24"/>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91F72-ABCB-45B3-A58B-83AC516C66B9}">
  <sheetPr>
    <tabColor rgb="FF92D050"/>
  </sheetPr>
  <dimension ref="A1:S33"/>
  <sheetViews>
    <sheetView workbookViewId="0">
      <pane xSplit="2" ySplit="1" topLeftCell="K2" activePane="bottomRight" state="frozen"/>
      <selection activeCell="B15" sqref="B15"/>
      <selection pane="topRight" activeCell="B15" sqref="B15"/>
      <selection pane="bottomLeft" activeCell="B15" sqref="B15"/>
      <selection pane="bottomRight" activeCell="O9" sqref="O9"/>
    </sheetView>
  </sheetViews>
  <sheetFormatPr baseColWidth="10" defaultColWidth="9.109375" defaultRowHeight="14.4"/>
  <cols>
    <col min="1" max="2" width="21.21875" bestFit="1" customWidth="1"/>
    <col min="3" max="3" width="11" bestFit="1" customWidth="1"/>
    <col min="4" max="4" width="12.88671875" style="10" bestFit="1" customWidth="1"/>
    <col min="5" max="5" width="6.6640625" bestFit="1" customWidth="1"/>
    <col min="6" max="6" width="10" style="21" bestFit="1" customWidth="1"/>
    <col min="7" max="7" width="12.109375" style="21" bestFit="1" customWidth="1"/>
    <col min="8" max="8" width="11" style="21" bestFit="1" customWidth="1"/>
    <col min="9" max="9" width="30.21875" style="21" customWidth="1"/>
    <col min="10" max="10" width="12.21875" style="21" bestFit="1" customWidth="1"/>
    <col min="11" max="11" width="33.21875" style="21" bestFit="1" customWidth="1"/>
    <col min="12" max="12" width="14.44140625" style="101" customWidth="1"/>
    <col min="13" max="13" width="14.44140625" style="21" customWidth="1"/>
    <col min="14" max="14" width="21.77734375" customWidth="1"/>
    <col min="15" max="17" width="21" customWidth="1"/>
    <col min="18" max="18" width="12.33203125" customWidth="1"/>
    <col min="19" max="19" width="17.44140625" customWidth="1"/>
  </cols>
  <sheetData>
    <row r="1" spans="1:19" ht="38.4" thickBot="1">
      <c r="A1" s="16" t="s">
        <v>12</v>
      </c>
      <c r="B1" s="17" t="s">
        <v>13</v>
      </c>
      <c r="C1" s="17" t="s">
        <v>14</v>
      </c>
      <c r="D1" s="17" t="s">
        <v>16</v>
      </c>
      <c r="E1" s="18" t="str">
        <f>Etiquettes!$A$3</f>
        <v>Unité</v>
      </c>
      <c r="F1" s="18" t="str">
        <f>Etiquettes!$A$6</f>
        <v>Oléoprotéagineux</v>
      </c>
      <c r="G1" s="18" t="str">
        <f>Etiquettes!$A$5</f>
        <v>Campagne</v>
      </c>
      <c r="H1" s="18" t="str">
        <f>Etiquettes!$A$4</f>
        <v>Territoire</v>
      </c>
      <c r="I1" s="18" t="str">
        <f>Etiquettes!$A$12</f>
        <v>Traduction</v>
      </c>
      <c r="J1" s="18" t="str">
        <f>Etiquettes!$A$10</f>
        <v>Hypothèse</v>
      </c>
      <c r="K1" s="18" t="str">
        <f>Etiquettes!$A$9</f>
        <v>Source</v>
      </c>
      <c r="L1" s="18" t="str">
        <f>Etiquettes!$A$13</f>
        <v>Onglet fichier Excel</v>
      </c>
      <c r="M1" s="18" t="str">
        <f>Etiquettes!$A$11</f>
        <v>Type de donnée collectée</v>
      </c>
      <c r="N1" s="18" t="str">
        <f>Etiquettes!$A$7</f>
        <v>Volume collecté, hors volume d'échange</v>
      </c>
      <c r="O1" s="18" t="str">
        <f>Etiquettes!$A$15</f>
        <v>Fiabilité des données</v>
      </c>
      <c r="P1" s="18" t="str">
        <f>Etiquettes!$A$16</f>
        <v>Méthode</v>
      </c>
      <c r="Q1" s="18" t="str">
        <f>Etiquettes!$A$17</f>
        <v>Analyse des résultats</v>
      </c>
      <c r="R1" s="17" t="s">
        <v>3</v>
      </c>
      <c r="S1" s="19" t="s">
        <v>5</v>
      </c>
    </row>
    <row r="2" spans="1:19">
      <c r="A2" t="str">
        <f>Secteurs!$B$2</f>
        <v>Récolte</v>
      </c>
      <c r="B2" t="str">
        <f>Produits!$B$2</f>
        <v>Graines récoltées</v>
      </c>
      <c r="C2" s="100">
        <f>'Bilans Colza - FAM'!K7</f>
        <v>5334.4040000000005</v>
      </c>
      <c r="E2" t="str">
        <f>Etiquettes!$C$3</f>
        <v>kt</v>
      </c>
      <c r="F2" s="21" t="str">
        <f>Etiquettes!$H$6</f>
        <v>Colza</v>
      </c>
      <c r="G2" s="21" t="str">
        <f>Etiquettes!$H$5</f>
        <v>2015-16</v>
      </c>
      <c r="H2" t="str">
        <f>Etiquettes!$C$4</f>
        <v>France entière</v>
      </c>
      <c r="I2" s="101" t="s">
        <v>722</v>
      </c>
      <c r="J2" s="101"/>
      <c r="K2" t="s">
        <v>741</v>
      </c>
      <c r="L2" s="101" t="s">
        <v>1480</v>
      </c>
      <c r="M2" s="21" t="str">
        <f>Etiquettes!$H$11</f>
        <v>Volume</v>
      </c>
      <c r="N2" s="101" t="str">
        <f>_xlfn.CONCAT(I2,IF(ISBLANK(C2),"",_xlfn.CONCAT(" = ",MROUND(C2,1)," ",E2))," (",K2,")")</f>
        <v>Récolte = 5334 kt (Bilans par campagne - FranceAgriMer)</v>
      </c>
      <c r="O2" t="str">
        <f>Etiquettes!$H$15</f>
        <v>Fiable</v>
      </c>
      <c r="P2" s="976" t="s">
        <v>1468</v>
      </c>
      <c r="Q2" s="976" t="str">
        <f>Etiquettes!$H$17</f>
        <v>Donnée collectée (valeur du flux ou coefficient)</v>
      </c>
    </row>
    <row r="3" spans="1:19">
      <c r="A3" t="str">
        <f>Secteurs!$B$3</f>
        <v>Ferme</v>
      </c>
      <c r="B3" t="str">
        <f>Produits!$B$4</f>
        <v>Graines autoconsommées</v>
      </c>
      <c r="C3" s="858">
        <f>'Bilans Colza - FAM'!K9</f>
        <v>128.44500000000062</v>
      </c>
      <c r="E3" t="str">
        <f>Etiquettes!$C$3</f>
        <v>kt</v>
      </c>
      <c r="F3" s="21" t="str">
        <f>Etiquettes!$H$6</f>
        <v>Colza</v>
      </c>
      <c r="G3" s="21" t="str">
        <f>Etiquettes!$H$5</f>
        <v>2015-16</v>
      </c>
      <c r="H3" t="str">
        <f>Etiquettes!$C$4</f>
        <v>France entière</v>
      </c>
      <c r="I3" s="21" t="s">
        <v>742</v>
      </c>
      <c r="J3" s="101"/>
      <c r="K3" t="s">
        <v>741</v>
      </c>
      <c r="L3" s="101" t="s">
        <v>1480</v>
      </c>
      <c r="M3" s="21" t="str">
        <f>Etiquettes!$H$11</f>
        <v>Volume</v>
      </c>
      <c r="N3" s="101" t="str">
        <f t="shared" ref="N3:N25" si="0">_xlfn.CONCAT(I3,IF(ISBLANK(C3),"",_xlfn.CONCAT(" = ",MROUND(C3,1)," ",E3))," (",K3,")")</f>
        <v>Autoconsommation à la ferme = 128 kt (Bilans par campagne - FranceAgriMer)</v>
      </c>
      <c r="O3" t="str">
        <f>Etiquettes!$K$15</f>
        <v>Approximative</v>
      </c>
      <c r="P3" s="976" t="s">
        <v>1468</v>
      </c>
      <c r="Q3" s="976" t="str">
        <f>Etiquettes!$H$17</f>
        <v>Donnée collectée (valeur du flux ou coefficient)</v>
      </c>
    </row>
    <row r="4" spans="1:19">
      <c r="A4" t="str">
        <f>Produits!$B$2</f>
        <v>Graines récoltées</v>
      </c>
      <c r="B4" t="str">
        <f>Secteurs!$B$4</f>
        <v>OS</v>
      </c>
      <c r="C4" s="100">
        <f>'Bilans Colza - FAM'!K17</f>
        <v>5205.9589999999998</v>
      </c>
      <c r="E4" t="str">
        <f>Etiquettes!$C$3</f>
        <v>kt</v>
      </c>
      <c r="F4" s="21" t="str">
        <f>Etiquettes!$H$6</f>
        <v>Colza</v>
      </c>
      <c r="G4" s="21" t="str">
        <f>Etiquettes!$H$5</f>
        <v>2015-16</v>
      </c>
      <c r="H4" t="str">
        <f>Etiquettes!$C$4</f>
        <v>France entière</v>
      </c>
      <c r="I4" s="21" t="s">
        <v>743</v>
      </c>
      <c r="J4" s="101"/>
      <c r="K4" t="s">
        <v>741</v>
      </c>
      <c r="L4" s="101" t="s">
        <v>1480</v>
      </c>
      <c r="M4" s="21" t="str">
        <f>Etiquettes!$H$11</f>
        <v>Volume</v>
      </c>
      <c r="N4" s="101" t="str">
        <f t="shared" si="0"/>
        <v>Collecte = 5206 kt (Bilans par campagne - FranceAgriMer)</v>
      </c>
      <c r="O4" t="str">
        <f>Etiquettes!$I$15</f>
        <v>Robuste</v>
      </c>
      <c r="P4" s="976" t="s">
        <v>1468</v>
      </c>
      <c r="Q4" s="976" t="str">
        <f>Etiquettes!$H$17</f>
        <v>Donnée collectée (valeur du flux ou coefficient)</v>
      </c>
    </row>
    <row r="5" spans="1:19">
      <c r="A5" t="str">
        <f>Produits!$B$7</f>
        <v>Stock initial collecteurs</v>
      </c>
      <c r="B5" t="str">
        <f>Secteurs!$B$4</f>
        <v>OS</v>
      </c>
      <c r="C5" s="100">
        <f>'Bilans Colza - FAM'!J40</f>
        <v>61.488999999999997</v>
      </c>
      <c r="E5" t="str">
        <f>Etiquettes!$C$3</f>
        <v>kt</v>
      </c>
      <c r="F5" s="21" t="str">
        <f>Etiquettes!$H$6</f>
        <v>Colza</v>
      </c>
      <c r="G5" s="21" t="str">
        <f>Etiquettes!$H$5</f>
        <v>2015-16</v>
      </c>
      <c r="H5" t="str">
        <f>Etiquettes!$C$4</f>
        <v>France entière</v>
      </c>
      <c r="I5" s="21" t="s">
        <v>712</v>
      </c>
      <c r="J5" s="101"/>
      <c r="K5" t="s">
        <v>741</v>
      </c>
      <c r="L5" s="101" t="s">
        <v>1480</v>
      </c>
      <c r="M5" s="21" t="str">
        <f>Etiquettes!$H$11</f>
        <v>Volume</v>
      </c>
      <c r="N5" s="101" t="str">
        <f t="shared" si="0"/>
        <v>Stock initial collecteurs = 61 kt (Bilans par campagne - FranceAgriMer)</v>
      </c>
      <c r="O5" t="str">
        <f>Etiquettes!$I$15</f>
        <v>Robuste</v>
      </c>
      <c r="P5" s="976" t="s">
        <v>1468</v>
      </c>
      <c r="Q5" s="976" t="str">
        <f>Etiquettes!$H$17</f>
        <v>Donnée collectée (valeur du flux ou coefficient)</v>
      </c>
    </row>
    <row r="6" spans="1:19">
      <c r="A6" t="str">
        <f>Secteurs!$B$4</f>
        <v>OS</v>
      </c>
      <c r="B6" t="str">
        <f>Produits!$B$10</f>
        <v>Stock final collecteurs</v>
      </c>
      <c r="C6" s="100">
        <f>'Bilans Colza - FAM'!K40</f>
        <v>115.098</v>
      </c>
      <c r="E6" t="str">
        <f>Etiquettes!$C$3</f>
        <v>kt</v>
      </c>
      <c r="F6" s="21" t="str">
        <f>Etiquettes!$H$6</f>
        <v>Colza</v>
      </c>
      <c r="G6" s="21" t="str">
        <f>Etiquettes!$H$5</f>
        <v>2015-16</v>
      </c>
      <c r="H6" t="str">
        <f>Etiquettes!$C$4</f>
        <v>France entière</v>
      </c>
      <c r="I6" s="21" t="s">
        <v>715</v>
      </c>
      <c r="J6" s="101"/>
      <c r="K6" t="s">
        <v>741</v>
      </c>
      <c r="L6" s="101" t="s">
        <v>1480</v>
      </c>
      <c r="M6" s="21" t="str">
        <f>Etiquettes!$H$11</f>
        <v>Volume</v>
      </c>
      <c r="N6" s="101" t="str">
        <f t="shared" si="0"/>
        <v>Stock final collecteurs = 115 kt (Bilans par campagne - FranceAgriMer)</v>
      </c>
      <c r="O6" t="str">
        <f>Etiquettes!$I$15</f>
        <v>Robuste</v>
      </c>
      <c r="P6" s="976" t="s">
        <v>1468</v>
      </c>
      <c r="Q6" s="976" t="str">
        <f>Etiquettes!$H$17</f>
        <v>Donnée collectée (valeur du flux ou coefficient)</v>
      </c>
    </row>
    <row r="7" spans="1:19">
      <c r="A7" t="str">
        <f>Produits!$B$11</f>
        <v>Graines collectées</v>
      </c>
      <c r="B7" t="str">
        <f>Secteurs!$B$5</f>
        <v>Trituration</v>
      </c>
      <c r="C7" s="100">
        <f>'Bilans Colza - FAM'!K28</f>
        <v>4780</v>
      </c>
      <c r="E7" t="str">
        <f>Etiquettes!$C$3</f>
        <v>kt</v>
      </c>
      <c r="F7" s="21" t="str">
        <f>Etiquettes!$H$6</f>
        <v>Colza</v>
      </c>
      <c r="G7" s="21" t="str">
        <f>Etiquettes!$H$5</f>
        <v>2015-16</v>
      </c>
      <c r="H7" t="str">
        <f>Etiquettes!$C$4</f>
        <v>France entière</v>
      </c>
      <c r="I7" s="21" t="s">
        <v>1009</v>
      </c>
      <c r="K7" t="s">
        <v>741</v>
      </c>
      <c r="L7" s="101" t="s">
        <v>1480</v>
      </c>
      <c r="M7" s="21" t="str">
        <f>Etiquettes!$H$11</f>
        <v>Volume</v>
      </c>
      <c r="N7" s="101" t="str">
        <f t="shared" si="0"/>
        <v>Consommation de graines par la Trituration = 4780 kt (Bilans par campagne - FranceAgriMer)</v>
      </c>
      <c r="O7" t="str">
        <f>Etiquettes!$I$15</f>
        <v>Robuste</v>
      </c>
      <c r="P7" s="976" t="s">
        <v>1468</v>
      </c>
      <c r="Q7" s="976" t="str">
        <f>Etiquettes!$H$17</f>
        <v>Donnée collectée (valeur du flux ou coefficient)</v>
      </c>
    </row>
    <row r="8" spans="1:19">
      <c r="A8" t="str">
        <f>Produits!$B$11</f>
        <v>Graines collectées</v>
      </c>
      <c r="B8" t="str">
        <f>Secteurs!$B$24</f>
        <v>FAB</v>
      </c>
      <c r="C8" s="100">
        <f>'Bilans Colza - FAM'!K29</f>
        <v>56.387999999999998</v>
      </c>
      <c r="E8" t="str">
        <f>Etiquettes!$C$3</f>
        <v>kt</v>
      </c>
      <c r="F8" s="21" t="str">
        <f>Etiquettes!$H$6</f>
        <v>Colza</v>
      </c>
      <c r="G8" s="21" t="str">
        <f>Etiquettes!$H$5</f>
        <v>2015-16</v>
      </c>
      <c r="H8" t="str">
        <f>Etiquettes!$C$4</f>
        <v>France entière</v>
      </c>
      <c r="I8" s="21" t="s">
        <v>1011</v>
      </c>
      <c r="K8" t="s">
        <v>741</v>
      </c>
      <c r="L8" s="101" t="s">
        <v>1480</v>
      </c>
      <c r="M8" s="21" t="str">
        <f>Etiquettes!$H$11</f>
        <v>Volume</v>
      </c>
      <c r="N8" s="101" t="str">
        <f t="shared" si="0"/>
        <v>Consommation de graines par les FAB = 56 kt (Bilans par campagne - FranceAgriMer)</v>
      </c>
      <c r="O8" t="str">
        <f>Etiquettes!$J$15</f>
        <v>Probable</v>
      </c>
      <c r="P8" s="976" t="s">
        <v>1468</v>
      </c>
      <c r="Q8" s="976" t="str">
        <f>Etiquettes!$H$17</f>
        <v>Donnée collectée (valeur du flux ou coefficient)</v>
      </c>
    </row>
    <row r="9" spans="1:19">
      <c r="A9" t="str">
        <f>Produits!$B$11</f>
        <v>Graines collectées</v>
      </c>
      <c r="B9" t="str">
        <f>Secteurs!$B$44</f>
        <v>Semences certifiées</v>
      </c>
      <c r="C9" s="100">
        <f>'Bilans Colza - FAM'!K30</f>
        <v>10</v>
      </c>
      <c r="E9" t="str">
        <f>Etiquettes!$C$3</f>
        <v>kt</v>
      </c>
      <c r="F9" s="21" t="str">
        <f>Etiquettes!$H$6</f>
        <v>Colza</v>
      </c>
      <c r="G9" s="21" t="str">
        <f>Etiquettes!$H$5</f>
        <v>2015-16</v>
      </c>
      <c r="H9" t="str">
        <f>Etiquettes!$C$4</f>
        <v>France entière</v>
      </c>
      <c r="I9" s="21" t="s">
        <v>744</v>
      </c>
      <c r="K9" t="s">
        <v>741</v>
      </c>
      <c r="L9" s="101" t="s">
        <v>1480</v>
      </c>
      <c r="M9" s="21" t="str">
        <f>Etiquettes!$H$11</f>
        <v>Volume</v>
      </c>
      <c r="N9" s="101" t="str">
        <f t="shared" si="0"/>
        <v>Production de semences certifiées = 10 kt (Bilans par campagne - FranceAgriMer)</v>
      </c>
      <c r="O9" t="str">
        <f>Etiquettes!$J$15</f>
        <v>Probable</v>
      </c>
      <c r="P9" s="976" t="s">
        <v>1468</v>
      </c>
      <c r="Q9" s="976" t="str">
        <f>Etiquettes!$H$17</f>
        <v>Donnée collectée (valeur du flux ou coefficient)</v>
      </c>
    </row>
    <row r="10" spans="1:19">
      <c r="A10" t="str">
        <f>Secteurs!$B$2</f>
        <v>Récolte</v>
      </c>
      <c r="B10" t="str">
        <f>Produits!$B$2</f>
        <v>Graines récoltées</v>
      </c>
      <c r="C10" s="100">
        <f>'Bilans Colza - FAM'!O7</f>
        <v>3523.2988999999998</v>
      </c>
      <c r="E10" t="str">
        <f>Etiquettes!$C$3</f>
        <v>kt</v>
      </c>
      <c r="F10" s="21" t="str">
        <f>Etiquettes!$H$6</f>
        <v>Colza</v>
      </c>
      <c r="G10" s="21" t="str">
        <f>Etiquettes!$I$5</f>
        <v>2019-20</v>
      </c>
      <c r="H10" t="str">
        <f>Etiquettes!$C$4</f>
        <v>France entière</v>
      </c>
      <c r="I10" s="101" t="s">
        <v>722</v>
      </c>
      <c r="J10" s="101"/>
      <c r="K10" t="s">
        <v>741</v>
      </c>
      <c r="L10" s="101" t="s">
        <v>1480</v>
      </c>
      <c r="M10" s="21" t="str">
        <f>Etiquettes!$H$11</f>
        <v>Volume</v>
      </c>
      <c r="N10" s="101" t="str">
        <f t="shared" si="0"/>
        <v>Récolte = 3523 kt (Bilans par campagne - FranceAgriMer)</v>
      </c>
      <c r="O10" t="str">
        <f>Etiquettes!$H$15</f>
        <v>Fiable</v>
      </c>
      <c r="P10" s="976" t="s">
        <v>1468</v>
      </c>
      <c r="Q10" s="976" t="str">
        <f>Etiquettes!$H$17</f>
        <v>Donnée collectée (valeur du flux ou coefficient)</v>
      </c>
    </row>
    <row r="11" spans="1:19">
      <c r="A11" t="str">
        <f>Secteurs!$B$3</f>
        <v>Ferme</v>
      </c>
      <c r="B11" t="str">
        <f>Produits!$B$4</f>
        <v>Graines autoconsommées</v>
      </c>
      <c r="C11" s="858">
        <f>'Bilans Colza - FAM'!O9</f>
        <v>54.222700000000259</v>
      </c>
      <c r="E11" t="str">
        <f>Etiquettes!$C$3</f>
        <v>kt</v>
      </c>
      <c r="F11" s="21" t="str">
        <f>Etiquettes!$H$6</f>
        <v>Colza</v>
      </c>
      <c r="G11" s="21" t="str">
        <f>Etiquettes!$I$5</f>
        <v>2019-20</v>
      </c>
      <c r="H11" t="str">
        <f>Etiquettes!$C$4</f>
        <v>France entière</v>
      </c>
      <c r="I11" s="21" t="s">
        <v>742</v>
      </c>
      <c r="J11" s="101"/>
      <c r="K11" t="s">
        <v>741</v>
      </c>
      <c r="L11" s="101" t="s">
        <v>1480</v>
      </c>
      <c r="M11" s="21" t="str">
        <f>Etiquettes!$H$11</f>
        <v>Volume</v>
      </c>
      <c r="N11" s="101" t="str">
        <f t="shared" si="0"/>
        <v>Autoconsommation à la ferme = 54 kt (Bilans par campagne - FranceAgriMer)</v>
      </c>
      <c r="O11" t="str">
        <f>Etiquettes!$K$15</f>
        <v>Approximative</v>
      </c>
      <c r="P11" s="976" t="s">
        <v>1468</v>
      </c>
      <c r="Q11" s="976" t="str">
        <f>Etiquettes!$H$17</f>
        <v>Donnée collectée (valeur du flux ou coefficient)</v>
      </c>
    </row>
    <row r="12" spans="1:19">
      <c r="A12" t="str">
        <f>Produits!$B$2</f>
        <v>Graines récoltées</v>
      </c>
      <c r="B12" t="str">
        <f>Secteurs!$B$4</f>
        <v>OS</v>
      </c>
      <c r="C12" s="100">
        <f>'Bilans Colza - FAM'!O17</f>
        <v>3469.0761999999995</v>
      </c>
      <c r="E12" t="str">
        <f>Etiquettes!$C$3</f>
        <v>kt</v>
      </c>
      <c r="F12" s="21" t="str">
        <f>Etiquettes!$H$6</f>
        <v>Colza</v>
      </c>
      <c r="G12" s="21" t="str">
        <f>Etiquettes!$I$5</f>
        <v>2019-20</v>
      </c>
      <c r="H12" t="str">
        <f>Etiquettes!$C$4</f>
        <v>France entière</v>
      </c>
      <c r="I12" s="21" t="s">
        <v>743</v>
      </c>
      <c r="J12" s="101"/>
      <c r="K12" t="s">
        <v>741</v>
      </c>
      <c r="L12" s="101" t="s">
        <v>1480</v>
      </c>
      <c r="M12" s="21" t="str">
        <f>Etiquettes!$H$11</f>
        <v>Volume</v>
      </c>
      <c r="N12" s="101" t="str">
        <f t="shared" si="0"/>
        <v>Collecte = 3469 kt (Bilans par campagne - FranceAgriMer)</v>
      </c>
      <c r="O12" t="str">
        <f>Etiquettes!$I$15</f>
        <v>Robuste</v>
      </c>
      <c r="P12" s="976" t="s">
        <v>1468</v>
      </c>
      <c r="Q12" s="976" t="str">
        <f>Etiquettes!$H$17</f>
        <v>Donnée collectée (valeur du flux ou coefficient)</v>
      </c>
    </row>
    <row r="13" spans="1:19">
      <c r="A13" t="str">
        <f>Produits!$B$7</f>
        <v>Stock initial collecteurs</v>
      </c>
      <c r="B13" t="str">
        <f>Secteurs!$B$4</f>
        <v>OS</v>
      </c>
      <c r="C13" s="100">
        <f>'Bilans Colza - FAM'!N40</f>
        <v>191</v>
      </c>
      <c r="E13" t="str">
        <f>Etiquettes!$C$3</f>
        <v>kt</v>
      </c>
      <c r="F13" s="21" t="str">
        <f>Etiquettes!$H$6</f>
        <v>Colza</v>
      </c>
      <c r="G13" s="21" t="str">
        <f>Etiquettes!$I$5</f>
        <v>2019-20</v>
      </c>
      <c r="H13" t="str">
        <f>Etiquettes!$C$4</f>
        <v>France entière</v>
      </c>
      <c r="I13" s="21" t="s">
        <v>712</v>
      </c>
      <c r="J13" s="101"/>
      <c r="K13" t="s">
        <v>741</v>
      </c>
      <c r="L13" s="101" t="s">
        <v>1480</v>
      </c>
      <c r="M13" s="21" t="str">
        <f>Etiquettes!$H$11</f>
        <v>Volume</v>
      </c>
      <c r="N13" s="101" t="str">
        <f t="shared" si="0"/>
        <v>Stock initial collecteurs = 191 kt (Bilans par campagne - FranceAgriMer)</v>
      </c>
      <c r="O13" t="str">
        <f>Etiquettes!$I$15</f>
        <v>Robuste</v>
      </c>
      <c r="P13" s="976" t="s">
        <v>1468</v>
      </c>
      <c r="Q13" s="976" t="str">
        <f>Etiquettes!$H$17</f>
        <v>Donnée collectée (valeur du flux ou coefficient)</v>
      </c>
    </row>
    <row r="14" spans="1:19">
      <c r="A14" t="str">
        <f>Secteurs!$B$4</f>
        <v>OS</v>
      </c>
      <c r="B14" t="str">
        <f>Produits!$B$10</f>
        <v>Stock final collecteurs</v>
      </c>
      <c r="C14" s="100">
        <f>'Bilans Colza - FAM'!O40</f>
        <v>145.63729999999998</v>
      </c>
      <c r="E14" t="str">
        <f>Etiquettes!$C$3</f>
        <v>kt</v>
      </c>
      <c r="F14" s="21" t="str">
        <f>Etiquettes!$H$6</f>
        <v>Colza</v>
      </c>
      <c r="G14" s="21" t="str">
        <f>Etiquettes!$I$5</f>
        <v>2019-20</v>
      </c>
      <c r="H14" t="str">
        <f>Etiquettes!$C$4</f>
        <v>France entière</v>
      </c>
      <c r="I14" s="21" t="s">
        <v>715</v>
      </c>
      <c r="J14" s="101"/>
      <c r="K14" t="s">
        <v>741</v>
      </c>
      <c r="L14" s="101" t="s">
        <v>1480</v>
      </c>
      <c r="M14" s="21" t="str">
        <f>Etiquettes!$H$11</f>
        <v>Volume</v>
      </c>
      <c r="N14" s="101" t="str">
        <f t="shared" si="0"/>
        <v>Stock final collecteurs = 146 kt (Bilans par campagne - FranceAgriMer)</v>
      </c>
      <c r="O14" t="str">
        <f>Etiquettes!$I$15</f>
        <v>Robuste</v>
      </c>
      <c r="P14" s="976" t="s">
        <v>1468</v>
      </c>
      <c r="Q14" s="976" t="str">
        <f>Etiquettes!$H$17</f>
        <v>Donnée collectée (valeur du flux ou coefficient)</v>
      </c>
    </row>
    <row r="15" spans="1:19">
      <c r="A15" t="str">
        <f>Produits!$B$11</f>
        <v>Graines collectées</v>
      </c>
      <c r="B15" t="str">
        <f>Secteurs!$B$5</f>
        <v>Trituration</v>
      </c>
      <c r="C15" s="100">
        <f>'Bilans Colza - FAM'!O28</f>
        <v>3893.6621219999997</v>
      </c>
      <c r="E15" t="str">
        <f>Etiquettes!$C$3</f>
        <v>kt</v>
      </c>
      <c r="F15" s="21" t="str">
        <f>Etiquettes!$H$6</f>
        <v>Colza</v>
      </c>
      <c r="G15" s="21" t="str">
        <f>Etiquettes!$I$5</f>
        <v>2019-20</v>
      </c>
      <c r="H15" t="str">
        <f>Etiquettes!$C$4</f>
        <v>France entière</v>
      </c>
      <c r="I15" s="21" t="s">
        <v>1009</v>
      </c>
      <c r="K15" t="s">
        <v>741</v>
      </c>
      <c r="L15" s="101" t="s">
        <v>1480</v>
      </c>
      <c r="M15" s="21" t="str">
        <f>Etiquettes!$H$11</f>
        <v>Volume</v>
      </c>
      <c r="N15" s="101" t="str">
        <f t="shared" si="0"/>
        <v>Consommation de graines par la Trituration = 3894 kt (Bilans par campagne - FranceAgriMer)</v>
      </c>
      <c r="O15" t="str">
        <f>Etiquettes!$I$15</f>
        <v>Robuste</v>
      </c>
      <c r="P15" s="976" t="s">
        <v>1468</v>
      </c>
      <c r="Q15" s="976" t="str">
        <f>Etiquettes!$H$17</f>
        <v>Donnée collectée (valeur du flux ou coefficient)</v>
      </c>
    </row>
    <row r="16" spans="1:19">
      <c r="A16" t="str">
        <f>Produits!$B$11</f>
        <v>Graines collectées</v>
      </c>
      <c r="B16" t="str">
        <f>Secteurs!$B$24</f>
        <v>FAB</v>
      </c>
      <c r="C16" s="100">
        <f>'Bilans Colza - FAM'!O29</f>
        <v>20.630311000000003</v>
      </c>
      <c r="E16" t="str">
        <f>Etiquettes!$C$3</f>
        <v>kt</v>
      </c>
      <c r="F16" s="21" t="str">
        <f>Etiquettes!$H$6</f>
        <v>Colza</v>
      </c>
      <c r="G16" s="21" t="str">
        <f>Etiquettes!$I$5</f>
        <v>2019-20</v>
      </c>
      <c r="H16" t="str">
        <f>Etiquettes!$C$4</f>
        <v>France entière</v>
      </c>
      <c r="I16" s="21" t="s">
        <v>1011</v>
      </c>
      <c r="K16" t="s">
        <v>741</v>
      </c>
      <c r="L16" s="101" t="s">
        <v>1480</v>
      </c>
      <c r="M16" s="21" t="str">
        <f>Etiquettes!$H$11</f>
        <v>Volume</v>
      </c>
      <c r="N16" s="101" t="str">
        <f t="shared" si="0"/>
        <v>Consommation de graines par les FAB = 21 kt (Bilans par campagne - FranceAgriMer)</v>
      </c>
      <c r="O16" t="str">
        <f>Etiquettes!$J$15</f>
        <v>Probable</v>
      </c>
      <c r="P16" s="976" t="s">
        <v>1468</v>
      </c>
      <c r="Q16" s="976" t="str">
        <f>Etiquettes!$H$17</f>
        <v>Donnée collectée (valeur du flux ou coefficient)</v>
      </c>
    </row>
    <row r="17" spans="1:17">
      <c r="A17" t="str">
        <f>Produits!$B$11</f>
        <v>Graines collectées</v>
      </c>
      <c r="B17" t="str">
        <f>Secteurs!$B$44</f>
        <v>Semences certifiées</v>
      </c>
      <c r="C17" s="100">
        <f>'Bilans Colza - FAM'!O30</f>
        <v>5.1079999999999997</v>
      </c>
      <c r="E17" t="str">
        <f>Etiquettes!$C$3</f>
        <v>kt</v>
      </c>
      <c r="F17" s="21" t="str">
        <f>Etiquettes!$H$6</f>
        <v>Colza</v>
      </c>
      <c r="G17" s="21" t="str">
        <f>Etiquettes!$I$5</f>
        <v>2019-20</v>
      </c>
      <c r="H17" t="str">
        <f>Etiquettes!$C$4</f>
        <v>France entière</v>
      </c>
      <c r="I17" s="21" t="s">
        <v>744</v>
      </c>
      <c r="K17" t="s">
        <v>741</v>
      </c>
      <c r="L17" s="101" t="s">
        <v>1480</v>
      </c>
      <c r="M17" s="21" t="str">
        <f>Etiquettes!$H$11</f>
        <v>Volume</v>
      </c>
      <c r="N17" s="101" t="str">
        <f t="shared" si="0"/>
        <v>Production de semences certifiées = 5 kt (Bilans par campagne - FranceAgriMer)</v>
      </c>
      <c r="O17" t="str">
        <f>Etiquettes!$J$15</f>
        <v>Probable</v>
      </c>
      <c r="P17" s="976" t="s">
        <v>1468</v>
      </c>
      <c r="Q17" s="976" t="str">
        <f>Etiquettes!$H$17</f>
        <v>Donnée collectée (valeur du flux ou coefficient)</v>
      </c>
    </row>
    <row r="18" spans="1:17">
      <c r="A18" t="str">
        <f>Secteurs!$B$2</f>
        <v>Récolte</v>
      </c>
      <c r="B18" t="str">
        <f>Produits!$B$2</f>
        <v>Graines récoltées</v>
      </c>
      <c r="C18" s="100">
        <f>'Bilans Colza - FAM'!S7</f>
        <v>4276.8937999999998</v>
      </c>
      <c r="E18" t="str">
        <f>Etiquettes!$C$3</f>
        <v>kt</v>
      </c>
      <c r="F18" s="21" t="str">
        <f>Etiquettes!$H$6</f>
        <v>Colza</v>
      </c>
      <c r="G18" s="21" t="str">
        <f>Etiquettes!$J$5</f>
        <v>2023-24</v>
      </c>
      <c r="H18" t="str">
        <f>Etiquettes!$C$4</f>
        <v>France entière</v>
      </c>
      <c r="I18" s="101" t="s">
        <v>722</v>
      </c>
      <c r="J18" s="101"/>
      <c r="K18" t="s">
        <v>741</v>
      </c>
      <c r="L18" s="101" t="s">
        <v>1480</v>
      </c>
      <c r="M18" s="21" t="str">
        <f>Etiquettes!$H$11</f>
        <v>Volume</v>
      </c>
      <c r="N18" s="101" t="str">
        <f t="shared" si="0"/>
        <v>Récolte = 4277 kt (Bilans par campagne - FranceAgriMer)</v>
      </c>
      <c r="O18" t="str">
        <f>Etiquettes!$H$15</f>
        <v>Fiable</v>
      </c>
      <c r="P18" s="976" t="s">
        <v>1468</v>
      </c>
      <c r="Q18" s="976" t="str">
        <f>Etiquettes!$H$17</f>
        <v>Donnée collectée (valeur du flux ou coefficient)</v>
      </c>
    </row>
    <row r="19" spans="1:17">
      <c r="A19" t="str">
        <f>Secteurs!$B$3</f>
        <v>Ferme</v>
      </c>
      <c r="B19" t="str">
        <f>Produits!$B$4</f>
        <v>Graines autoconsommées</v>
      </c>
      <c r="C19" s="858">
        <f>'Bilans Colza - FAM'!S9</f>
        <v>84</v>
      </c>
      <c r="E19" t="str">
        <f>Etiquettes!$C$3</f>
        <v>kt</v>
      </c>
      <c r="F19" s="21" t="str">
        <f>Etiquettes!$H$6</f>
        <v>Colza</v>
      </c>
      <c r="G19" s="21" t="str">
        <f>Etiquettes!$J$5</f>
        <v>2023-24</v>
      </c>
      <c r="H19" t="str">
        <f>Etiquettes!$C$4</f>
        <v>France entière</v>
      </c>
      <c r="I19" s="21" t="s">
        <v>742</v>
      </c>
      <c r="J19" s="101"/>
      <c r="K19" t="s">
        <v>741</v>
      </c>
      <c r="L19" s="101" t="s">
        <v>1480</v>
      </c>
      <c r="M19" s="21" t="str">
        <f>Etiquettes!$H$11</f>
        <v>Volume</v>
      </c>
      <c r="N19" s="101" t="str">
        <f t="shared" si="0"/>
        <v>Autoconsommation à la ferme = 84 kt (Bilans par campagne - FranceAgriMer)</v>
      </c>
      <c r="O19" t="str">
        <f>Etiquettes!$K$15</f>
        <v>Approximative</v>
      </c>
      <c r="P19" s="976" t="s">
        <v>1468</v>
      </c>
      <c r="Q19" s="976" t="str">
        <f>Etiquettes!$H$17</f>
        <v>Donnée collectée (valeur du flux ou coefficient)</v>
      </c>
    </row>
    <row r="20" spans="1:17">
      <c r="A20" t="str">
        <f>Produits!$B$2</f>
        <v>Graines récoltées</v>
      </c>
      <c r="B20" t="str">
        <f>Secteurs!$B$4</f>
        <v>OS</v>
      </c>
      <c r="C20" s="100">
        <f>'Bilans Colza - FAM'!S17</f>
        <v>4192.8515000000007</v>
      </c>
      <c r="E20" t="str">
        <f>Etiquettes!$C$3</f>
        <v>kt</v>
      </c>
      <c r="F20" s="21" t="str">
        <f>Etiquettes!$H$6</f>
        <v>Colza</v>
      </c>
      <c r="G20" s="21" t="str">
        <f>Etiquettes!$J$5</f>
        <v>2023-24</v>
      </c>
      <c r="H20" t="str">
        <f>Etiquettes!$C$4</f>
        <v>France entière</v>
      </c>
      <c r="I20" s="21" t="s">
        <v>743</v>
      </c>
      <c r="J20" s="101"/>
      <c r="K20" t="s">
        <v>741</v>
      </c>
      <c r="L20" s="101" t="s">
        <v>1480</v>
      </c>
      <c r="M20" s="21" t="str">
        <f>Etiquettes!$H$11</f>
        <v>Volume</v>
      </c>
      <c r="N20" s="101" t="str">
        <f t="shared" si="0"/>
        <v>Collecte = 4193 kt (Bilans par campagne - FranceAgriMer)</v>
      </c>
      <c r="O20" t="str">
        <f>Etiquettes!$I$15</f>
        <v>Robuste</v>
      </c>
      <c r="P20" s="976" t="s">
        <v>1468</v>
      </c>
      <c r="Q20" s="976" t="str">
        <f>Etiquettes!$H$17</f>
        <v>Donnée collectée (valeur du flux ou coefficient)</v>
      </c>
    </row>
    <row r="21" spans="1:17">
      <c r="A21" t="str">
        <f>Produits!$B$7</f>
        <v>Stock initial collecteurs</v>
      </c>
      <c r="B21" t="str">
        <f>Secteurs!$B$4</f>
        <v>OS</v>
      </c>
      <c r="C21" s="100">
        <f>'Bilans Colza - FAM'!R40</f>
        <v>172.8109</v>
      </c>
      <c r="E21" t="str">
        <f>Etiquettes!$C$3</f>
        <v>kt</v>
      </c>
      <c r="F21" s="21" t="str">
        <f>Etiquettes!$H$6</f>
        <v>Colza</v>
      </c>
      <c r="G21" s="21" t="str">
        <f>Etiquettes!$J$5</f>
        <v>2023-24</v>
      </c>
      <c r="H21" t="str">
        <f>Etiquettes!$C$4</f>
        <v>France entière</v>
      </c>
      <c r="I21" s="21" t="s">
        <v>712</v>
      </c>
      <c r="J21" s="101"/>
      <c r="K21" t="s">
        <v>741</v>
      </c>
      <c r="L21" s="101" t="s">
        <v>1480</v>
      </c>
      <c r="M21" s="21" t="str">
        <f>Etiquettes!$H$11</f>
        <v>Volume</v>
      </c>
      <c r="N21" s="101" t="str">
        <f t="shared" si="0"/>
        <v>Stock initial collecteurs = 173 kt (Bilans par campagne - FranceAgriMer)</v>
      </c>
      <c r="O21" t="str">
        <f>Etiquettes!$I$15</f>
        <v>Robuste</v>
      </c>
      <c r="P21" s="976" t="s">
        <v>1468</v>
      </c>
      <c r="Q21" s="976" t="str">
        <f>Etiquettes!$H$17</f>
        <v>Donnée collectée (valeur du flux ou coefficient)</v>
      </c>
    </row>
    <row r="22" spans="1:17">
      <c r="A22" t="str">
        <f>Secteurs!$B$4</f>
        <v>OS</v>
      </c>
      <c r="B22" t="str">
        <f>Produits!$B$10</f>
        <v>Stock final collecteurs</v>
      </c>
      <c r="C22" s="100">
        <f>'Bilans Colza - FAM'!S40</f>
        <v>224.56129999999999</v>
      </c>
      <c r="E22" t="str">
        <f>Etiquettes!$C$3</f>
        <v>kt</v>
      </c>
      <c r="F22" s="21" t="str">
        <f>Etiquettes!$H$6</f>
        <v>Colza</v>
      </c>
      <c r="G22" s="21" t="str">
        <f>Etiquettes!$J$5</f>
        <v>2023-24</v>
      </c>
      <c r="H22" t="str">
        <f>Etiquettes!$C$4</f>
        <v>France entière</v>
      </c>
      <c r="I22" s="21" t="s">
        <v>715</v>
      </c>
      <c r="J22" s="101"/>
      <c r="K22" t="s">
        <v>741</v>
      </c>
      <c r="L22" s="101" t="s">
        <v>1480</v>
      </c>
      <c r="M22" s="21" t="str">
        <f>Etiquettes!$H$11</f>
        <v>Volume</v>
      </c>
      <c r="N22" s="101" t="str">
        <f t="shared" si="0"/>
        <v>Stock final collecteurs = 225 kt (Bilans par campagne - FranceAgriMer)</v>
      </c>
      <c r="O22" t="str">
        <f>Etiquettes!$I$15</f>
        <v>Robuste</v>
      </c>
      <c r="P22" s="976" t="s">
        <v>1468</v>
      </c>
      <c r="Q22" s="976" t="str">
        <f>Etiquettes!$H$17</f>
        <v>Donnée collectée (valeur du flux ou coefficient)</v>
      </c>
    </row>
    <row r="23" spans="1:17">
      <c r="A23" t="str">
        <f>Produits!$B$11</f>
        <v>Graines collectées</v>
      </c>
      <c r="B23" t="str">
        <f>Secteurs!$B$5</f>
        <v>Trituration</v>
      </c>
      <c r="C23" s="100">
        <f>'Bilans Colza - FAM'!S28</f>
        <v>4207.1141350000016</v>
      </c>
      <c r="E23" t="str">
        <f>Etiquettes!$C$3</f>
        <v>kt</v>
      </c>
      <c r="F23" s="21" t="str">
        <f>Etiquettes!$H$6</f>
        <v>Colza</v>
      </c>
      <c r="G23" s="21" t="str">
        <f>Etiquettes!$J$5</f>
        <v>2023-24</v>
      </c>
      <c r="H23" t="str">
        <f>Etiquettes!$C$4</f>
        <v>France entière</v>
      </c>
      <c r="I23" s="21" t="s">
        <v>1009</v>
      </c>
      <c r="K23" t="s">
        <v>741</v>
      </c>
      <c r="L23" s="101" t="s">
        <v>1480</v>
      </c>
      <c r="M23" s="21" t="str">
        <f>Etiquettes!$H$11</f>
        <v>Volume</v>
      </c>
      <c r="N23" s="101" t="str">
        <f t="shared" si="0"/>
        <v>Consommation de graines par la Trituration = 4207 kt (Bilans par campagne - FranceAgriMer)</v>
      </c>
      <c r="O23" t="str">
        <f>Etiquettes!$I$15</f>
        <v>Robuste</v>
      </c>
      <c r="P23" s="976" t="s">
        <v>1468</v>
      </c>
      <c r="Q23" s="976" t="str">
        <f>Etiquettes!$H$17</f>
        <v>Donnée collectée (valeur du flux ou coefficient)</v>
      </c>
    </row>
    <row r="24" spans="1:17">
      <c r="A24" t="str">
        <f>Produits!$B$11</f>
        <v>Graines collectées</v>
      </c>
      <c r="B24" t="str">
        <f>Secteurs!$B$24</f>
        <v>FAB</v>
      </c>
      <c r="C24" s="100">
        <f>'Bilans Colza - FAM'!S29</f>
        <v>19.029999999999998</v>
      </c>
      <c r="E24" t="str">
        <f>Etiquettes!$C$3</f>
        <v>kt</v>
      </c>
      <c r="F24" s="21" t="str">
        <f>Etiquettes!$H$6</f>
        <v>Colza</v>
      </c>
      <c r="G24" s="21" t="str">
        <f>Etiquettes!$J$5</f>
        <v>2023-24</v>
      </c>
      <c r="H24" t="str">
        <f>Etiquettes!$C$4</f>
        <v>France entière</v>
      </c>
      <c r="I24" s="21" t="s">
        <v>1011</v>
      </c>
      <c r="K24" t="s">
        <v>741</v>
      </c>
      <c r="L24" s="101" t="s">
        <v>1480</v>
      </c>
      <c r="M24" s="21" t="str">
        <f>Etiquettes!$H$11</f>
        <v>Volume</v>
      </c>
      <c r="N24" s="101" t="str">
        <f t="shared" si="0"/>
        <v>Consommation de graines par les FAB = 19 kt (Bilans par campagne - FranceAgriMer)</v>
      </c>
      <c r="O24" t="str">
        <f>Etiquettes!$J$15</f>
        <v>Probable</v>
      </c>
      <c r="P24" s="976" t="s">
        <v>1468</v>
      </c>
      <c r="Q24" s="976" t="str">
        <f>Etiquettes!$H$17</f>
        <v>Donnée collectée (valeur du flux ou coefficient)</v>
      </c>
    </row>
    <row r="25" spans="1:17">
      <c r="A25" t="str">
        <f>Produits!$B$11</f>
        <v>Graines collectées</v>
      </c>
      <c r="B25" t="str">
        <f>Secteurs!$B$44</f>
        <v>Semences certifiées</v>
      </c>
      <c r="C25" s="100">
        <f>'Bilans Colza - FAM'!S30</f>
        <v>5.1207000000000003</v>
      </c>
      <c r="E25" t="str">
        <f>Etiquettes!$C$3</f>
        <v>kt</v>
      </c>
      <c r="F25" s="21" t="str">
        <f>Etiquettes!$H$6</f>
        <v>Colza</v>
      </c>
      <c r="G25" s="21" t="str">
        <f>Etiquettes!$J$5</f>
        <v>2023-24</v>
      </c>
      <c r="H25" t="str">
        <f>Etiquettes!$C$4</f>
        <v>France entière</v>
      </c>
      <c r="I25" s="21" t="s">
        <v>744</v>
      </c>
      <c r="K25" t="s">
        <v>741</v>
      </c>
      <c r="L25" s="101" t="s">
        <v>1480</v>
      </c>
      <c r="M25" s="21" t="str">
        <f>Etiquettes!$H$11</f>
        <v>Volume</v>
      </c>
      <c r="N25" s="101" t="str">
        <f t="shared" si="0"/>
        <v>Production de semences certifiées = 5 kt (Bilans par campagne - FranceAgriMer)</v>
      </c>
      <c r="O25" t="str">
        <f>Etiquettes!$J$15</f>
        <v>Probable</v>
      </c>
      <c r="P25" s="976" t="s">
        <v>1468</v>
      </c>
      <c r="Q25" s="976" t="str">
        <f>Etiquettes!$H$17</f>
        <v>Donnée collectée (valeur du flux ou coefficient)</v>
      </c>
    </row>
    <row r="26" spans="1:17">
      <c r="D26" s="100"/>
    </row>
    <row r="27" spans="1:17">
      <c r="D27" s="858"/>
    </row>
    <row r="28" spans="1:17">
      <c r="D28" s="100"/>
    </row>
    <row r="29" spans="1:17">
      <c r="D29" s="100"/>
    </row>
    <row r="30" spans="1:17">
      <c r="D30" s="100"/>
    </row>
    <row r="31" spans="1:17">
      <c r="D31" s="100"/>
    </row>
    <row r="32" spans="1:17">
      <c r="D32" s="100"/>
    </row>
    <row r="33" spans="4:4">
      <c r="D33" s="100"/>
    </row>
  </sheetData>
  <autoFilter ref="A1:S25" xr:uid="{71D91F72-ABCB-45B3-A58B-83AC516C66B9}"/>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1da35c6-efe3-499f-bfdd-69ff62f566e5" xsi:nil="true"/>
    <lcf76f155ced4ddcb4097134ff3c332f xmlns="253d9861-5057-4c6b-aa55-c1bece854d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A0A362C8B81F47807DE03BF445B4E9" ma:contentTypeVersion="13" ma:contentTypeDescription="Crée un document." ma:contentTypeScope="" ma:versionID="d1254b71788b6878b699fd3770298845">
  <xsd:schema xmlns:xsd="http://www.w3.org/2001/XMLSchema" xmlns:xs="http://www.w3.org/2001/XMLSchema" xmlns:p="http://schemas.microsoft.com/office/2006/metadata/properties" xmlns:ns2="253d9861-5057-4c6b-aa55-c1bece854d8d" xmlns:ns3="21da35c6-efe3-499f-bfdd-69ff62f566e5" targetNamespace="http://schemas.microsoft.com/office/2006/metadata/properties" ma:root="true" ma:fieldsID="54af3fc3e0e590547e78e6c79ba09db9" ns2:_="" ns3:_="">
    <xsd:import namespace="253d9861-5057-4c6b-aa55-c1bece854d8d"/>
    <xsd:import namespace="21da35c6-efe3-499f-bfdd-69ff62f56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d9861-5057-4c6b-aa55-c1bece854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6865b46-2695-4a22-9ac0-c3708c6513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da35c6-efe3-499f-bfdd-69ff62f566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cf948-5f3d-4d6e-b423-b884b12e46e0}" ma:internalName="TaxCatchAll" ma:showField="CatchAllData" ma:web="21da35c6-efe3-499f-bfdd-69ff62f566e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2F2A84-39C9-4B9E-96AA-3F1D74D30A97}">
  <ds:schemaRefs>
    <ds:schemaRef ds:uri="http://schemas.microsoft.com/sharepoint/v3/contenttype/forms"/>
  </ds:schemaRefs>
</ds:datastoreItem>
</file>

<file path=customXml/itemProps2.xml><?xml version="1.0" encoding="utf-8"?>
<ds:datastoreItem xmlns:ds="http://schemas.openxmlformats.org/officeDocument/2006/customXml" ds:itemID="{B132937C-B8DF-4C98-A19A-F890683F7075}">
  <ds:schemaRefs>
    <ds:schemaRef ds:uri="http://schemas.microsoft.com/office/2006/metadata/properties"/>
    <ds:schemaRef ds:uri="http://schemas.microsoft.com/office/infopath/2007/PartnerControls"/>
    <ds:schemaRef ds:uri="21da35c6-efe3-499f-bfdd-69ff62f566e5"/>
    <ds:schemaRef ds:uri="253d9861-5057-4c6b-aa55-c1bece854d8d"/>
  </ds:schemaRefs>
</ds:datastoreItem>
</file>

<file path=customXml/itemProps3.xml><?xml version="1.0" encoding="utf-8"?>
<ds:datastoreItem xmlns:ds="http://schemas.openxmlformats.org/officeDocument/2006/customXml" ds:itemID="{9DD7D34A-1942-48D7-95E7-C6A539335D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3d9861-5057-4c6b-aa55-c1bece854d8d"/>
    <ds:schemaRef ds:uri="21da35c6-efe3-499f-bfdd-69ff62f5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80</vt:i4>
      </vt:variant>
    </vt:vector>
  </HeadingPairs>
  <TitlesOfParts>
    <vt:vector size="80" baseType="lpstr">
      <vt:lpstr>Informations générales</vt:lpstr>
      <vt:lpstr>SOMMAIRE</vt:lpstr>
      <vt:lpstr>Lecture du fichier</vt:lpstr>
      <vt:lpstr>Etiquettes</vt:lpstr>
      <vt:lpstr>Produits</vt:lpstr>
      <vt:lpstr>Secteurs</vt:lpstr>
      <vt:lpstr>Données</vt:lpstr>
      <vt:lpstr> Données</vt:lpstr>
      <vt:lpstr>Données </vt:lpstr>
      <vt:lpstr>Bilans Colza - FAM</vt:lpstr>
      <vt:lpstr>Données  </vt:lpstr>
      <vt:lpstr>BIlans Tournesol - FAM</vt:lpstr>
      <vt:lpstr>Données   </vt:lpstr>
      <vt:lpstr>Bilans Soja - FAM</vt:lpstr>
      <vt:lpstr>Données    </vt:lpstr>
      <vt:lpstr>Bilans Pois - FAM</vt:lpstr>
      <vt:lpstr>Données     </vt:lpstr>
      <vt:lpstr>Bilans Féverole - FAM</vt:lpstr>
      <vt:lpstr>Contraintes</vt:lpstr>
      <vt:lpstr>  Données</vt:lpstr>
      <vt:lpstr>Issues de silo - ONRB</vt:lpstr>
      <vt:lpstr>Contraintes </vt:lpstr>
      <vt:lpstr>   Données</vt:lpstr>
      <vt:lpstr>Pertes ferme - TERRES UNIVIA</vt:lpstr>
      <vt:lpstr>Contraintes  </vt:lpstr>
      <vt:lpstr>    Données</vt:lpstr>
      <vt:lpstr>Prétraitement semences fermière</vt:lpstr>
      <vt:lpstr>Semences fermières - AGRESTE</vt:lpstr>
      <vt:lpstr>Données      </vt:lpstr>
      <vt:lpstr>Prétraitement échanges</vt:lpstr>
      <vt:lpstr>Comext mensuel - EUROSTAT</vt:lpstr>
      <vt:lpstr>Comext annuel - EUROSTAT</vt:lpstr>
      <vt:lpstr>Données       </vt:lpstr>
      <vt:lpstr>Contraintes   </vt:lpstr>
      <vt:lpstr>     Données</vt:lpstr>
      <vt:lpstr>Huiles et tourteaux - FEDIOL</vt:lpstr>
      <vt:lpstr>Contraintes    </vt:lpstr>
      <vt:lpstr>      Données</vt:lpstr>
      <vt:lpstr>Usages tourteaux - ONRB</vt:lpstr>
      <vt:lpstr>Données        </vt:lpstr>
      <vt:lpstr>Biocarburants - CARBURE</vt:lpstr>
      <vt:lpstr>Données         </vt:lpstr>
      <vt:lpstr>Conso huile GMS -NIELSEN</vt:lpstr>
      <vt:lpstr>Données          </vt:lpstr>
      <vt:lpstr>Marché olive - AFIDOL, FAM</vt:lpstr>
      <vt:lpstr>Récoltes olive - AGRESTE</vt:lpstr>
      <vt:lpstr>Données           </vt:lpstr>
      <vt:lpstr>Contraintes     </vt:lpstr>
      <vt:lpstr>       Données</vt:lpstr>
      <vt:lpstr>Prétraitement récolte, collecte</vt:lpstr>
      <vt:lpstr>Récoltes - AGRESTE</vt:lpstr>
      <vt:lpstr>Collectes, stocks - FAM</vt:lpstr>
      <vt:lpstr>Collectes, stocks protéa - FAM</vt:lpstr>
      <vt:lpstr>FAB - FAM</vt:lpstr>
      <vt:lpstr>FAB protéagineux - FAM</vt:lpstr>
      <vt:lpstr>Données            </vt:lpstr>
      <vt:lpstr>Contraintes      </vt:lpstr>
      <vt:lpstr>        Données</vt:lpstr>
      <vt:lpstr>Prétraitement consommation</vt:lpstr>
      <vt:lpstr>Consommation - OléoProtéines</vt:lpstr>
      <vt:lpstr>Contraintes       </vt:lpstr>
      <vt:lpstr>         Données</vt:lpstr>
      <vt:lpstr>Fab. ingrédients - Diverses</vt:lpstr>
      <vt:lpstr>Contraintes        </vt:lpstr>
      <vt:lpstr>           Données</vt:lpstr>
      <vt:lpstr>Rend. trituration-TERRES UNIVIA</vt:lpstr>
      <vt:lpstr>Contraintes         </vt:lpstr>
      <vt:lpstr>            Données</vt:lpstr>
      <vt:lpstr>Usages huiles - TERRES UNIVIA</vt:lpstr>
      <vt:lpstr>Contraintes          </vt:lpstr>
      <vt:lpstr>             Données</vt:lpstr>
      <vt:lpstr>Usages tourteaux -TERRES UNIVIA</vt:lpstr>
      <vt:lpstr>Pertes - Diverses</vt:lpstr>
      <vt:lpstr>Fabrication - PRODCOM</vt:lpstr>
      <vt:lpstr>Transformation - TERRES UNIVIA</vt:lpstr>
      <vt:lpstr>Alimentation animale - TERRES U</vt:lpstr>
      <vt:lpstr>Collecte bio - TERRES UNIVIA</vt:lpstr>
      <vt:lpstr>Données              </vt:lpstr>
      <vt:lpstr>Données               </vt:lpstr>
      <vt:lpstr>          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dcterms:created xsi:type="dcterms:W3CDTF">2025-02-05T18:47:16Z</dcterms:created>
  <dcterms:modified xsi:type="dcterms:W3CDTF">2026-05-15T14:06:36Z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y fmtid="{D5CDD505-2E9C-101B-9397-08002B2CF9AE}" pid="3" name="MediaServiceImageTags">
    <vt:lpwstr/>
  </property>
</Properties>
</file>