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ate1904="1"/>
  <mc:AlternateContent xmlns:mc="http://schemas.openxmlformats.org/markup-compatibility/2006">
    <mc:Choice Requires="x15">
      <x15ac:absPath xmlns:x15ac="http://schemas.microsoft.com/office/spreadsheetml/2010/11/ac" url="D:\Dev\dev_sankey_suite\MFAData\Filières\ForetBois\FranceRegions\"/>
    </mc:Choice>
  </mc:AlternateContent>
  <xr:revisionPtr revIDLastSave="0" documentId="13_ncr:1_{1182BEA9-026A-4A3F-81AE-DA295B7D24F3}" xr6:coauthVersionLast="47" xr6:coauthVersionMax="47" xr10:uidLastSave="{00000000-0000-0000-0000-000000000000}"/>
  <bookViews>
    <workbookView xWindow="-98" yWindow="-98" windowWidth="28996" windowHeight="15796" tabRatio="571" activeTab="4" xr2:uid="{00000000-000D-0000-FFFF-FFFF00000000}"/>
  </bookViews>
  <sheets>
    <sheet name="Etiquettes" sheetId="1" r:id="rId1"/>
    <sheet name="Produits" sheetId="2" r:id="rId2"/>
    <sheet name="Secteurs" sheetId="3" r:id="rId3"/>
    <sheet name="Echanges territoires" sheetId="4" r:id="rId4"/>
    <sheet name="TER" sheetId="8" r:id="rId5"/>
    <sheet name="Données" sheetId="6" r:id="rId6"/>
    <sheet name="Min Max" sheetId="9" r:id="rId7"/>
    <sheet name="Contraintes" sheetId="7" r:id="rId8"/>
    <sheet name="conversion" sheetId="10" r:id="rId9"/>
    <sheet name="InfraDensité" sheetId="11" r:id="rId10"/>
    <sheet name="Retrait" sheetId="12" r:id="rId11"/>
    <sheet name="Conversions" sheetId="13" r:id="rId12"/>
  </sheets>
  <externalReferences>
    <externalReference r:id="rId13"/>
    <externalReference r:id="rId14"/>
  </externalReferences>
  <definedNames>
    <definedName name="_xlnm._FilterDatabase" localSheetId="5" hidden="1">Données!$A$1:$H$97</definedName>
    <definedName name="_xlnm._FilterDatabase" localSheetId="1" hidden="1">Produits!$A$1:$J$118</definedName>
    <definedName name="conversions_domestiques">[1]Conversions!$B$3:$R$42</definedName>
    <definedName name="conversions_echanges">[1]Conversions!$B$43:$R$50</definedName>
    <definedName name="facteurs" localSheetId="9">InfraDensité!#REF!</definedName>
    <definedName name="facteurs" localSheetId="10">Retrait!#REF!</definedName>
    <definedName name="facteurs">Conversions!$K$3:$K$98</definedName>
    <definedName name="infra_d_f" localSheetId="11">Conversions!#REF!</definedName>
    <definedName name="infra_d_f" localSheetId="9">InfraDensité!$C$23</definedName>
    <definedName name="infra_d_f" localSheetId="10">Retrait!#REF!</definedName>
    <definedName name="infra_d_f">Conversions!#REF!</definedName>
    <definedName name="infra_d_f_bis">#REF!</definedName>
    <definedName name="infra_d_f_sankey">#REF!</definedName>
    <definedName name="infra_d_f2">#REF!</definedName>
    <definedName name="infra_d_r" localSheetId="11">Conversions!#REF!</definedName>
    <definedName name="infra_d_r" localSheetId="9">InfraDensité!$C$24</definedName>
    <definedName name="infra_d_r" localSheetId="10">Retrait!#REF!</definedName>
    <definedName name="infra_d_r">#REF!</definedName>
    <definedName name="infra_d_r_sankey">#REF!</definedName>
    <definedName name="infra_d_r2">#REF!</definedName>
    <definedName name="local" localSheetId="9">InfraDensité!#REF!</definedName>
    <definedName name="local" localSheetId="10">Retrait!#REF!</definedName>
    <definedName name="local">Conversions!$A$3:$A$98</definedName>
    <definedName name="produits" localSheetId="9">InfraDensité!#REF!</definedName>
    <definedName name="produits" localSheetId="10">Retrait!#REF!</definedName>
    <definedName name="produits">Conversions!$B$3:$B$98</definedName>
    <definedName name="retrait_v_f" localSheetId="11">Conversions!#REF!</definedName>
    <definedName name="retrait_v_f" localSheetId="9">InfraDensité!#REF!</definedName>
    <definedName name="retrait_v_f" localSheetId="10">Retrait!$E$23</definedName>
    <definedName name="retrait_v_f">#REF!</definedName>
    <definedName name="retrait_v_f_bis">#REF!</definedName>
    <definedName name="retrait_v_f_sankey">#REF!</definedName>
    <definedName name="retrait_v_f2">#REF!</definedName>
    <definedName name="retrait_v_r" localSheetId="11">Conversions!#REF!</definedName>
    <definedName name="retrait_v_r" localSheetId="9">InfraDensité!#REF!</definedName>
    <definedName name="retrait_v_r" localSheetId="10">Retrait!$E$24</definedName>
    <definedName name="retrait_v_r">#REF!</definedName>
    <definedName name="retrait_v_r_bis">#REF!</definedName>
    <definedName name="retrait_v_r_sankey">#REF!</definedName>
    <definedName name="retrait_v_r2">#REF!</definedName>
    <definedName name="unités" localSheetId="9">InfraDensité!#REF!</definedName>
    <definedName name="unités" localSheetId="10">Retrait!#REF!</definedName>
    <definedName name="unités">Conversions!$J$3:$J$98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98" i="13" l="1"/>
  <c r="M97" i="13"/>
  <c r="M96" i="13"/>
  <c r="M95" i="13"/>
  <c r="M94" i="13"/>
  <c r="M93" i="13"/>
  <c r="M92" i="13"/>
  <c r="M91" i="13"/>
  <c r="M90" i="13"/>
  <c r="M89" i="13"/>
  <c r="M88" i="13"/>
  <c r="M87" i="13"/>
  <c r="M86" i="13"/>
  <c r="M85" i="13"/>
  <c r="M84" i="13"/>
  <c r="M83" i="13"/>
  <c r="M82" i="13"/>
  <c r="M81" i="13"/>
  <c r="T77" i="13"/>
  <c r="S77" i="13"/>
  <c r="M77" i="13"/>
  <c r="E77" i="13"/>
  <c r="O77" i="13" s="1"/>
  <c r="T76" i="13"/>
  <c r="S76" i="13"/>
  <c r="M76" i="13"/>
  <c r="E76" i="13"/>
  <c r="O76" i="13" s="1"/>
  <c r="T75" i="13"/>
  <c r="S75" i="13"/>
  <c r="M75" i="13"/>
  <c r="E75" i="13"/>
  <c r="O75" i="13" s="1"/>
  <c r="M74" i="13"/>
  <c r="G74" i="13"/>
  <c r="E74" i="13"/>
  <c r="T73" i="13"/>
  <c r="S73" i="13"/>
  <c r="M73" i="13"/>
  <c r="E73" i="13"/>
  <c r="O73" i="13" s="1"/>
  <c r="R72" i="13"/>
  <c r="T72" i="13" s="1"/>
  <c r="M72" i="13"/>
  <c r="E72" i="13"/>
  <c r="O72" i="13" s="1"/>
  <c r="M71" i="13"/>
  <c r="E71" i="13"/>
  <c r="O71" i="13" s="1"/>
  <c r="D71" i="13"/>
  <c r="R71" i="13" s="1"/>
  <c r="S71" i="13" s="1"/>
  <c r="T70" i="13"/>
  <c r="S70" i="13"/>
  <c r="M70" i="13"/>
  <c r="E70" i="13"/>
  <c r="O70" i="13" s="1"/>
  <c r="I69" i="13"/>
  <c r="M69" i="13" s="1"/>
  <c r="E69" i="13"/>
  <c r="D69" i="13" s="1"/>
  <c r="O69" i="13" s="1"/>
  <c r="M68" i="13"/>
  <c r="I68" i="13"/>
  <c r="E68" i="13"/>
  <c r="D68" i="13" s="1"/>
  <c r="M67" i="13"/>
  <c r="I67" i="13"/>
  <c r="E67" i="13"/>
  <c r="D67" i="13" s="1"/>
  <c r="I66" i="13"/>
  <c r="M66" i="13" s="1"/>
  <c r="E66" i="13"/>
  <c r="D66" i="13" s="1"/>
  <c r="I65" i="13"/>
  <c r="M65" i="13" s="1"/>
  <c r="E65" i="13"/>
  <c r="D65" i="13" s="1"/>
  <c r="O65" i="13" s="1"/>
  <c r="M64" i="13"/>
  <c r="I64" i="13"/>
  <c r="E64" i="13"/>
  <c r="D64" i="13" s="1"/>
  <c r="O64" i="13" s="1"/>
  <c r="M63" i="13"/>
  <c r="I63" i="13"/>
  <c r="E63" i="13"/>
  <c r="D63" i="13" s="1"/>
  <c r="O63" i="13" s="1"/>
  <c r="I62" i="13"/>
  <c r="M62" i="13" s="1"/>
  <c r="E62" i="13"/>
  <c r="D62" i="13" s="1"/>
  <c r="O62" i="13" s="1"/>
  <c r="M61" i="13"/>
  <c r="I61" i="13"/>
  <c r="E61" i="13"/>
  <c r="D61" i="13" s="1"/>
  <c r="O61" i="13" s="1"/>
  <c r="M60" i="13"/>
  <c r="I60" i="13"/>
  <c r="E60" i="13"/>
  <c r="D60" i="13" s="1"/>
  <c r="O60" i="13" s="1"/>
  <c r="I59" i="13"/>
  <c r="M59" i="13" s="1"/>
  <c r="E59" i="13"/>
  <c r="D59" i="13" s="1"/>
  <c r="O59" i="13" s="1"/>
  <c r="M58" i="13"/>
  <c r="I58" i="13"/>
  <c r="E58" i="13"/>
  <c r="D58" i="13" s="1"/>
  <c r="O58" i="13" s="1"/>
  <c r="M57" i="13"/>
  <c r="I57" i="13"/>
  <c r="G57" i="13"/>
  <c r="G62" i="13" s="1"/>
  <c r="F57" i="13"/>
  <c r="F62" i="13" s="1"/>
  <c r="E57" i="13"/>
  <c r="D57" i="13" s="1"/>
  <c r="O57" i="13" s="1"/>
  <c r="I56" i="13"/>
  <c r="E56" i="13"/>
  <c r="D56" i="13" s="1"/>
  <c r="O56" i="13" s="1"/>
  <c r="M55" i="13"/>
  <c r="I55" i="13"/>
  <c r="E55" i="13"/>
  <c r="D55" i="13" s="1"/>
  <c r="R55" i="13" s="1"/>
  <c r="I54" i="13"/>
  <c r="M54" i="13" s="1"/>
  <c r="E54" i="13"/>
  <c r="D54" i="13" s="1"/>
  <c r="I53" i="13"/>
  <c r="M53" i="13" s="1"/>
  <c r="E53" i="13"/>
  <c r="D53" i="13" s="1"/>
  <c r="I52" i="13"/>
  <c r="M52" i="13" s="1"/>
  <c r="E52" i="13"/>
  <c r="D52" i="13" s="1"/>
  <c r="O52" i="13" s="1"/>
  <c r="M51" i="13"/>
  <c r="I51" i="13"/>
  <c r="E51" i="13"/>
  <c r="D51" i="13" s="1"/>
  <c r="I50" i="13"/>
  <c r="M50" i="13" s="1"/>
  <c r="E50" i="13"/>
  <c r="D50" i="13" s="1"/>
  <c r="I49" i="13"/>
  <c r="M49" i="13" s="1"/>
  <c r="E49" i="13"/>
  <c r="D49" i="13" s="1"/>
  <c r="M48" i="13"/>
  <c r="I48" i="13"/>
  <c r="E48" i="13"/>
  <c r="D48" i="13" s="1"/>
  <c r="M47" i="13"/>
  <c r="I47" i="13"/>
  <c r="E47" i="13"/>
  <c r="D47" i="13" s="1"/>
  <c r="I46" i="13"/>
  <c r="E46" i="13"/>
  <c r="D46" i="13" s="1"/>
  <c r="O46" i="13" s="1"/>
  <c r="I45" i="13"/>
  <c r="M45" i="13" s="1"/>
  <c r="E45" i="13"/>
  <c r="D45" i="13" s="1"/>
  <c r="R45" i="13" s="1"/>
  <c r="M44" i="13"/>
  <c r="I44" i="13"/>
  <c r="E44" i="13"/>
  <c r="D44" i="13" s="1"/>
  <c r="M43" i="13"/>
  <c r="I43" i="13"/>
  <c r="E43" i="13"/>
  <c r="D43" i="13" s="1"/>
  <c r="M42" i="13"/>
  <c r="I42" i="13"/>
  <c r="E42" i="13"/>
  <c r="D42" i="13" s="1"/>
  <c r="R42" i="13" s="1"/>
  <c r="S42" i="13" s="1"/>
  <c r="I41" i="13"/>
  <c r="M41" i="13" s="1"/>
  <c r="E41" i="13"/>
  <c r="D41" i="13" s="1"/>
  <c r="R41" i="13" s="1"/>
  <c r="T41" i="13" s="1"/>
  <c r="M40" i="13"/>
  <c r="I40" i="13"/>
  <c r="E40" i="13"/>
  <c r="D40" i="13" s="1"/>
  <c r="M39" i="13"/>
  <c r="I39" i="13"/>
  <c r="E39" i="13"/>
  <c r="D39" i="13" s="1"/>
  <c r="R39" i="13" s="1"/>
  <c r="L39" i="13" s="1"/>
  <c r="I38" i="13"/>
  <c r="M38" i="13" s="1"/>
  <c r="E38" i="13"/>
  <c r="D38" i="13" s="1"/>
  <c r="I37" i="13"/>
  <c r="M37" i="13" s="1"/>
  <c r="E37" i="13"/>
  <c r="D37" i="13" s="1"/>
  <c r="R37" i="13" s="1"/>
  <c r="I36" i="13"/>
  <c r="M36" i="13" s="1"/>
  <c r="E36" i="13"/>
  <c r="D36" i="13" s="1"/>
  <c r="R36" i="13" s="1"/>
  <c r="M35" i="13"/>
  <c r="I35" i="13"/>
  <c r="E35" i="13"/>
  <c r="D35" i="13" s="1"/>
  <c r="M34" i="13"/>
  <c r="I34" i="13"/>
  <c r="E34" i="13"/>
  <c r="D34" i="13" s="1"/>
  <c r="O34" i="13" s="1"/>
  <c r="M33" i="13"/>
  <c r="I33" i="13"/>
  <c r="E33" i="13"/>
  <c r="D33" i="13" s="1"/>
  <c r="R33" i="13" s="1"/>
  <c r="T33" i="13" s="1"/>
  <c r="M32" i="13"/>
  <c r="I32" i="13"/>
  <c r="E32" i="13"/>
  <c r="D32" i="13" s="1"/>
  <c r="O32" i="13" s="1"/>
  <c r="I31" i="13"/>
  <c r="M31" i="13" s="1"/>
  <c r="E31" i="13"/>
  <c r="D31" i="13" s="1"/>
  <c r="R31" i="13" s="1"/>
  <c r="I30" i="13"/>
  <c r="M30" i="13" s="1"/>
  <c r="E30" i="13"/>
  <c r="D30" i="13" s="1"/>
  <c r="O30" i="13" s="1"/>
  <c r="M29" i="13"/>
  <c r="I29" i="13"/>
  <c r="E29" i="13"/>
  <c r="D29" i="13" s="1"/>
  <c r="O29" i="13" s="1"/>
  <c r="I28" i="13"/>
  <c r="M28" i="13" s="1"/>
  <c r="E28" i="13"/>
  <c r="D28" i="13" s="1"/>
  <c r="I27" i="13"/>
  <c r="M27" i="13" s="1"/>
  <c r="E27" i="13"/>
  <c r="D27" i="13" s="1"/>
  <c r="O27" i="13" s="1"/>
  <c r="I26" i="13"/>
  <c r="M26" i="13" s="1"/>
  <c r="E26" i="13"/>
  <c r="D26" i="13" s="1"/>
  <c r="O26" i="13" s="1"/>
  <c r="I25" i="13"/>
  <c r="M25" i="13" s="1"/>
  <c r="E25" i="13"/>
  <c r="D25" i="13" s="1"/>
  <c r="O25" i="13" s="1"/>
  <c r="M24" i="13"/>
  <c r="I24" i="13"/>
  <c r="E24" i="13"/>
  <c r="D24" i="13" s="1"/>
  <c r="N24" i="13" s="1"/>
  <c r="L24" i="13" s="1"/>
  <c r="I23" i="13"/>
  <c r="M23" i="13" s="1"/>
  <c r="E23" i="13"/>
  <c r="D23" i="13" s="1"/>
  <c r="M22" i="13"/>
  <c r="I22" i="13"/>
  <c r="E22" i="13"/>
  <c r="D22" i="13" s="1"/>
  <c r="M21" i="13"/>
  <c r="I21" i="13"/>
  <c r="E21" i="13"/>
  <c r="D21" i="13" s="1"/>
  <c r="M20" i="13"/>
  <c r="I20" i="13"/>
  <c r="E20" i="13"/>
  <c r="D20" i="13" s="1"/>
  <c r="R20" i="13" s="1"/>
  <c r="M19" i="13"/>
  <c r="I19" i="13"/>
  <c r="E19" i="13"/>
  <c r="D19" i="13" s="1"/>
  <c r="R19" i="13" s="1"/>
  <c r="I18" i="13"/>
  <c r="M18" i="13" s="1"/>
  <c r="E18" i="13"/>
  <c r="D18" i="13" s="1"/>
  <c r="M17" i="13"/>
  <c r="I17" i="13"/>
  <c r="E17" i="13"/>
  <c r="D17" i="13" s="1"/>
  <c r="R17" i="13" s="1"/>
  <c r="M16" i="13"/>
  <c r="I16" i="13"/>
  <c r="E16" i="13"/>
  <c r="D16" i="13" s="1"/>
  <c r="M15" i="13"/>
  <c r="I15" i="13"/>
  <c r="E15" i="13"/>
  <c r="D15" i="13" s="1"/>
  <c r="I14" i="13"/>
  <c r="M14" i="13" s="1"/>
  <c r="E14" i="13"/>
  <c r="D14" i="13" s="1"/>
  <c r="R14" i="13" s="1"/>
  <c r="T14" i="13" s="1"/>
  <c r="M13" i="13"/>
  <c r="I13" i="13"/>
  <c r="E13" i="13"/>
  <c r="D13" i="13" s="1"/>
  <c r="O13" i="13" s="1"/>
  <c r="I12" i="13"/>
  <c r="M12" i="13" s="1"/>
  <c r="E12" i="13"/>
  <c r="D12" i="13" s="1"/>
  <c r="I11" i="13"/>
  <c r="M11" i="13" s="1"/>
  <c r="E11" i="13"/>
  <c r="D11" i="13" s="1"/>
  <c r="R11" i="13" s="1"/>
  <c r="M10" i="13"/>
  <c r="I10" i="13"/>
  <c r="E10" i="13"/>
  <c r="D10" i="13" s="1"/>
  <c r="M9" i="13"/>
  <c r="I9" i="13"/>
  <c r="E9" i="13"/>
  <c r="D9" i="13" s="1"/>
  <c r="M8" i="13"/>
  <c r="I8" i="13"/>
  <c r="E8" i="13"/>
  <c r="D8" i="13" s="1"/>
  <c r="M7" i="13"/>
  <c r="I7" i="13"/>
  <c r="E7" i="13"/>
  <c r="D7" i="13" s="1"/>
  <c r="R7" i="13" s="1"/>
  <c r="M6" i="13"/>
  <c r="I6" i="13"/>
  <c r="E6" i="13"/>
  <c r="D6" i="13" s="1"/>
  <c r="I5" i="13"/>
  <c r="M5" i="13" s="1"/>
  <c r="E5" i="13"/>
  <c r="D5" i="13" s="1"/>
  <c r="O5" i="13" s="1"/>
  <c r="Q4" i="13"/>
  <c r="I4" i="13"/>
  <c r="M4" i="13" s="1"/>
  <c r="E4" i="13"/>
  <c r="D4" i="13" s="1"/>
  <c r="Q3" i="13"/>
  <c r="I3" i="13"/>
  <c r="M3" i="13" s="1"/>
  <c r="E3" i="13"/>
  <c r="D3" i="13" s="1"/>
  <c r="R3" i="13" s="1"/>
  <c r="D21" i="12"/>
  <c r="E21" i="12" s="1"/>
  <c r="D20" i="12"/>
  <c r="E20" i="12" s="1"/>
  <c r="D19" i="12"/>
  <c r="E19" i="12" s="1"/>
  <c r="D18" i="12"/>
  <c r="E18" i="12" s="1"/>
  <c r="D17" i="12"/>
  <c r="E17" i="12" s="1"/>
  <c r="D16" i="12"/>
  <c r="E16" i="12" s="1"/>
  <c r="D15" i="12"/>
  <c r="E15" i="12" s="1"/>
  <c r="D14" i="12"/>
  <c r="E14" i="12" s="1"/>
  <c r="D13" i="12"/>
  <c r="E13" i="12" s="1"/>
  <c r="D12" i="12"/>
  <c r="E12" i="12" s="1"/>
  <c r="D11" i="12"/>
  <c r="E11" i="12" s="1"/>
  <c r="D10" i="12"/>
  <c r="E10" i="12" s="1"/>
  <c r="D9" i="12"/>
  <c r="E9" i="12" s="1"/>
  <c r="D8" i="12"/>
  <c r="E8" i="12" s="1"/>
  <c r="D7" i="12"/>
  <c r="E7" i="12" s="1"/>
  <c r="D6" i="12"/>
  <c r="E6" i="12" s="1"/>
  <c r="D5" i="12"/>
  <c r="E5" i="12" s="1"/>
  <c r="D4" i="12"/>
  <c r="E4" i="12" s="1"/>
  <c r="D3" i="12"/>
  <c r="E3" i="12" s="1"/>
  <c r="C24" i="11"/>
  <c r="C23" i="11"/>
  <c r="C21" i="11"/>
  <c r="C20" i="11"/>
  <c r="C19" i="11"/>
  <c r="C18" i="11"/>
  <c r="C17" i="11"/>
  <c r="C16" i="11"/>
  <c r="C15" i="11"/>
  <c r="C14" i="11"/>
  <c r="C13" i="11"/>
  <c r="C12" i="11"/>
  <c r="C11" i="11"/>
  <c r="C10" i="11"/>
  <c r="C9" i="11"/>
  <c r="C8" i="11"/>
  <c r="C7" i="11"/>
  <c r="C6" i="11"/>
  <c r="C5" i="11"/>
  <c r="C4" i="11"/>
  <c r="C3" i="11"/>
  <c r="N77" i="13" l="1"/>
  <c r="L77" i="13" s="1"/>
  <c r="N72" i="13"/>
  <c r="L72" i="13" s="1"/>
  <c r="N64" i="13"/>
  <c r="L64" i="13" s="1"/>
  <c r="N10" i="13"/>
  <c r="N38" i="13"/>
  <c r="O38" i="13"/>
  <c r="T7" i="13"/>
  <c r="L7" i="13"/>
  <c r="N70" i="13"/>
  <c r="L70" i="13" s="1"/>
  <c r="N57" i="13"/>
  <c r="P57" i="13" s="1"/>
  <c r="P74" i="13" s="1"/>
  <c r="N60" i="13"/>
  <c r="P60" i="13" s="1"/>
  <c r="N31" i="13"/>
  <c r="R46" i="13"/>
  <c r="T46" i="13" s="1"/>
  <c r="N69" i="13"/>
  <c r="L69" i="13" s="1"/>
  <c r="N73" i="13"/>
  <c r="L73" i="13" s="1"/>
  <c r="O47" i="13"/>
  <c r="R47" i="13"/>
  <c r="T47" i="13" s="1"/>
  <c r="N43" i="13"/>
  <c r="R43" i="13"/>
  <c r="T43" i="13" s="1"/>
  <c r="O43" i="13"/>
  <c r="R48" i="13"/>
  <c r="S48" i="13" s="1"/>
  <c r="O48" i="13"/>
  <c r="O8" i="13"/>
  <c r="R8" i="13"/>
  <c r="S8" i="13" s="1"/>
  <c r="O16" i="13"/>
  <c r="R16" i="13"/>
  <c r="R21" i="13"/>
  <c r="S21" i="13" s="1"/>
  <c r="O21" i="13"/>
  <c r="N21" i="13"/>
  <c r="R5" i="13"/>
  <c r="O10" i="13"/>
  <c r="N16" i="13"/>
  <c r="L16" i="13" s="1"/>
  <c r="N19" i="13"/>
  <c r="R32" i="13"/>
  <c r="T32" i="13" s="1"/>
  <c r="R34" i="13"/>
  <c r="S34" i="13" s="1"/>
  <c r="N8" i="13"/>
  <c r="L8" i="13" s="1"/>
  <c r="R10" i="13"/>
  <c r="O14" i="13"/>
  <c r="N20" i="13"/>
  <c r="N33" i="13"/>
  <c r="L42" i="13"/>
  <c r="R56" i="13"/>
  <c r="T56" i="13" s="1"/>
  <c r="N59" i="13"/>
  <c r="R59" i="13" s="1"/>
  <c r="L59" i="13" s="1"/>
  <c r="N7" i="13"/>
  <c r="O20" i="13"/>
  <c r="N27" i="13"/>
  <c r="P27" i="13" s="1"/>
  <c r="O33" i="13"/>
  <c r="N42" i="13"/>
  <c r="N48" i="13"/>
  <c r="L48" i="13" s="1"/>
  <c r="O31" i="13"/>
  <c r="N65" i="13"/>
  <c r="P65" i="13" s="1"/>
  <c r="N14" i="13"/>
  <c r="O7" i="13"/>
  <c r="P70" i="13"/>
  <c r="N75" i="13"/>
  <c r="L75" i="13" s="1"/>
  <c r="N32" i="13"/>
  <c r="P32" i="13" s="1"/>
  <c r="N71" i="13"/>
  <c r="L71" i="13" s="1"/>
  <c r="N34" i="13"/>
  <c r="P34" i="13" s="1"/>
  <c r="N58" i="13"/>
  <c r="R58" i="13" s="1"/>
  <c r="T58" i="13" s="1"/>
  <c r="P64" i="13"/>
  <c r="S72" i="13"/>
  <c r="S11" i="13"/>
  <c r="L11" i="13"/>
  <c r="T11" i="13"/>
  <c r="R4" i="13"/>
  <c r="O4" i="13"/>
  <c r="N4" i="13"/>
  <c r="O74" i="13"/>
  <c r="N6" i="13"/>
  <c r="R6" i="13"/>
  <c r="O6" i="13"/>
  <c r="T45" i="13"/>
  <c r="S45" i="13"/>
  <c r="L45" i="13"/>
  <c r="R53" i="13"/>
  <c r="O53" i="13"/>
  <c r="N53" i="13"/>
  <c r="L53" i="13" s="1"/>
  <c r="N12" i="13"/>
  <c r="R12" i="13"/>
  <c r="O12" i="13"/>
  <c r="R28" i="13"/>
  <c r="O28" i="13"/>
  <c r="N28" i="13"/>
  <c r="O40" i="13"/>
  <c r="N40" i="13"/>
  <c r="R40" i="13"/>
  <c r="N49" i="13"/>
  <c r="L49" i="13" s="1"/>
  <c r="R49" i="13"/>
  <c r="O49" i="13"/>
  <c r="S3" i="13"/>
  <c r="T3" i="13"/>
  <c r="L3" i="13"/>
  <c r="S36" i="13"/>
  <c r="L36" i="13" s="1"/>
  <c r="K36" i="13" s="1"/>
  <c r="T36" i="13"/>
  <c r="L37" i="13"/>
  <c r="T37" i="13"/>
  <c r="S37" i="13"/>
  <c r="R18" i="13"/>
  <c r="O18" i="13"/>
  <c r="N18" i="13"/>
  <c r="L18" i="13" s="1"/>
  <c r="R54" i="13"/>
  <c r="O54" i="13"/>
  <c r="N54" i="13"/>
  <c r="N66" i="13"/>
  <c r="O66" i="13"/>
  <c r="O9" i="13"/>
  <c r="N9" i="13"/>
  <c r="R9" i="13"/>
  <c r="N23" i="13"/>
  <c r="R23" i="13"/>
  <c r="O23" i="13"/>
  <c r="T31" i="13"/>
  <c r="L31" i="13" s="1"/>
  <c r="S31" i="13"/>
  <c r="R15" i="13"/>
  <c r="O15" i="13"/>
  <c r="N15" i="13"/>
  <c r="T19" i="13"/>
  <c r="S19" i="13"/>
  <c r="L19" i="13"/>
  <c r="T55" i="13"/>
  <c r="S55" i="13"/>
  <c r="L55" i="13"/>
  <c r="T17" i="13"/>
  <c r="L17" i="13"/>
  <c r="S17" i="13"/>
  <c r="N50" i="13"/>
  <c r="L50" i="13" s="1"/>
  <c r="R50" i="13"/>
  <c r="O50" i="13"/>
  <c r="O44" i="13"/>
  <c r="N44" i="13"/>
  <c r="R44" i="13"/>
  <c r="T20" i="13"/>
  <c r="S20" i="13"/>
  <c r="L20" i="13"/>
  <c r="O35" i="13"/>
  <c r="N35" i="13"/>
  <c r="R35" i="13"/>
  <c r="T48" i="13"/>
  <c r="O68" i="13"/>
  <c r="N68" i="13"/>
  <c r="N22" i="13"/>
  <c r="L22" i="13" s="1"/>
  <c r="R22" i="13"/>
  <c r="O22" i="13"/>
  <c r="R29" i="13"/>
  <c r="L14" i="13"/>
  <c r="F74" i="13"/>
  <c r="N74" i="13" s="1"/>
  <c r="L74" i="13" s="1"/>
  <c r="S39" i="13"/>
  <c r="O51" i="13"/>
  <c r="N51" i="13"/>
  <c r="L51" i="13" s="1"/>
  <c r="P69" i="13"/>
  <c r="O67" i="13"/>
  <c r="N67" i="13"/>
  <c r="N5" i="13"/>
  <c r="P5" i="13" s="1"/>
  <c r="S7" i="13"/>
  <c r="S14" i="13"/>
  <c r="O19" i="13"/>
  <c r="P19" i="13" s="1"/>
  <c r="N26" i="13"/>
  <c r="L26" i="13" s="1"/>
  <c r="N30" i="13"/>
  <c r="P30" i="13" s="1"/>
  <c r="S33" i="13"/>
  <c r="L33" i="13" s="1"/>
  <c r="K33" i="13" s="1"/>
  <c r="N37" i="13"/>
  <c r="R38" i="13"/>
  <c r="L41" i="13"/>
  <c r="O42" i="13"/>
  <c r="M46" i="13"/>
  <c r="N46" i="13" s="1"/>
  <c r="P46" i="13" s="1"/>
  <c r="N47" i="13"/>
  <c r="L47" i="13" s="1"/>
  <c r="N52" i="13"/>
  <c r="L52" i="13" s="1"/>
  <c r="M56" i="13"/>
  <c r="N56" i="13" s="1"/>
  <c r="P56" i="13" s="1"/>
  <c r="R13" i="13"/>
  <c r="R26" i="13"/>
  <c r="O37" i="13"/>
  <c r="R52" i="13"/>
  <c r="N63" i="13"/>
  <c r="P63" i="13" s="1"/>
  <c r="N76" i="13"/>
  <c r="L76" i="13" s="1"/>
  <c r="N3" i="13"/>
  <c r="N11" i="13"/>
  <c r="N25" i="13"/>
  <c r="P25" i="13" s="1"/>
  <c r="N41" i="13"/>
  <c r="T42" i="13"/>
  <c r="N45" i="13"/>
  <c r="N62" i="13"/>
  <c r="L62" i="13" s="1"/>
  <c r="N13" i="13"/>
  <c r="P13" i="13" s="1"/>
  <c r="O3" i="13"/>
  <c r="O11" i="13"/>
  <c r="N17" i="13"/>
  <c r="N29" i="13"/>
  <c r="P29" i="13" s="1"/>
  <c r="R30" i="13"/>
  <c r="N36" i="13"/>
  <c r="O39" i="13"/>
  <c r="N39" i="13"/>
  <c r="O41" i="13"/>
  <c r="O45" i="13"/>
  <c r="N55" i="13"/>
  <c r="N61" i="13"/>
  <c r="R61" i="13" s="1"/>
  <c r="O24" i="13"/>
  <c r="P24" i="13" s="1"/>
  <c r="R25" i="13"/>
  <c r="R27" i="13"/>
  <c r="O36" i="13"/>
  <c r="S41" i="13"/>
  <c r="R51" i="13"/>
  <c r="O55" i="13"/>
  <c r="T71" i="13"/>
  <c r="T39" i="13"/>
  <c r="O17" i="13"/>
  <c r="R69" i="13"/>
  <c r="R24" i="13"/>
  <c r="E24" i="12"/>
  <c r="E23" i="12"/>
  <c r="T34" i="13" l="1"/>
  <c r="L34" i="13"/>
  <c r="P77" i="13"/>
  <c r="P10" i="13"/>
  <c r="P43" i="13"/>
  <c r="P72" i="13"/>
  <c r="P16" i="13"/>
  <c r="R64" i="13"/>
  <c r="S64" i="13" s="1"/>
  <c r="S32" i="13"/>
  <c r="P45" i="13"/>
  <c r="S59" i="13"/>
  <c r="P33" i="13"/>
  <c r="S47" i="13"/>
  <c r="L32" i="13"/>
  <c r="R60" i="13"/>
  <c r="L56" i="13"/>
  <c r="L43" i="13"/>
  <c r="S43" i="13"/>
  <c r="L46" i="13"/>
  <c r="S46" i="13"/>
  <c r="P38" i="13"/>
  <c r="S56" i="13"/>
  <c r="S58" i="13"/>
  <c r="P71" i="13"/>
  <c r="P75" i="13"/>
  <c r="P31" i="13"/>
  <c r="P14" i="13"/>
  <c r="R65" i="13"/>
  <c r="S65" i="13" s="1"/>
  <c r="L65" i="13"/>
  <c r="T21" i="13"/>
  <c r="T59" i="13"/>
  <c r="P20" i="13"/>
  <c r="P3" i="13"/>
  <c r="P50" i="13"/>
  <c r="P47" i="13"/>
  <c r="P22" i="13"/>
  <c r="P58" i="13"/>
  <c r="P44" i="13"/>
  <c r="P73" i="13"/>
  <c r="L58" i="13"/>
  <c r="P8" i="13"/>
  <c r="P49" i="13"/>
  <c r="P12" i="13"/>
  <c r="P67" i="13"/>
  <c r="P4" i="13"/>
  <c r="L10" i="13"/>
  <c r="T10" i="13"/>
  <c r="S16" i="13"/>
  <c r="T16" i="13"/>
  <c r="P18" i="13"/>
  <c r="P35" i="13"/>
  <c r="P48" i="13"/>
  <c r="P39" i="13"/>
  <c r="P51" i="13"/>
  <c r="P9" i="13"/>
  <c r="T8" i="13"/>
  <c r="P68" i="13"/>
  <c r="P7" i="13"/>
  <c r="P40" i="13"/>
  <c r="P42" i="13"/>
  <c r="P15" i="13"/>
  <c r="P59" i="13"/>
  <c r="T5" i="13"/>
  <c r="L5" i="13"/>
  <c r="S5" i="13"/>
  <c r="P26" i="13"/>
  <c r="S10" i="13"/>
  <c r="L21" i="13"/>
  <c r="P37" i="13"/>
  <c r="P11" i="13"/>
  <c r="P54" i="13"/>
  <c r="P21" i="13"/>
  <c r="L27" i="13"/>
  <c r="T27" i="13"/>
  <c r="S27" i="13"/>
  <c r="S24" i="13"/>
  <c r="T24" i="13"/>
  <c r="S25" i="13"/>
  <c r="T25" i="13"/>
  <c r="L25" i="13" s="1"/>
  <c r="R63" i="13"/>
  <c r="L63" i="13"/>
  <c r="P23" i="13"/>
  <c r="P53" i="13"/>
  <c r="T38" i="13"/>
  <c r="S38" i="13"/>
  <c r="L38" i="13"/>
  <c r="T69" i="13"/>
  <c r="S69" i="13"/>
  <c r="S61" i="13"/>
  <c r="L61" i="13"/>
  <c r="T61" i="13"/>
  <c r="R67" i="13"/>
  <c r="L67" i="13"/>
  <c r="P76" i="13"/>
  <c r="T18" i="13"/>
  <c r="S18" i="13"/>
  <c r="S40" i="13"/>
  <c r="L40" i="13"/>
  <c r="T40" i="13"/>
  <c r="S4" i="13"/>
  <c r="L4" i="13"/>
  <c r="T4" i="13"/>
  <c r="T52" i="13"/>
  <c r="S52" i="13"/>
  <c r="P17" i="13"/>
  <c r="T26" i="13"/>
  <c r="S26" i="13"/>
  <c r="T29" i="13"/>
  <c r="L29" i="13" s="1"/>
  <c r="S29" i="13"/>
  <c r="L35" i="13"/>
  <c r="S35" i="13"/>
  <c r="T35" i="13"/>
  <c r="R57" i="13"/>
  <c r="T9" i="13"/>
  <c r="L9" i="13"/>
  <c r="S9" i="13"/>
  <c r="S23" i="13"/>
  <c r="L23" i="13"/>
  <c r="T23" i="13"/>
  <c r="T13" i="13"/>
  <c r="S13" i="13"/>
  <c r="L13" i="13"/>
  <c r="S53" i="13"/>
  <c r="T53" i="13"/>
  <c r="P41" i="13"/>
  <c r="P6" i="13"/>
  <c r="P55" i="13"/>
  <c r="P62" i="13"/>
  <c r="P28" i="13"/>
  <c r="T6" i="13"/>
  <c r="S6" i="13"/>
  <c r="L6" i="13"/>
  <c r="T51" i="13"/>
  <c r="S51" i="13"/>
  <c r="L60" i="13"/>
  <c r="T60" i="13"/>
  <c r="S60" i="13"/>
  <c r="P66" i="13"/>
  <c r="S28" i="13"/>
  <c r="L28" i="13"/>
  <c r="T28" i="13"/>
  <c r="L66" i="13"/>
  <c r="R66" i="13"/>
  <c r="S22" i="13"/>
  <c r="T22" i="13"/>
  <c r="T30" i="13"/>
  <c r="S30" i="13"/>
  <c r="L30" i="13"/>
  <c r="T50" i="13"/>
  <c r="S50" i="13"/>
  <c r="L15" i="13"/>
  <c r="T15" i="13"/>
  <c r="S15" i="13"/>
  <c r="S49" i="13"/>
  <c r="T49" i="13"/>
  <c r="T12" i="13"/>
  <c r="S12" i="13"/>
  <c r="L12" i="13"/>
  <c r="P52" i="13"/>
  <c r="P36" i="13"/>
  <c r="R68" i="13"/>
  <c r="L68" i="13"/>
  <c r="P61" i="13"/>
  <c r="T44" i="13"/>
  <c r="L44" i="13"/>
  <c r="S44" i="13"/>
  <c r="S54" i="13"/>
  <c r="T54" i="13"/>
  <c r="L54" i="13"/>
  <c r="T64" i="13" l="1"/>
  <c r="T65" i="13"/>
  <c r="T68" i="13"/>
  <c r="S68" i="13"/>
  <c r="T57" i="13"/>
  <c r="S57" i="13"/>
  <c r="R62" i="13"/>
  <c r="R74" i="13"/>
  <c r="L57" i="13"/>
  <c r="T67" i="13"/>
  <c r="S67" i="13"/>
  <c r="T63" i="13"/>
  <c r="S63" i="13"/>
  <c r="S66" i="13"/>
  <c r="T66" i="13"/>
  <c r="T62" i="13" l="1"/>
  <c r="S62" i="13"/>
  <c r="T74" i="13"/>
  <c r="S74" i="13"/>
  <c r="M98" i="10" l="1"/>
  <c r="M97" i="10"/>
  <c r="M96" i="10"/>
  <c r="M95" i="10"/>
  <c r="M94" i="10"/>
  <c r="M93" i="10"/>
  <c r="M92" i="10"/>
  <c r="M91" i="10"/>
  <c r="M90" i="10"/>
  <c r="M89" i="10"/>
  <c r="M88" i="10"/>
  <c r="M87" i="10"/>
  <c r="M86" i="10"/>
  <c r="M85" i="10"/>
  <c r="M84" i="10"/>
  <c r="M83" i="10"/>
  <c r="M82" i="10"/>
  <c r="M81" i="10"/>
  <c r="T77" i="10"/>
  <c r="S77" i="10"/>
  <c r="M77" i="10"/>
  <c r="E77" i="10"/>
  <c r="O77" i="10" s="1"/>
  <c r="T76" i="10"/>
  <c r="S76" i="10"/>
  <c r="M76" i="10"/>
  <c r="N76" i="10" s="1"/>
  <c r="L76" i="10" s="1"/>
  <c r="E76" i="10"/>
  <c r="O76" i="10" s="1"/>
  <c r="T75" i="10"/>
  <c r="S75" i="10"/>
  <c r="M75" i="10"/>
  <c r="N75" i="10" s="1"/>
  <c r="L75" i="10" s="1"/>
  <c r="E75" i="10"/>
  <c r="O75" i="10" s="1"/>
  <c r="P75" i="10" s="1"/>
  <c r="M74" i="10"/>
  <c r="E74" i="10"/>
  <c r="T73" i="10"/>
  <c r="S73" i="10"/>
  <c r="O73" i="10"/>
  <c r="M73" i="10"/>
  <c r="N73" i="10" s="1"/>
  <c r="L73" i="10" s="1"/>
  <c r="E73" i="10"/>
  <c r="R72" i="10"/>
  <c r="S72" i="10" s="1"/>
  <c r="M72" i="10"/>
  <c r="N72" i="10" s="1"/>
  <c r="L72" i="10" s="1"/>
  <c r="E72" i="10"/>
  <c r="O72" i="10" s="1"/>
  <c r="M71" i="10"/>
  <c r="E71" i="10"/>
  <c r="D71" i="10" s="1"/>
  <c r="T70" i="10"/>
  <c r="S70" i="10"/>
  <c r="M70" i="10"/>
  <c r="E70" i="10"/>
  <c r="O70" i="10" s="1"/>
  <c r="M69" i="10"/>
  <c r="I69" i="10"/>
  <c r="E69" i="10"/>
  <c r="D69" i="10" s="1"/>
  <c r="I68" i="10"/>
  <c r="M68" i="10" s="1"/>
  <c r="E68" i="10"/>
  <c r="D68" i="10"/>
  <c r="O68" i="10" s="1"/>
  <c r="M67" i="10"/>
  <c r="I67" i="10"/>
  <c r="E67" i="10"/>
  <c r="D67" i="10" s="1"/>
  <c r="I66" i="10"/>
  <c r="M66" i="10" s="1"/>
  <c r="E66" i="10"/>
  <c r="D66" i="10"/>
  <c r="O66" i="10" s="1"/>
  <c r="I65" i="10"/>
  <c r="M65" i="10" s="1"/>
  <c r="E65" i="10"/>
  <c r="D65" i="10" s="1"/>
  <c r="I64" i="10"/>
  <c r="M64" i="10" s="1"/>
  <c r="E64" i="10"/>
  <c r="D64" i="10" s="1"/>
  <c r="M63" i="10"/>
  <c r="I63" i="10"/>
  <c r="E63" i="10"/>
  <c r="D63" i="10" s="1"/>
  <c r="O63" i="10" s="1"/>
  <c r="M62" i="10"/>
  <c r="I62" i="10"/>
  <c r="E62" i="10"/>
  <c r="D62" i="10" s="1"/>
  <c r="M61" i="10"/>
  <c r="I61" i="10"/>
  <c r="E61" i="10"/>
  <c r="D61" i="10" s="1"/>
  <c r="O61" i="10" s="1"/>
  <c r="M60" i="10"/>
  <c r="I60" i="10"/>
  <c r="E60" i="10"/>
  <c r="D60" i="10" s="1"/>
  <c r="I59" i="10"/>
  <c r="M59" i="10" s="1"/>
  <c r="N59" i="10" s="1"/>
  <c r="R59" i="10" s="1"/>
  <c r="E59" i="10"/>
  <c r="D59" i="10"/>
  <c r="O59" i="10" s="1"/>
  <c r="M58" i="10"/>
  <c r="I58" i="10"/>
  <c r="E58" i="10"/>
  <c r="D58" i="10" s="1"/>
  <c r="O57" i="10"/>
  <c r="I57" i="10"/>
  <c r="M57" i="10" s="1"/>
  <c r="G57" i="10"/>
  <c r="G74" i="10" s="1"/>
  <c r="F57" i="10"/>
  <c r="F74" i="10" s="1"/>
  <c r="N74" i="10" s="1"/>
  <c r="L74" i="10" s="1"/>
  <c r="E57" i="10"/>
  <c r="D57" i="10"/>
  <c r="M56" i="10"/>
  <c r="I56" i="10"/>
  <c r="E56" i="10"/>
  <c r="D56" i="10" s="1"/>
  <c r="I55" i="10"/>
  <c r="M55" i="10" s="1"/>
  <c r="E55" i="10"/>
  <c r="D55" i="10"/>
  <c r="R55" i="10" s="1"/>
  <c r="I54" i="10"/>
  <c r="M54" i="10" s="1"/>
  <c r="E54" i="10"/>
  <c r="D54" i="10" s="1"/>
  <c r="R54" i="10" s="1"/>
  <c r="M53" i="10"/>
  <c r="I53" i="10"/>
  <c r="E53" i="10"/>
  <c r="D53" i="10" s="1"/>
  <c r="I52" i="10"/>
  <c r="M52" i="10" s="1"/>
  <c r="E52" i="10"/>
  <c r="D52" i="10"/>
  <c r="R52" i="10" s="1"/>
  <c r="M51" i="10"/>
  <c r="I51" i="10"/>
  <c r="E51" i="10"/>
  <c r="D51" i="10" s="1"/>
  <c r="M50" i="10"/>
  <c r="I50" i="10"/>
  <c r="E50" i="10"/>
  <c r="D50" i="10"/>
  <c r="R50" i="10" s="1"/>
  <c r="O49" i="10"/>
  <c r="P49" i="10" s="1"/>
  <c r="I49" i="10"/>
  <c r="M49" i="10" s="1"/>
  <c r="E49" i="10"/>
  <c r="D49" i="10"/>
  <c r="N49" i="10" s="1"/>
  <c r="L49" i="10" s="1"/>
  <c r="I48" i="10"/>
  <c r="M48" i="10" s="1"/>
  <c r="E48" i="10"/>
  <c r="D48" i="10" s="1"/>
  <c r="O47" i="10"/>
  <c r="M47" i="10"/>
  <c r="I47" i="10"/>
  <c r="E47" i="10"/>
  <c r="D47" i="10"/>
  <c r="R47" i="10" s="1"/>
  <c r="M46" i="10"/>
  <c r="I46" i="10"/>
  <c r="E46" i="10"/>
  <c r="D46" i="10" s="1"/>
  <c r="I45" i="10"/>
  <c r="M45" i="10" s="1"/>
  <c r="E45" i="10"/>
  <c r="D45" i="10"/>
  <c r="O45" i="10" s="1"/>
  <c r="M44" i="10"/>
  <c r="I44" i="10"/>
  <c r="E44" i="10"/>
  <c r="D44" i="10" s="1"/>
  <c r="I43" i="10"/>
  <c r="M43" i="10" s="1"/>
  <c r="E43" i="10"/>
  <c r="D43" i="10"/>
  <c r="R43" i="10" s="1"/>
  <c r="I42" i="10"/>
  <c r="M42" i="10" s="1"/>
  <c r="E42" i="10"/>
  <c r="D42" i="10" s="1"/>
  <c r="R42" i="10" s="1"/>
  <c r="M41" i="10"/>
  <c r="I41" i="10"/>
  <c r="E41" i="10"/>
  <c r="D41" i="10" s="1"/>
  <c r="I40" i="10"/>
  <c r="M40" i="10" s="1"/>
  <c r="E40" i="10"/>
  <c r="D40" i="10" s="1"/>
  <c r="R40" i="10" s="1"/>
  <c r="I39" i="10"/>
  <c r="M39" i="10" s="1"/>
  <c r="E39" i="10"/>
  <c r="D39" i="10" s="1"/>
  <c r="M38" i="10"/>
  <c r="I38" i="10"/>
  <c r="E38" i="10"/>
  <c r="D38" i="10" s="1"/>
  <c r="R38" i="10" s="1"/>
  <c r="I37" i="10"/>
  <c r="M37" i="10" s="1"/>
  <c r="E37" i="10"/>
  <c r="D37" i="10" s="1"/>
  <c r="I36" i="10"/>
  <c r="M36" i="10" s="1"/>
  <c r="E36" i="10"/>
  <c r="D36" i="10"/>
  <c r="R36" i="10" s="1"/>
  <c r="S36" i="10" s="1"/>
  <c r="L36" i="10" s="1"/>
  <c r="K36" i="10" s="1"/>
  <c r="I35" i="10"/>
  <c r="M35" i="10" s="1"/>
  <c r="E35" i="10"/>
  <c r="D35" i="10" s="1"/>
  <c r="M34" i="10"/>
  <c r="I34" i="10"/>
  <c r="E34" i="10"/>
  <c r="D34" i="10" s="1"/>
  <c r="M33" i="10"/>
  <c r="I33" i="10"/>
  <c r="E33" i="10"/>
  <c r="D33" i="10"/>
  <c r="R33" i="10" s="1"/>
  <c r="T33" i="10" s="1"/>
  <c r="M32" i="10"/>
  <c r="I32" i="10"/>
  <c r="E32" i="10"/>
  <c r="D32" i="10" s="1"/>
  <c r="I31" i="10"/>
  <c r="M31" i="10" s="1"/>
  <c r="E31" i="10"/>
  <c r="D31" i="10" s="1"/>
  <c r="O31" i="10" s="1"/>
  <c r="M30" i="10"/>
  <c r="I30" i="10"/>
  <c r="E30" i="10"/>
  <c r="D30" i="10" s="1"/>
  <c r="I29" i="10"/>
  <c r="M29" i="10" s="1"/>
  <c r="E29" i="10"/>
  <c r="D29" i="10"/>
  <c r="R29" i="10" s="1"/>
  <c r="I28" i="10"/>
  <c r="M28" i="10" s="1"/>
  <c r="E28" i="10"/>
  <c r="D28" i="10" s="1"/>
  <c r="M27" i="10"/>
  <c r="I27" i="10"/>
  <c r="E27" i="10"/>
  <c r="D27" i="10" s="1"/>
  <c r="I26" i="10"/>
  <c r="M26" i="10" s="1"/>
  <c r="E26" i="10"/>
  <c r="D26" i="10"/>
  <c r="R26" i="10" s="1"/>
  <c r="M25" i="10"/>
  <c r="I25" i="10"/>
  <c r="E25" i="10"/>
  <c r="D25" i="10" s="1"/>
  <c r="M24" i="10"/>
  <c r="I24" i="10"/>
  <c r="E24" i="10"/>
  <c r="D24" i="10"/>
  <c r="R24" i="10" s="1"/>
  <c r="I23" i="10"/>
  <c r="M23" i="10" s="1"/>
  <c r="E23" i="10"/>
  <c r="D23" i="10"/>
  <c r="O23" i="10" s="1"/>
  <c r="I22" i="10"/>
  <c r="M22" i="10" s="1"/>
  <c r="E22" i="10"/>
  <c r="D22" i="10" s="1"/>
  <c r="M21" i="10"/>
  <c r="I21" i="10"/>
  <c r="E21" i="10"/>
  <c r="D21" i="10"/>
  <c r="R21" i="10" s="1"/>
  <c r="M20" i="10"/>
  <c r="I20" i="10"/>
  <c r="E20" i="10"/>
  <c r="D20" i="10" s="1"/>
  <c r="I19" i="10"/>
  <c r="M19" i="10" s="1"/>
  <c r="N19" i="10" s="1"/>
  <c r="E19" i="10"/>
  <c r="D19" i="10"/>
  <c r="O19" i="10" s="1"/>
  <c r="M18" i="10"/>
  <c r="I18" i="10"/>
  <c r="E18" i="10"/>
  <c r="D18" i="10" s="1"/>
  <c r="I17" i="10"/>
  <c r="M17" i="10" s="1"/>
  <c r="E17" i="10"/>
  <c r="D17" i="10" s="1"/>
  <c r="R17" i="10" s="1"/>
  <c r="I16" i="10"/>
  <c r="M16" i="10" s="1"/>
  <c r="E16" i="10"/>
  <c r="D16" i="10" s="1"/>
  <c r="M15" i="10"/>
  <c r="I15" i="10"/>
  <c r="E15" i="10"/>
  <c r="D15" i="10" s="1"/>
  <c r="I14" i="10"/>
  <c r="M14" i="10" s="1"/>
  <c r="E14" i="10"/>
  <c r="D14" i="10"/>
  <c r="R14" i="10" s="1"/>
  <c r="I13" i="10"/>
  <c r="M13" i="10" s="1"/>
  <c r="E13" i="10"/>
  <c r="D13" i="10" s="1"/>
  <c r="M12" i="10"/>
  <c r="I12" i="10"/>
  <c r="E12" i="10"/>
  <c r="D12" i="10"/>
  <c r="R12" i="10" s="1"/>
  <c r="I11" i="10"/>
  <c r="M11" i="10" s="1"/>
  <c r="E11" i="10"/>
  <c r="D11" i="10"/>
  <c r="N11" i="10" s="1"/>
  <c r="I10" i="10"/>
  <c r="M10" i="10" s="1"/>
  <c r="E10" i="10"/>
  <c r="D10" i="10" s="1"/>
  <c r="M9" i="10"/>
  <c r="I9" i="10"/>
  <c r="E9" i="10"/>
  <c r="D9" i="10"/>
  <c r="R9" i="10" s="1"/>
  <c r="M8" i="10"/>
  <c r="I8" i="10"/>
  <c r="E8" i="10"/>
  <c r="D8" i="10" s="1"/>
  <c r="I7" i="10"/>
  <c r="M7" i="10" s="1"/>
  <c r="E7" i="10"/>
  <c r="D7" i="10" s="1"/>
  <c r="M6" i="10"/>
  <c r="I6" i="10"/>
  <c r="E6" i="10"/>
  <c r="D6" i="10" s="1"/>
  <c r="I5" i="10"/>
  <c r="M5" i="10" s="1"/>
  <c r="E5" i="10"/>
  <c r="D5" i="10" s="1"/>
  <c r="R5" i="10" s="1"/>
  <c r="Q4" i="10"/>
  <c r="I4" i="10"/>
  <c r="M4" i="10" s="1"/>
  <c r="E4" i="10"/>
  <c r="D4" i="10"/>
  <c r="O4" i="10" s="1"/>
  <c r="Q3" i="10"/>
  <c r="I3" i="10"/>
  <c r="M3" i="10" s="1"/>
  <c r="E3" i="10"/>
  <c r="D3" i="10"/>
  <c r="O3" i="10" s="1"/>
  <c r="N65" i="10" l="1"/>
  <c r="P65" i="10" s="1"/>
  <c r="O65" i="10"/>
  <c r="N37" i="10"/>
  <c r="P37" i="10" s="1"/>
  <c r="R37" i="10"/>
  <c r="O37" i="10"/>
  <c r="R34" i="10"/>
  <c r="O34" i="10"/>
  <c r="P31" i="10"/>
  <c r="O7" i="10"/>
  <c r="P7" i="10" s="1"/>
  <c r="R7" i="10"/>
  <c r="S7" i="10" s="1"/>
  <c r="R11" i="10"/>
  <c r="R19" i="10"/>
  <c r="O9" i="10"/>
  <c r="R23" i="10"/>
  <c r="N47" i="10"/>
  <c r="P47" i="10" s="1"/>
  <c r="N57" i="10"/>
  <c r="P72" i="10"/>
  <c r="N31" i="10"/>
  <c r="N7" i="10"/>
  <c r="N61" i="10"/>
  <c r="R61" i="10" s="1"/>
  <c r="N77" i="10"/>
  <c r="L77" i="10" s="1"/>
  <c r="P45" i="10"/>
  <c r="N21" i="10"/>
  <c r="O21" i="10"/>
  <c r="N45" i="10"/>
  <c r="N70" i="10"/>
  <c r="L70" i="10" s="1"/>
  <c r="T72" i="10"/>
  <c r="O11" i="10"/>
  <c r="N34" i="10"/>
  <c r="O36" i="10"/>
  <c r="R49" i="10"/>
  <c r="P76" i="10"/>
  <c r="N33" i="10"/>
  <c r="N36" i="10"/>
  <c r="P36" i="10" s="1"/>
  <c r="O33" i="10"/>
  <c r="N9" i="10"/>
  <c r="P9" i="10" s="1"/>
  <c r="N43" i="10"/>
  <c r="O71" i="10"/>
  <c r="R27" i="10"/>
  <c r="O27" i="10"/>
  <c r="N27" i="10"/>
  <c r="L65" i="10"/>
  <c r="R69" i="10"/>
  <c r="O69" i="10"/>
  <c r="N69" i="10"/>
  <c r="L69" i="10" s="1"/>
  <c r="N18" i="10"/>
  <c r="L18" i="10" s="1"/>
  <c r="R18" i="10"/>
  <c r="O18" i="10"/>
  <c r="S24" i="10"/>
  <c r="T24" i="10"/>
  <c r="N32" i="10"/>
  <c r="O32" i="10"/>
  <c r="R32" i="10"/>
  <c r="R48" i="10"/>
  <c r="N48" i="10"/>
  <c r="L48" i="10" s="1"/>
  <c r="O48" i="10"/>
  <c r="R51" i="10"/>
  <c r="O51" i="10"/>
  <c r="N51" i="10"/>
  <c r="L51" i="10" s="1"/>
  <c r="L55" i="10"/>
  <c r="T55" i="10"/>
  <c r="S55" i="10"/>
  <c r="N58" i="10"/>
  <c r="R58" i="10" s="1"/>
  <c r="O58" i="10"/>
  <c r="L61" i="10"/>
  <c r="S61" i="10"/>
  <c r="T61" i="10"/>
  <c r="T17" i="10"/>
  <c r="S17" i="10"/>
  <c r="L17" i="10"/>
  <c r="S40" i="10"/>
  <c r="T40" i="10"/>
  <c r="L40" i="10"/>
  <c r="P57" i="10"/>
  <c r="P74" i="10" s="1"/>
  <c r="S34" i="10"/>
  <c r="T34" i="10"/>
  <c r="N44" i="10"/>
  <c r="R44" i="10"/>
  <c r="O44" i="10"/>
  <c r="N10" i="10"/>
  <c r="O10" i="10"/>
  <c r="R10" i="10"/>
  <c r="T14" i="10"/>
  <c r="S14" i="10"/>
  <c r="L14" i="10"/>
  <c r="R28" i="10"/>
  <c r="O28" i="10"/>
  <c r="N28" i="10"/>
  <c r="L34" i="10"/>
  <c r="P34" i="10"/>
  <c r="R41" i="10"/>
  <c r="O41" i="10"/>
  <c r="N41" i="10"/>
  <c r="O62" i="10"/>
  <c r="R13" i="10"/>
  <c r="O13" i="10"/>
  <c r="P13" i="10" s="1"/>
  <c r="N13" i="10"/>
  <c r="N8" i="10"/>
  <c r="L8" i="10" s="1"/>
  <c r="R8" i="10"/>
  <c r="O8" i="10"/>
  <c r="P8" i="10" s="1"/>
  <c r="P19" i="10"/>
  <c r="T29" i="10"/>
  <c r="L29" i="10" s="1"/>
  <c r="S29" i="10"/>
  <c r="O35" i="10"/>
  <c r="N35" i="10"/>
  <c r="R35" i="10"/>
  <c r="T52" i="10"/>
  <c r="S52" i="10"/>
  <c r="N56" i="10"/>
  <c r="R56" i="10"/>
  <c r="O56" i="10"/>
  <c r="P56" i="10" s="1"/>
  <c r="P59" i="10"/>
  <c r="L21" i="10"/>
  <c r="S21" i="10"/>
  <c r="T21" i="10"/>
  <c r="T5" i="10"/>
  <c r="L5" i="10"/>
  <c r="S5" i="10"/>
  <c r="P11" i="10"/>
  <c r="R15" i="10"/>
  <c r="O15" i="10"/>
  <c r="N15" i="10"/>
  <c r="N22" i="10"/>
  <c r="L22" i="10" s="1"/>
  <c r="O22" i="10"/>
  <c r="P22" i="10" s="1"/>
  <c r="R22" i="10"/>
  <c r="R25" i="10"/>
  <c r="O25" i="10"/>
  <c r="N25" i="10"/>
  <c r="S38" i="10"/>
  <c r="T38" i="10"/>
  <c r="L38" i="10"/>
  <c r="L42" i="10"/>
  <c r="T42" i="10"/>
  <c r="S42" i="10"/>
  <c r="O46" i="10"/>
  <c r="N46" i="10"/>
  <c r="R46" i="10"/>
  <c r="P63" i="10"/>
  <c r="P70" i="10"/>
  <c r="L59" i="10"/>
  <c r="T59" i="10"/>
  <c r="S59" i="10"/>
  <c r="O67" i="10"/>
  <c r="N67" i="10"/>
  <c r="L9" i="10"/>
  <c r="S9" i="10"/>
  <c r="T9" i="10"/>
  <c r="N23" i="10"/>
  <c r="P23" i="10" s="1"/>
  <c r="N30" i="10"/>
  <c r="O30" i="10"/>
  <c r="P30" i="10" s="1"/>
  <c r="R30" i="10"/>
  <c r="R53" i="10"/>
  <c r="O53" i="10"/>
  <c r="P53" i="10" s="1"/>
  <c r="N53" i="10"/>
  <c r="L53" i="10" s="1"/>
  <c r="O60" i="10"/>
  <c r="N60" i="10"/>
  <c r="R60" i="10" s="1"/>
  <c r="P73" i="10"/>
  <c r="S12" i="10"/>
  <c r="L12" i="10"/>
  <c r="T12" i="10"/>
  <c r="R16" i="10"/>
  <c r="O16" i="10"/>
  <c r="P16" i="10" s="1"/>
  <c r="N16" i="10"/>
  <c r="L16" i="10" s="1"/>
  <c r="T26" i="10"/>
  <c r="S26" i="10"/>
  <c r="T43" i="10"/>
  <c r="S43" i="10"/>
  <c r="L43" i="10"/>
  <c r="S47" i="10"/>
  <c r="T47" i="10"/>
  <c r="R71" i="10"/>
  <c r="N71" i="10"/>
  <c r="N20" i="10"/>
  <c r="R20" i="10"/>
  <c r="O20" i="10"/>
  <c r="R39" i="10"/>
  <c r="O39" i="10"/>
  <c r="P39" i="10" s="1"/>
  <c r="N39" i="10"/>
  <c r="T50" i="10"/>
  <c r="S50" i="10"/>
  <c r="O64" i="10"/>
  <c r="N64" i="10"/>
  <c r="P68" i="10"/>
  <c r="N6" i="10"/>
  <c r="O6" i="10"/>
  <c r="R6" i="10"/>
  <c r="L54" i="10"/>
  <c r="T54" i="10"/>
  <c r="S54" i="10"/>
  <c r="R31" i="10"/>
  <c r="S33" i="10"/>
  <c r="L33" i="10" s="1"/>
  <c r="K33" i="10" s="1"/>
  <c r="N42" i="10"/>
  <c r="O43" i="10"/>
  <c r="P43" i="10" s="1"/>
  <c r="R45" i="10"/>
  <c r="N54" i="10"/>
  <c r="O55" i="10"/>
  <c r="P55" i="10" s="1"/>
  <c r="O74" i="10"/>
  <c r="N4" i="10"/>
  <c r="P4" i="10" s="1"/>
  <c r="N29" i="10"/>
  <c r="T36" i="10"/>
  <c r="N55" i="10"/>
  <c r="O5" i="10"/>
  <c r="O17" i="10"/>
  <c r="O29" i="10"/>
  <c r="O42" i="10"/>
  <c r="P42" i="10" s="1"/>
  <c r="O54" i="10"/>
  <c r="P54" i="10" s="1"/>
  <c r="N17" i="10"/>
  <c r="N26" i="10"/>
  <c r="L26" i="10" s="1"/>
  <c r="N40" i="10"/>
  <c r="N52" i="10"/>
  <c r="L52" i="10" s="1"/>
  <c r="N68" i="10"/>
  <c r="N3" i="10"/>
  <c r="P3" i="10" s="1"/>
  <c r="R3" i="10"/>
  <c r="R4" i="10"/>
  <c r="L11" i="10"/>
  <c r="O14" i="10"/>
  <c r="L23" i="10"/>
  <c r="O26" i="10"/>
  <c r="L37" i="10"/>
  <c r="O40" i="10"/>
  <c r="P40" i="10" s="1"/>
  <c r="O52" i="10"/>
  <c r="F62" i="10"/>
  <c r="N62" i="10" s="1"/>
  <c r="L62" i="10" s="1"/>
  <c r="N5" i="10"/>
  <c r="N24" i="10"/>
  <c r="L24" i="10" s="1"/>
  <c r="N38" i="10"/>
  <c r="N50" i="10"/>
  <c r="L50" i="10" s="1"/>
  <c r="G62" i="10"/>
  <c r="N66" i="10"/>
  <c r="N14" i="10"/>
  <c r="N12" i="10"/>
  <c r="O12" i="10"/>
  <c r="O24" i="10"/>
  <c r="P24" i="10" s="1"/>
  <c r="O38" i="10"/>
  <c r="O50" i="10"/>
  <c r="N63" i="10"/>
  <c r="T19" i="10" l="1"/>
  <c r="L19" i="10"/>
  <c r="P44" i="10"/>
  <c r="P77" i="10"/>
  <c r="P48" i="10"/>
  <c r="P33" i="10"/>
  <c r="P21" i="10"/>
  <c r="T11" i="10"/>
  <c r="S11" i="10"/>
  <c r="R65" i="10"/>
  <c r="S19" i="10"/>
  <c r="P28" i="10"/>
  <c r="L47" i="10"/>
  <c r="T49" i="10"/>
  <c r="S49" i="10"/>
  <c r="P26" i="10"/>
  <c r="P17" i="10"/>
  <c r="P60" i="10"/>
  <c r="P67" i="10"/>
  <c r="T37" i="10"/>
  <c r="S37" i="10"/>
  <c r="P50" i="10"/>
  <c r="P35" i="10"/>
  <c r="T23" i="10"/>
  <c r="S23" i="10"/>
  <c r="P61" i="10"/>
  <c r="T7" i="10"/>
  <c r="L7" i="10"/>
  <c r="P20" i="10"/>
  <c r="T41" i="10"/>
  <c r="S41" i="10"/>
  <c r="L41" i="10"/>
  <c r="T71" i="10"/>
  <c r="S71" i="10"/>
  <c r="T27" i="10"/>
  <c r="S27" i="10"/>
  <c r="L27" i="10"/>
  <c r="P51" i="10"/>
  <c r="P14" i="10"/>
  <c r="R64" i="10"/>
  <c r="L64" i="10"/>
  <c r="L44" i="10"/>
  <c r="T44" i="10"/>
  <c r="S44" i="10"/>
  <c r="P64" i="10"/>
  <c r="P15" i="10"/>
  <c r="T18" i="10"/>
  <c r="S18" i="10"/>
  <c r="P46" i="10"/>
  <c r="S8" i="10"/>
  <c r="T8" i="10"/>
  <c r="R66" i="10"/>
  <c r="L66" i="10"/>
  <c r="L45" i="10"/>
  <c r="T45" i="10"/>
  <c r="S45" i="10"/>
  <c r="L56" i="10"/>
  <c r="T56" i="10"/>
  <c r="S56" i="10"/>
  <c r="T51" i="10"/>
  <c r="S51" i="10"/>
  <c r="T4" i="10"/>
  <c r="L4" i="10"/>
  <c r="S4" i="10"/>
  <c r="P29" i="10"/>
  <c r="L60" i="10"/>
  <c r="T60" i="10"/>
  <c r="S60" i="10"/>
  <c r="R67" i="10"/>
  <c r="L67" i="10"/>
  <c r="T15" i="10"/>
  <c r="S15" i="10"/>
  <c r="L15" i="10"/>
  <c r="P69" i="10"/>
  <c r="T3" i="10"/>
  <c r="S3" i="10"/>
  <c r="L3" i="10"/>
  <c r="S48" i="10"/>
  <c r="T48" i="10"/>
  <c r="P71" i="10"/>
  <c r="L71" i="10"/>
  <c r="T13" i="10"/>
  <c r="S13" i="10"/>
  <c r="L13" i="10"/>
  <c r="T69" i="10"/>
  <c r="S69" i="10"/>
  <c r="P5" i="10"/>
  <c r="T31" i="10"/>
  <c r="L31" i="10" s="1"/>
  <c r="S31" i="10"/>
  <c r="S35" i="10"/>
  <c r="L35" i="10"/>
  <c r="T35" i="10"/>
  <c r="P66" i="10"/>
  <c r="L28" i="10"/>
  <c r="T28" i="10"/>
  <c r="S28" i="10"/>
  <c r="L32" i="10"/>
  <c r="T32" i="10"/>
  <c r="S32" i="10"/>
  <c r="R63" i="10"/>
  <c r="L63" i="10"/>
  <c r="R68" i="10"/>
  <c r="L68" i="10"/>
  <c r="P58" i="10"/>
  <c r="P32" i="10"/>
  <c r="T65" i="10"/>
  <c r="S65" i="10"/>
  <c r="T39" i="10"/>
  <c r="S39" i="10"/>
  <c r="L39" i="10"/>
  <c r="T53" i="10"/>
  <c r="S53" i="10"/>
  <c r="L58" i="10"/>
  <c r="T58" i="10"/>
  <c r="S58" i="10"/>
  <c r="R57" i="10"/>
  <c r="P38" i="10"/>
  <c r="P52" i="10"/>
  <c r="L30" i="10"/>
  <c r="T30" i="10"/>
  <c r="S30" i="10"/>
  <c r="P25" i="10"/>
  <c r="P62" i="10"/>
  <c r="L6" i="10"/>
  <c r="T6" i="10"/>
  <c r="S6" i="10"/>
  <c r="T25" i="10"/>
  <c r="L25" i="10" s="1"/>
  <c r="S25" i="10"/>
  <c r="S10" i="10"/>
  <c r="L10" i="10"/>
  <c r="T10" i="10"/>
  <c r="L20" i="10"/>
  <c r="T20" i="10"/>
  <c r="S20" i="10"/>
  <c r="P12" i="10"/>
  <c r="P6" i="10"/>
  <c r="T16" i="10"/>
  <c r="S16" i="10"/>
  <c r="L46" i="10"/>
  <c r="T46" i="10"/>
  <c r="S46" i="10"/>
  <c r="S22" i="10"/>
  <c r="T22" i="10"/>
  <c r="P41" i="10"/>
  <c r="P10" i="10"/>
  <c r="P18" i="10"/>
  <c r="P27" i="10"/>
  <c r="S64" i="10" l="1"/>
  <c r="T64" i="10"/>
  <c r="T66" i="10"/>
  <c r="S66" i="10"/>
  <c r="S63" i="10"/>
  <c r="T63" i="10"/>
  <c r="T67" i="10"/>
  <c r="S67" i="10"/>
  <c r="L57" i="10"/>
  <c r="R62" i="10"/>
  <c r="T57" i="10"/>
  <c r="S57" i="10"/>
  <c r="R74" i="10"/>
  <c r="T68" i="10"/>
  <c r="S68" i="10"/>
  <c r="T62" i="10" l="1"/>
  <c r="S62" i="10"/>
  <c r="T74" i="10"/>
  <c r="S74"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rFont val="Verdana"/>
            <charset val="1"/>
          </rPr>
          <t>Cette colonne permet de lister les différents noms de groupe d'étiquettes présents pour présenter de façon différente les données sur les diagrammes de Sankey.</t>
        </r>
      </text>
    </comment>
    <comment ref="B1" authorId="0" shapeId="0" xr:uid="{00000000-0006-0000-0000-000002000000}">
      <text>
        <r>
          <rPr>
            <sz val="10"/>
            <rFont val="Verdana"/>
            <charset val="1"/>
          </rPr>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r>
      </text>
    </comment>
    <comment ref="C1" authorId="0" shapeId="0" xr:uid="{00000000-0006-0000-0000-000003000000}">
      <text>
        <r>
          <rPr>
            <sz val="10"/>
            <rFont val="Verdana"/>
            <charset val="1"/>
          </rPr>
          <t>Cette colonne rassemble toutes les étiquettes appartenant aux groupes d'étiquette définis en colonne A. 
 Il faut lister tous les noms d'étiquettes en les séparant un double point. 
 Exemple: nom1:nom2:nom3.</t>
        </r>
      </text>
    </comment>
    <comment ref="D1" authorId="0" shapeId="0" xr:uid="{00000000-0006-0000-0000-000004000000}">
      <text>
        <r>
          <rPr>
            <sz val="10"/>
            <rFont val="Verdana"/>
            <charset val="1"/>
          </rPr>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r>
      </text>
    </comment>
    <comment ref="E1" authorId="0" shapeId="0" xr:uid="{00000000-0006-0000-0000-000005000000}">
      <text>
        <r>
          <rPr>
            <sz val="10"/>
            <rFont val="Verdana"/>
            <charset val="1"/>
          </rPr>
          <t>Palette de couleur</t>
        </r>
      </text>
    </comment>
    <comment ref="F1" authorId="0" shapeId="0" xr:uid="{00000000-0006-0000-0000-000006000000}">
      <text>
        <r>
          <rPr>
            <sz val="10"/>
            <rFont val="Verdana"/>
            <charset val="1"/>
          </rPr>
          <t>Couleurs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100-000001000000}">
      <text>
        <r>
          <rPr>
            <sz val="10"/>
            <rFont val="Verdana"/>
            <charset val="1"/>
          </rPr>
          <t>Le niveau d'aggrégation rend compte du détail d'un produit. Il faut le lire comme étant, pour un niveau d’agrégation donné d'un produit n, la somme de ses produits désagrégés au niveau n+1.</t>
        </r>
      </text>
    </comment>
    <comment ref="B1" authorId="0" shapeId="0" xr:uid="{00000000-0006-0000-0100-000002000000}">
      <text>
        <r>
          <rPr>
            <sz val="10"/>
            <rFont val="Verdana"/>
            <charset val="1"/>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BE956E58-A991-4FBE-AD7A-26962DF21F0A}">
      <text>
        <r>
          <rPr>
            <sz val="10"/>
            <rFont val="Verdana"/>
          </rPr>
          <t>Le niveau d'aggrégation rend compte du détail d'un secteur. Il faut le lire comme étant, pour un niveau d’agrégation donné d'un secteur n, la somme de ses secteurs désagrégés au niveau n+1.</t>
        </r>
      </text>
    </comment>
    <comment ref="B1" authorId="0" shapeId="0" xr:uid="{2BC470E0-DBFD-4017-9848-B49ED722BA84}">
      <text>
        <r>
          <rPr>
            <sz val="10"/>
            <rFont val="Verdana"/>
          </rPr>
          <t>Liste des secteurs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300-000001000000}">
      <text>
        <r>
          <rPr>
            <sz val="10"/>
            <rFont val="Verdana"/>
            <charset val="1"/>
          </rPr>
          <t>Le niveau d'aggrégation rend compte du détail d'un échange. Il faut le lire comme étant, pour un niveau d’agrégation donné d'un échange n, la somme de ses échanges désagrégés au niveau n+1.</t>
        </r>
      </text>
    </comment>
    <comment ref="B1" authorId="0" shapeId="0" xr:uid="{00000000-0006-0000-0300-000002000000}">
      <text>
        <r>
          <rPr>
            <sz val="10"/>
            <rFont val="Verdana"/>
            <charset val="1"/>
          </rPr>
          <t>Liste des échanges présents dans l'analyse de flux matière. 
 Ceux-ci doivent être conformes aux niveaux d'aggrégation donnés sur la colonne de gauche.</t>
        </r>
      </text>
    </comment>
  </commentList>
</comments>
</file>

<file path=xl/sharedStrings.xml><?xml version="1.0" encoding="utf-8"?>
<sst xmlns="http://schemas.openxmlformats.org/spreadsheetml/2006/main" count="2269" uniqueCount="310">
  <si>
    <t>Nom du groupe d'étiquette</t>
  </si>
  <si>
    <t>Type d'étiquette</t>
  </si>
  <si>
    <t>Etiquettes</t>
  </si>
  <si>
    <t>Palette visible</t>
  </si>
  <si>
    <t>Palette de couleur</t>
  </si>
  <si>
    <t>Couleurs</t>
  </si>
  <si>
    <t>Type de noeud</t>
  </si>
  <si>
    <t>nodeTags</t>
  </si>
  <si>
    <t>produit:secteur:échange</t>
  </si>
  <si>
    <t>Niveau d'aggrégation</t>
  </si>
  <si>
    <t>Liste des produits</t>
  </si>
  <si>
    <t>Bois hors forêt</t>
  </si>
  <si>
    <t>Bois sur pied</t>
  </si>
  <si>
    <t>Bois sur pied F</t>
  </si>
  <si>
    <t>Bois sur pied F (hors peupliers)</t>
  </si>
  <si>
    <t>Bois sur pied F (peupliers)</t>
  </si>
  <si>
    <t>Bois sur pied R</t>
  </si>
  <si>
    <t>Bois rond</t>
  </si>
  <si>
    <t>Bois d'œuvre</t>
  </si>
  <si>
    <t>Bois d'œuvre F</t>
  </si>
  <si>
    <t>Bois d'œuvre R</t>
  </si>
  <si>
    <t>Bois d'industrie</t>
  </si>
  <si>
    <t>Bois d'industrie F</t>
  </si>
  <si>
    <t>Bois d'industrie R</t>
  </si>
  <si>
    <t>Connexes plaquettes déchets</t>
  </si>
  <si>
    <t>Connexes</t>
  </si>
  <si>
    <t>Ecorces</t>
  </si>
  <si>
    <t>Ecorces F</t>
  </si>
  <si>
    <t>Ecorces R</t>
  </si>
  <si>
    <t>Connexes hors écorces</t>
  </si>
  <si>
    <t>Sciures</t>
  </si>
  <si>
    <t>Sciures F</t>
  </si>
  <si>
    <t>Sciures R</t>
  </si>
  <si>
    <t>Plaquettes de scierie</t>
  </si>
  <si>
    <t>Plaquettes de scierie F</t>
  </si>
  <si>
    <t>Plaquettes de scierie R</t>
  </si>
  <si>
    <t>Plaquettes forestières</t>
  </si>
  <si>
    <t>Déchets bois</t>
  </si>
  <si>
    <t>Sciages et autres</t>
  </si>
  <si>
    <t>Sciages</t>
  </si>
  <si>
    <t>Sciages F</t>
  </si>
  <si>
    <t>Sciages R</t>
  </si>
  <si>
    <t>Traverses</t>
  </si>
  <si>
    <t>Merrains</t>
  </si>
  <si>
    <t>Granulés</t>
  </si>
  <si>
    <t>Palettes et emballages</t>
  </si>
  <si>
    <t>Panneaux placages contreplaqués</t>
  </si>
  <si>
    <t>Placages</t>
  </si>
  <si>
    <t>Contreplaqués</t>
  </si>
  <si>
    <t>Panneaux</t>
  </si>
  <si>
    <t>Panneaux particules</t>
  </si>
  <si>
    <t>Panneaux fibres</t>
  </si>
  <si>
    <t>Panneaux MDF</t>
  </si>
  <si>
    <t>Panneaux OSB</t>
  </si>
  <si>
    <t>Pâte à papier</t>
  </si>
  <si>
    <t>Pâte à papier mécanique</t>
  </si>
  <si>
    <t>Pâte à papier chimique</t>
  </si>
  <si>
    <t>Résidus de pâte à papier</t>
  </si>
  <si>
    <t>Papiers cartons</t>
  </si>
  <si>
    <t>Papier à recycler</t>
  </si>
  <si>
    <t>Combustibles chaudières collectives</t>
  </si>
  <si>
    <t>Bois bûche ménages</t>
  </si>
  <si>
    <t>Connexes F</t>
  </si>
  <si>
    <t>Connexes hors écorces F</t>
  </si>
  <si>
    <t>Connexes R</t>
  </si>
  <si>
    <t>Connexes hors écorces R</t>
  </si>
  <si>
    <t>Liste des secteurs</t>
  </si>
  <si>
    <t>Accroissement naturel</t>
  </si>
  <si>
    <t>Stock initial</t>
  </si>
  <si>
    <t>Stock final</t>
  </si>
  <si>
    <t>Mortalité</t>
  </si>
  <si>
    <t>Exploitation forestière</t>
  </si>
  <si>
    <t>Scieries</t>
  </si>
  <si>
    <t>Scieries F</t>
  </si>
  <si>
    <t>Scieries R</t>
  </si>
  <si>
    <t>Production de granulés</t>
  </si>
  <si>
    <t>Usines de panneaux</t>
  </si>
  <si>
    <t>Usines de contreplaqués</t>
  </si>
  <si>
    <t>Fabrication de pâte à papier</t>
  </si>
  <si>
    <t>Fabrication de pâte à papier mécanique</t>
  </si>
  <si>
    <t>Fabrication de pâte à papier chimique</t>
  </si>
  <si>
    <t>Fabrication de papiers cartons</t>
  </si>
  <si>
    <t>Fabrication d'emballages bois</t>
  </si>
  <si>
    <t>Valorisation énergétique</t>
  </si>
  <si>
    <t>Chauffage ménages</t>
  </si>
  <si>
    <t>Auto-approvisionnement et circuits courts</t>
  </si>
  <si>
    <t>Chauffage industriel et collectif</t>
  </si>
  <si>
    <t>Consommation</t>
  </si>
  <si>
    <t>Prélèvements</t>
  </si>
  <si>
    <t>Liste des échanges</t>
  </si>
  <si>
    <t>International</t>
  </si>
  <si>
    <t>Origine</t>
  </si>
  <si>
    <t>Destination</t>
  </si>
  <si>
    <t>1000 t</t>
  </si>
  <si>
    <t>Agreste (douanes)</t>
  </si>
  <si>
    <t>Copacel</t>
  </si>
  <si>
    <t>Mémento FCBA</t>
  </si>
  <si>
    <t>1000 m3</t>
  </si>
  <si>
    <t>1000 m2</t>
  </si>
  <si>
    <t>Propellet</t>
  </si>
  <si>
    <t>Basé sur étude Ademe BVA Solagro 2012</t>
  </si>
  <si>
    <t>Basé sur étude Ademe BVA Solagro 2012 (bois hors forêt soustrait)</t>
  </si>
  <si>
    <t>Etude Ademe IGN FCBA Ressources 2035 (annexes)</t>
  </si>
  <si>
    <t>1000 m3 aérien</t>
  </si>
  <si>
    <t>1000 m3 bois rond</t>
  </si>
  <si>
    <t>EAB Exploitations forestières</t>
  </si>
  <si>
    <t>1000 m3 sciages</t>
  </si>
  <si>
    <t>EAB Scieries</t>
  </si>
  <si>
    <t>MOFOB (traitement FCBA)</t>
  </si>
  <si>
    <t>Sous-Filieres</t>
  </si>
  <si>
    <t>Bois énergie:Bois d'industrie:Bois d'œuvre:Connexes:Forêt</t>
  </si>
  <si>
    <t>#a28d7b:#6B93EB:#4DB35D:#EC7920:#008311</t>
  </si>
  <si>
    <t>Espéces</t>
  </si>
  <si>
    <t>Résineux:Feuillu:Résineux+Feuillu</t>
  </si>
  <si>
    <t>green:limegreen:darkgreen</t>
  </si>
  <si>
    <t>Niveau Espéces</t>
  </si>
  <si>
    <t>levelTags</t>
  </si>
  <si>
    <t>1:2</t>
  </si>
  <si>
    <t>Niveau Types de bois</t>
  </si>
  <si>
    <t>Niveau Types de produits</t>
  </si>
  <si>
    <t>1:2:3</t>
  </si>
  <si>
    <t>Résineux+Feuillu</t>
  </si>
  <si>
    <t>Feuillu</t>
  </si>
  <si>
    <t>Résineux</t>
  </si>
  <si>
    <t>Bois énergie</t>
  </si>
  <si>
    <t>Forêt</t>
  </si>
  <si>
    <t>2:3</t>
  </si>
  <si>
    <t>Bois exploité</t>
  </si>
  <si>
    <t>Bois d'œuvre:Bois d'industrie:Bois énergie</t>
  </si>
  <si>
    <t>Plaquettes forestières F</t>
  </si>
  <si>
    <t>Plaquettes forestières R</t>
  </si>
  <si>
    <t>Bois exploité F</t>
  </si>
  <si>
    <t>Bois exploité R</t>
  </si>
  <si>
    <t>Placages F</t>
  </si>
  <si>
    <t>Placages R</t>
  </si>
  <si>
    <t>Pâte à papier R</t>
  </si>
  <si>
    <t>Pâte à papier F</t>
  </si>
  <si>
    <t>Panneaux F</t>
  </si>
  <si>
    <t>Panneaux R</t>
  </si>
  <si>
    <t>Produits de la 2nde transformation</t>
  </si>
  <si>
    <t>Parquets</t>
  </si>
  <si>
    <t>3</t>
  </si>
  <si>
    <t>2</t>
  </si>
  <si>
    <t>Stock initial F</t>
  </si>
  <si>
    <t>Stock initial R</t>
  </si>
  <si>
    <t>Stock final F</t>
  </si>
  <si>
    <t>Stock final R</t>
  </si>
  <si>
    <t>Pertes de récolte</t>
  </si>
  <si>
    <t>Usines de tranchage et déroulage</t>
  </si>
  <si>
    <t>Usines de tranchage et déroulage F</t>
  </si>
  <si>
    <t>Usines de tranchage et déroulage R</t>
  </si>
  <si>
    <t>Usines de panneaux F</t>
  </si>
  <si>
    <t>Usines de panneaux R</t>
  </si>
  <si>
    <t>Fabrication de pâte à papier F</t>
  </si>
  <si>
    <t>Fabrication de pâte à papier R</t>
  </si>
  <si>
    <t>2nde Transformation</t>
  </si>
  <si>
    <t>Fabrication de parquets</t>
  </si>
  <si>
    <t>Plaquettes</t>
  </si>
  <si>
    <t>Bois bûche officiel</t>
  </si>
  <si>
    <t>Bois bûche circuit court</t>
  </si>
  <si>
    <t>Bois hors forêt circuit court</t>
  </si>
  <si>
    <t>Bois bûche officiel F</t>
  </si>
  <si>
    <t>Bois bûche officiel R</t>
  </si>
  <si>
    <t>Bois circuit court</t>
  </si>
  <si>
    <t>Produits de la 1ère transformation bois d'œuvre</t>
  </si>
  <si>
    <t>Produits de la 1ère transformation bois d'œuvre F</t>
  </si>
  <si>
    <t>Produits de la 1ère transformation bois d'œuvre R</t>
  </si>
  <si>
    <t>Produits de la 1ère transformation bois d'industrie</t>
  </si>
  <si>
    <t>Produits de la 1ère transformation bois d'industrie F</t>
  </si>
  <si>
    <t>Produits de la 1ère transformation bois d'industrie R</t>
  </si>
  <si>
    <t>1ère Transformation bois d'œuvre</t>
  </si>
  <si>
    <t>1ère Transformation bois d'industrie</t>
  </si>
  <si>
    <t>1ère Transformation bois d'œuvre R</t>
  </si>
  <si>
    <t>1ère Transformation bois d'industrie F</t>
  </si>
  <si>
    <t>1ère Transformation bois d'industrie R</t>
  </si>
  <si>
    <t>1ère Transformation bois d'œuvre F</t>
  </si>
  <si>
    <t>origin</t>
  </si>
  <si>
    <t>destination</t>
  </si>
  <si>
    <t>value</t>
  </si>
  <si>
    <t>uncert</t>
  </si>
  <si>
    <t>quantity</t>
  </si>
  <si>
    <t>unit</t>
  </si>
  <si>
    <t>factor</t>
  </si>
  <si>
    <t>source</t>
  </si>
  <si>
    <t>IFN (2013-2017)</t>
  </si>
  <si>
    <t>IFN (2008-2017)</t>
  </si>
  <si>
    <t>MOFOB (traitement FCBA), hypothèse de répartition</t>
  </si>
  <si>
    <t>Mémento FCBA (moyenne 2009-2013)</t>
  </si>
  <si>
    <t>min</t>
  </si>
  <si>
    <t>max</t>
  </si>
  <si>
    <t>min unit</t>
  </si>
  <si>
    <t>max unit</t>
  </si>
  <si>
    <t>Prise en compte des min régionaux</t>
  </si>
  <si>
    <t>id</t>
  </si>
  <si>
    <t>eq = 0</t>
  </si>
  <si>
    <t>eq &lt;= 0</t>
  </si>
  <si>
    <t>eq &gt;= 0</t>
  </si>
  <si>
    <t>Equilibre matière ?</t>
  </si>
  <si>
    <t>Traduction</t>
  </si>
  <si>
    <t>Le rendement des scieries F (volume de sciages / bois sur écorce en entrée de process) est compris entre 40% et 50%
NB : On cherche à estimer le rendement moyen des scieries de la région, pas les extrêmes constatés dans la réalité.</t>
  </si>
  <si>
    <t>Le rendement des scieries R (volume de sciages / bois sur écorce en entrée de process) est compris entre 45% et 55%.
NB : On cherche à estimer le rendement moyen des scieries de la région, pas les extrêmes constatés dans la réalité.</t>
  </si>
  <si>
    <t>Le rendement des usines de tranchages/déroulage (volume de placages / bois sur écorce en entrée de process) est compris entre 40% et 55% (selon l'essence).</t>
  </si>
  <si>
    <t>67% des connexes hors écorces produits sont des plaquettes (le reste, 33% sont des sciures).</t>
  </si>
  <si>
    <t>Idem</t>
  </si>
  <si>
    <t>Le taux d'écorce sur les feuillus en entrée des scieries est de 12% (la scierie génère 0,12 unités d'écorces pour 1 unité de bois brut feuillus en entrée)</t>
  </si>
  <si>
    <t>Idem résnineux (mais 15%)</t>
  </si>
  <si>
    <t>Idem s'il s'agit d'une usine de tranchage/déroulage</t>
  </si>
  <si>
    <t>Idem s'il s'agit d'une usine de trituration (pâte à papier ou panneaux)</t>
  </si>
  <si>
    <t>idem s'il s'agit d'une usine de contreplaqué</t>
  </si>
  <si>
    <t>idem</t>
  </si>
  <si>
    <t>Pour une unité de pâte mécanique produite, l'usine produit entre 0.045 et 0.055 unités de résidus.</t>
  </si>
  <si>
    <t>Pour une unité de pâte chimique produite, l'usine produit entre 0.95 et 1.05 unités de résidus.</t>
  </si>
  <si>
    <t>0,77 * papier carton utilisé par la conso finale est égal à 1* papier recycler produit par celle-ci.
77% du papier consommé est trié pour être recyclé.</t>
  </si>
  <si>
    <t>volume de bois sur pied feuillus exploité &gt;= volume BO et BI feuillus produit</t>
  </si>
  <si>
    <t>volume de bois sur pied résineux exploité &gt;= volume BO et BI résineux produit</t>
  </si>
  <si>
    <t>Pour une unité de papier carton produite, il faut entre 0.55 et 0.70 unités de papier à recycler. Le reste provient de la pâte à papier (non recyclée) car il faut respecter l'équilibre matière sur ce secteur (soit entre 30% et 45%).</t>
  </si>
  <si>
    <t>Pertes = 0,08*BO + 0.15*BIBE</t>
  </si>
  <si>
    <t>Pertes F &gt;= 0,08*BO F + 0.15*BIBE F
(Pour avoir l'égalité il faudrait ajouter le bois bûche officiel F)</t>
  </si>
  <si>
    <t>Pertes R &gt;= 0,08*BO R + 0.15*BIBE R
(Pour avoir l'égalité il faudrait ajouter le bois bûche officiel R)</t>
  </si>
  <si>
    <t>Les usines de trituration utilisent au moins 1.2 fois plus de (bois rond + connexes + plaquettes) que de déchets.</t>
  </si>
  <si>
    <t>Nécessaire pour empêcher le modèle de transformer du bois hors forêt en bois bûche circuit court ou inversement de transformer du bois sur pied (forêt) en bois hors forêt circuit court.</t>
  </si>
  <si>
    <t>Au moins 80% du bois bûche officiel (EAB) est consommé localement par les ménages.</t>
  </si>
  <si>
    <t>Local</t>
  </si>
  <si>
    <t>Produit</t>
  </si>
  <si>
    <t>Commentaire</t>
  </si>
  <si>
    <t>humidité sur sec</t>
  </si>
  <si>
    <t>humidité sur brut</t>
  </si>
  <si>
    <t>% autres composants</t>
  </si>
  <si>
    <t>Densité du bois comprimé</t>
  </si>
  <si>
    <t>% Feuillus</t>
  </si>
  <si>
    <t>% Résineux</t>
  </si>
  <si>
    <t>Unité naturelle</t>
  </si>
  <si>
    <t>Facteur de conversion (m3f/unité naturelle)</t>
  </si>
  <si>
    <t xml:space="preserve">unité naturelle / m3f </t>
  </si>
  <si>
    <t>t MS / m3f</t>
  </si>
  <si>
    <t>t / m3f</t>
  </si>
  <si>
    <t>MWh / t</t>
  </si>
  <si>
    <t>MWh / m3f</t>
  </si>
  <si>
    <t>m3 bois fort tige / m3f</t>
  </si>
  <si>
    <t>m3 / m3f</t>
  </si>
  <si>
    <t>MAP / m3f</t>
  </si>
  <si>
    <t>Stéres / m3f</t>
  </si>
  <si>
    <t>Explication des formules utilisées pour chaque colonne</t>
  </si>
  <si>
    <t>Hypothèses
hs = masse d'eau / masse sèche</t>
  </si>
  <si>
    <t>Hypothèses
hb = masse d'eau / masse totale</t>
  </si>
  <si>
    <t xml:space="preserve">Hypothèses
 (fraction volumique ou fraction massique)
</t>
  </si>
  <si>
    <t>Hypothèses</t>
  </si>
  <si>
    <t>Unités dans lesquelles 
le produit est communément 
exprimée</t>
  </si>
  <si>
    <t>Calculé à partir des colonnes précédentes.
Si unité naturelle = tonnes : 1/(tonnes/m3f)
Si unité naturelle = m3 : 1/(m3/m3f)
etc.</t>
  </si>
  <si>
    <t>Inverse de la colonne précédente.
Redondant avec une des colonnes précédentes mais permet d'avoir l'info sur une seule colonne pour tous les produits.</t>
  </si>
  <si>
    <t xml:space="preserve">Il s'agit par définition de l'infra-densité (masse sèche / volume vert). </t>
  </si>
  <si>
    <t>Masse de bois = Masse sèche / (1 - humidité sur brut)
Pour un produit comprenant x% d'autres substances que du bois, il faut encore diviser par 1/(1-x). Par exemple, si un produit contient 50% de métal, on a : masse totale = masse de bois / (1-0.5) = 2*masse de bois.</t>
  </si>
  <si>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</si>
  <si>
    <t>PCI/m3f = PCI/tonne * tonne/m3f</t>
  </si>
  <si>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</si>
  <si>
    <t xml:space="preserve">Hypothèse d'un point de saturation des fibres à 30% d'humidité sur sec quelque soit l'essence.
m3(plein) du produit
m3 = 1 - rétractation volumique
Si hs &gt; sat, pas de rétractation
Si hs &lt; sat : rétractation = (sat-hs)*(retrait volumique par %hs), pondéré par les essences F, R. 
Pour le cas des panneaux où le bois est comprimé : m3 = tonne / masse vol du bois comprimé.
</t>
  </si>
  <si>
    <t>MAP = m3 apparent plaquette
1 map = 0,4 m3 (plein) ou 2.5 map = 1m3 (plein)</t>
  </si>
  <si>
    <t>1,5 stère de bois frais = 1m3 réel de bois</t>
  </si>
  <si>
    <t>m3</t>
  </si>
  <si>
    <t>t</t>
  </si>
  <si>
    <t>m3 bois rond</t>
  </si>
  <si>
    <t>utilisé par la trituration</t>
  </si>
  <si>
    <t>Stéres</t>
  </si>
  <si>
    <t>utilisées par les ménages</t>
  </si>
  <si>
    <t>MAP</t>
  </si>
  <si>
    <t>m3 de sciage</t>
  </si>
  <si>
    <t>Connexes hors écorces et déchets</t>
  </si>
  <si>
    <t>utilisés par la trituration</t>
  </si>
  <si>
    <t>Echanges</t>
  </si>
  <si>
    <t>données sitram (fret)</t>
  </si>
  <si>
    <t>Pas de données d'entrée</t>
  </si>
  <si>
    <t>k tonne MS</t>
  </si>
  <si>
    <t>Bois rond F hors BE</t>
  </si>
  <si>
    <t>Bois rond R hors BE</t>
  </si>
  <si>
    <t xml:space="preserve"> (source : https://agritrop.cirad.fr/589166)</t>
  </si>
  <si>
    <t>http://www.afpia-estnord.fr/fichiers/download/Article%20Bernard%20Le%20Bouvet.pdf</t>
  </si>
  <si>
    <t>essence</t>
  </si>
  <si>
    <t xml:space="preserve">masse volumique 15% hs </t>
  </si>
  <si>
    <t>infra-densité 
(masse sèche / volume vert)</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</si>
  <si>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</si>
  <si>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</si>
  <si>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</si>
  <si>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</si>
  <si>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</si>
  <si>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</si>
  <si>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</si>
  <si>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</si>
  <si>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</si>
  <si>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</si>
  <si>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</si>
  <si>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</si>
  <si>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</si>
  <si>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</si>
  <si>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</si>
  <si>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</si>
  <si>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</si>
  <si>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</si>
  <si>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</si>
  <si>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</si>
  <si>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</si>
  <si>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</si>
  <si>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</si>
  <si>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</si>
  <si>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</si>
  <si>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</si>
  <si>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</si>
  <si>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</si>
  <si>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</si>
  <si>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</si>
  <si>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Bois d'œuvre:Bois d'industrie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</si>
</sst>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6" x14ac:knownFonts="1">
    <font>
      <sz val="10"/>
      <name val="Verdana"/>
      <charset val="1"/>
    </font>
    <font>
      <b/>
      <sz val="10"/>
      <name val="Verdana"/>
    </font>
    <font>
      <b/>
      <sz val="10"/>
      <color rgb="FFFFFFFF"/>
      <name val="Verdana"/>
    </font>
    <font>
      <sz val="8"/>
      <name val="Verdana"/>
      <charset val="1"/>
    </font>
    <font>
      <sz val="10"/>
      <name val="Verdana"/>
    </font>
    <font>
      <sz val="10"/>
      <name val="Verdana"/>
      <family val="2"/>
    </font>
    <font>
      <b/>
      <sz val="10"/>
      <color rgb="FFFFFFFF"/>
      <name val="Verdana"/>
      <family val="2"/>
    </font>
    <font>
      <sz val="8"/>
      <name val="Verdana"/>
      <family val="2"/>
    </font>
    <font>
      <sz val="11"/>
      <name val="Calibri"/>
      <family val="2"/>
    </font>
    <font>
      <b/>
      <sz val="10"/>
      <name val="Verdana"/>
      <family val="2"/>
    </font>
    <font>
      <sz val="11"/>
      <name val="Verdana"/>
      <family val="2"/>
    </font>
    <font>
      <u/>
      <sz val="10"/>
      <name val="Verdana"/>
      <family val="2"/>
    </font>
    <font>
      <b/>
      <sz val="10"/>
      <color theme="1"/>
      <name val="Verdana"/>
      <family val="2"/>
    </font>
    <font>
      <sz val="10"/>
      <color theme="1"/>
      <name val="Verdana"/>
      <family val="2"/>
    </font>
    <font>
      <sz val="10"/>
      <name val="Courier"/>
      <family val="1"/>
    </font>
    <font>
      <sz val="10"/>
      <color theme="4" tint="-0.249977111117893"/>
      <name val="Verdana"/>
      <family val="2"/>
    </font>
  </fonts>
  <fills count="31">
    <fill>
      <patternFill patternType="none"/>
    </fill>
    <fill>
      <patternFill patternType="gray125"/>
    </fill>
    <fill>
      <patternFill patternType="solid">
        <fgColor rgb="FF9BBB59"/>
      </patternFill>
    </fill>
    <fill>
      <patternFill patternType="solid">
        <fgColor rgb="FF4F81BD"/>
      </patternFill>
    </fill>
    <fill>
      <patternFill patternType="solid">
        <fgColor rgb="FF87AAFF"/>
      </patternFill>
    </fill>
    <fill>
      <patternFill patternType="solid">
        <fgColor rgb="FFA5BFFF"/>
      </patternFill>
    </fill>
    <fill>
      <patternFill patternType="solid">
        <fgColor rgb="FFC3D5FF"/>
      </patternFill>
    </fill>
    <fill>
      <patternFill patternType="solid">
        <fgColor rgb="FFE1EAFF"/>
      </patternFill>
    </fill>
    <fill>
      <patternFill patternType="solid">
        <fgColor rgb="FFFFFFFF"/>
      </patternFill>
    </fill>
    <fill>
      <patternFill patternType="solid">
        <fgColor rgb="FF87A9D2"/>
      </patternFill>
    </fill>
    <fill>
      <patternFill patternType="solid">
        <fgColor rgb="FF00B05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6699"/>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indexed="2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FFFF00"/>
        <bgColor indexed="64"/>
      </patternFill>
    </fill>
  </fills>
  <borders count="29">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rgb="FF000000"/>
      </right>
      <top style="thin">
        <color rgb="FF000000"/>
      </top>
      <bottom/>
      <diagonal/>
    </border>
    <border>
      <left/>
      <right style="thin">
        <color indexed="64"/>
      </right>
      <top/>
      <bottom/>
      <diagonal/>
    </border>
    <border>
      <left style="thin">
        <color indexed="64"/>
      </left>
      <right style="thin">
        <color rgb="FF000000"/>
      </right>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rgb="FF000000"/>
      </right>
      <top/>
      <bottom style="thin">
        <color indexed="64"/>
      </bottom>
      <diagonal/>
    </border>
    <border>
      <left style="thin">
        <color auto="1"/>
      </left>
      <right style="thin">
        <color auto="1"/>
      </right>
      <top style="thin">
        <color auto="1"/>
      </top>
      <bottom/>
      <diagonal/>
    </border>
    <border>
      <left style="thin">
        <color indexed="64"/>
      </left>
      <right style="thin">
        <color rgb="FF000000"/>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s>
  <cellStyleXfs count="4">
    <xf numFmtId="0" fontId="0" fillId="0" borderId="0"/>
    <xf numFmtId="0" fontId="5" fillId="0" borderId="0"/>
    <xf numFmtId="9" fontId="5" fillId="0" borderId="0"/>
    <xf numFmtId="0" fontId="4" fillId="0" borderId="0"/>
  </cellStyleXfs>
  <cellXfs count="307">
    <xf numFmtId="0" fontId="0" fillId="0" borderId="0" xfId="0"/>
    <xf numFmtId="0" fontId="2" fillId="2" borderId="2" xfId="0" applyFont="1" applyFill="1" applyBorder="1" applyAlignment="1">
      <alignment vertical="top" wrapText="1" shrinkToFit="1"/>
    </xf>
    <xf numFmtId="0" fontId="0" fillId="0" borderId="3" xfId="0" applyBorder="1" applyAlignment="1">
      <alignment horizontal="center" vertical="center"/>
    </xf>
    <xf numFmtId="0" fontId="2" fillId="3" borderId="2" xfId="0" applyFont="1" applyFill="1" applyBorder="1" applyAlignment="1">
      <alignment vertical="top" wrapText="1" shrinkToFit="1"/>
    </xf>
    <xf numFmtId="0" fontId="0" fillId="4" borderId="4" xfId="0" applyFill="1" applyBorder="1" applyAlignment="1">
      <alignment horizontal="center" vertical="center"/>
    </xf>
    <xf numFmtId="0" fontId="0" fillId="5" borderId="4" xfId="0" applyFill="1" applyBorder="1" applyAlignment="1">
      <alignment horizontal="center" vertical="center"/>
    </xf>
    <xf numFmtId="0" fontId="0" fillId="6" borderId="4" xfId="0" applyFill="1" applyBorder="1" applyAlignment="1">
      <alignment horizontal="center" vertical="center"/>
    </xf>
    <xf numFmtId="0" fontId="0" fillId="6" borderId="3" xfId="0" applyFill="1" applyBorder="1" applyAlignment="1">
      <alignment horizontal="center" vertical="center"/>
    </xf>
    <xf numFmtId="0" fontId="0" fillId="7" borderId="4" xfId="0" applyFill="1" applyBorder="1" applyAlignment="1">
      <alignment horizontal="center" vertical="center"/>
    </xf>
    <xf numFmtId="0" fontId="0" fillId="7" borderId="3" xfId="0" applyFill="1" applyBorder="1" applyAlignment="1">
      <alignment horizontal="center" vertical="center"/>
    </xf>
    <xf numFmtId="0" fontId="0" fillId="8" borderId="4" xfId="0" applyFill="1" applyBorder="1" applyAlignment="1">
      <alignment horizontal="center" vertical="center"/>
    </xf>
    <xf numFmtId="0" fontId="0" fillId="8" borderId="3" xfId="0" applyFill="1" applyBorder="1" applyAlignment="1">
      <alignment horizontal="center" vertical="center"/>
    </xf>
    <xf numFmtId="0" fontId="0" fillId="5" borderId="3" xfId="0" applyFill="1" applyBorder="1" applyAlignment="1">
      <alignment horizontal="center" vertical="center"/>
    </xf>
    <xf numFmtId="0" fontId="0" fillId="0" borderId="0" xfId="0" applyAlignment="1">
      <alignment horizontal="left" textRotation="45"/>
    </xf>
    <xf numFmtId="0" fontId="2" fillId="9" borderId="2" xfId="0" applyFont="1" applyFill="1" applyBorder="1" applyAlignment="1">
      <alignment horizontal="center" vertical="top"/>
    </xf>
    <xf numFmtId="0" fontId="1" fillId="0" borderId="2" xfId="0" applyFont="1" applyBorder="1" applyAlignment="1">
      <alignment horizontal="center" vertical="top"/>
    </xf>
    <xf numFmtId="0" fontId="2" fillId="9" borderId="0" xfId="0" applyFont="1" applyFill="1"/>
    <xf numFmtId="0" fontId="0" fillId="0" borderId="3" xfId="0" applyBorder="1" applyAlignment="1">
      <alignment horizontal="left" vertical="center"/>
    </xf>
    <xf numFmtId="0" fontId="0" fillId="0" borderId="0" xfId="0" applyAlignment="1">
      <alignment horizontal="left"/>
    </xf>
    <xf numFmtId="20" fontId="0" fillId="0" borderId="0" xfId="0" quotePrefix="1" applyNumberFormat="1" applyAlignment="1">
      <alignment horizontal="right"/>
    </xf>
    <xf numFmtId="0" fontId="0" fillId="0" borderId="0" xfId="0" quotePrefix="1" applyAlignment="1">
      <alignment horizontal="right"/>
    </xf>
    <xf numFmtId="49" fontId="0" fillId="4" borderId="4" xfId="0" applyNumberFormat="1" applyFill="1" applyBorder="1" applyAlignment="1">
      <alignment horizontal="center" vertical="center"/>
    </xf>
    <xf numFmtId="49" fontId="0" fillId="6" borderId="4" xfId="0" applyNumberFormat="1" applyFill="1" applyBorder="1" applyAlignment="1">
      <alignment horizontal="center" vertical="center"/>
    </xf>
    <xf numFmtId="49" fontId="0" fillId="8" borderId="4" xfId="0" applyNumberFormat="1" applyFill="1" applyBorder="1" applyAlignment="1">
      <alignment horizontal="center" vertical="center"/>
    </xf>
    <xf numFmtId="49" fontId="0" fillId="8" borderId="3" xfId="0" applyNumberFormat="1" applyFill="1" applyBorder="1" applyAlignment="1">
      <alignment horizontal="center" vertical="center"/>
    </xf>
    <xf numFmtId="49" fontId="0" fillId="6" borderId="3" xfId="0" applyNumberFormat="1"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0" borderId="7" xfId="0" applyBorder="1"/>
    <xf numFmtId="0" fontId="0" fillId="6" borderId="9" xfId="0" applyFill="1" applyBorder="1" applyAlignment="1">
      <alignment horizontal="center" vertical="center"/>
    </xf>
    <xf numFmtId="0" fontId="0" fillId="0" borderId="0" xfId="0" applyAlignment="1">
      <alignment horizontal="right"/>
    </xf>
    <xf numFmtId="0" fontId="0" fillId="7" borderId="9" xfId="0" applyFill="1" applyBorder="1" applyAlignment="1">
      <alignment horizontal="center" vertical="center"/>
    </xf>
    <xf numFmtId="0" fontId="0" fillId="7" borderId="11" xfId="0" applyFill="1" applyBorder="1" applyAlignment="1">
      <alignment horizontal="center" vertical="center"/>
    </xf>
    <xf numFmtId="0" fontId="0" fillId="8" borderId="9" xfId="0" applyFill="1" applyBorder="1" applyAlignment="1">
      <alignment horizontal="center" vertical="center"/>
    </xf>
    <xf numFmtId="0" fontId="0" fillId="8" borderId="11" xfId="0" applyFill="1" applyBorder="1" applyAlignment="1">
      <alignment horizontal="center" vertical="center"/>
    </xf>
    <xf numFmtId="0" fontId="0" fillId="4" borderId="9" xfId="0" applyFill="1" applyBorder="1" applyAlignment="1">
      <alignment horizontal="center" vertical="center"/>
    </xf>
    <xf numFmtId="0" fontId="0" fillId="5" borderId="9" xfId="0" applyFill="1" applyBorder="1" applyAlignment="1">
      <alignment horizontal="center" vertical="center"/>
    </xf>
    <xf numFmtId="0" fontId="0" fillId="6" borderId="11"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0" fillId="6" borderId="12" xfId="0" applyFill="1" applyBorder="1" applyAlignment="1">
      <alignment horizontal="center" vertical="center"/>
    </xf>
    <xf numFmtId="0" fontId="0" fillId="6" borderId="13" xfId="0" applyFill="1" applyBorder="1" applyAlignment="1">
      <alignment horizontal="center" vertical="center"/>
    </xf>
    <xf numFmtId="0" fontId="2" fillId="3" borderId="20" xfId="0" applyFont="1" applyFill="1" applyBorder="1" applyAlignment="1">
      <alignment vertical="top" wrapText="1" shrinkToFit="1"/>
    </xf>
    <xf numFmtId="0" fontId="0" fillId="10" borderId="8" xfId="0" applyFill="1" applyBorder="1"/>
    <xf numFmtId="49" fontId="0" fillId="4" borderId="6" xfId="0" applyNumberFormat="1" applyFill="1" applyBorder="1" applyAlignment="1">
      <alignment horizontal="center" vertical="center"/>
    </xf>
    <xf numFmtId="0" fontId="0" fillId="5" borderId="21" xfId="0" applyFill="1" applyBorder="1" applyAlignment="1">
      <alignment horizontal="center" vertical="center"/>
    </xf>
    <xf numFmtId="0" fontId="0" fillId="5" borderId="19" xfId="0" applyFill="1" applyBorder="1" applyAlignment="1">
      <alignment horizontal="center" vertical="center"/>
    </xf>
    <xf numFmtId="49" fontId="0" fillId="6" borderId="4" xfId="0" quotePrefix="1" applyNumberFormat="1" applyFill="1" applyBorder="1" applyAlignment="1">
      <alignment horizontal="center" vertical="center"/>
    </xf>
    <xf numFmtId="0" fontId="0" fillId="4" borderId="22" xfId="0" applyFill="1" applyBorder="1" applyAlignment="1">
      <alignment horizontal="center" vertical="center"/>
    </xf>
    <xf numFmtId="0" fontId="0" fillId="4" borderId="7" xfId="0" applyFill="1" applyBorder="1" applyAlignment="1">
      <alignment horizontal="center" vertical="center"/>
    </xf>
    <xf numFmtId="0" fontId="0" fillId="6" borderId="23" xfId="0" applyFill="1" applyBorder="1" applyAlignment="1">
      <alignment horizontal="center" vertical="center"/>
    </xf>
    <xf numFmtId="0" fontId="0" fillId="6" borderId="21" xfId="0" applyFill="1" applyBorder="1" applyAlignment="1">
      <alignment horizontal="center" vertical="center"/>
    </xf>
    <xf numFmtId="0" fontId="0" fillId="6" borderId="19" xfId="0" applyFill="1" applyBorder="1" applyAlignment="1">
      <alignment horizontal="center" vertical="center"/>
    </xf>
    <xf numFmtId="0" fontId="2" fillId="9" borderId="2" xfId="0" applyFont="1" applyFill="1" applyBorder="1" applyAlignment="1">
      <alignment horizontal="left" textRotation="90" wrapText="1"/>
    </xf>
    <xf numFmtId="0" fontId="2" fillId="9" borderId="2" xfId="0" applyFont="1" applyFill="1" applyBorder="1" applyAlignment="1">
      <alignment horizontal="left" textRotation="90"/>
    </xf>
    <xf numFmtId="0" fontId="0" fillId="0" borderId="0" xfId="0" applyAlignment="1">
      <alignment wrapText="1"/>
    </xf>
    <xf numFmtId="0" fontId="2" fillId="9" borderId="0" xfId="0" applyFont="1" applyFill="1" applyAlignment="1">
      <alignment wrapText="1"/>
    </xf>
    <xf numFmtId="0" fontId="0" fillId="4" borderId="3" xfId="0" applyFill="1" applyBorder="1" applyAlignment="1">
      <alignment horizontal="center" vertical="center"/>
    </xf>
    <xf numFmtId="0" fontId="0" fillId="4" borderId="11" xfId="0" applyFill="1" applyBorder="1" applyAlignment="1">
      <alignment horizontal="center" vertical="center"/>
    </xf>
    <xf numFmtId="0" fontId="0" fillId="4" borderId="16" xfId="0" applyFill="1" applyBorder="1" applyAlignment="1">
      <alignment horizontal="center" vertical="center"/>
    </xf>
    <xf numFmtId="0" fontId="0" fillId="6" borderId="0" xfId="0" applyFill="1" applyAlignment="1">
      <alignment horizontal="center" vertical="center"/>
    </xf>
    <xf numFmtId="0" fontId="0" fillId="6" borderId="17" xfId="0" applyFill="1" applyBorder="1" applyAlignment="1">
      <alignment horizontal="center" vertical="center"/>
    </xf>
    <xf numFmtId="0" fontId="0" fillId="6" borderId="18" xfId="0" applyFill="1" applyBorder="1" applyAlignment="1">
      <alignment horizontal="center" vertical="center"/>
    </xf>
    <xf numFmtId="0" fontId="2" fillId="9" borderId="1" xfId="0" applyFont="1" applyFill="1" applyBorder="1" applyAlignment="1">
      <alignment horizontal="left" textRotation="90" wrapText="1"/>
    </xf>
    <xf numFmtId="0" fontId="5" fillId="6" borderId="4" xfId="0" applyFont="1" applyFill="1" applyBorder="1" applyAlignment="1">
      <alignment horizontal="center" vertical="center"/>
    </xf>
    <xf numFmtId="0" fontId="5" fillId="6" borderId="9" xfId="0" applyFont="1" applyFill="1" applyBorder="1" applyAlignment="1">
      <alignment horizontal="center" vertical="center"/>
    </xf>
    <xf numFmtId="0" fontId="6" fillId="9" borderId="2" xfId="0" applyFont="1" applyFill="1" applyBorder="1" applyAlignment="1">
      <alignment horizontal="center" vertical="top"/>
    </xf>
    <xf numFmtId="0" fontId="6" fillId="9" borderId="2" xfId="0" applyFont="1" applyFill="1" applyBorder="1" applyAlignment="1">
      <alignment horizontal="left" textRotation="90" wrapText="1"/>
    </xf>
    <xf numFmtId="0" fontId="5" fillId="6" borderId="3" xfId="0" applyFont="1" applyFill="1" applyBorder="1" applyAlignment="1">
      <alignment horizontal="center" vertical="center"/>
    </xf>
    <xf numFmtId="21" fontId="0" fillId="0" borderId="3" xfId="0" quotePrefix="1" applyNumberFormat="1" applyBorder="1" applyAlignment="1">
      <alignment horizontal="center" vertical="center"/>
    </xf>
    <xf numFmtId="0" fontId="5" fillId="0" borderId="0" xfId="0" quotePrefix="1" applyFont="1" applyAlignment="1">
      <alignment horizontal="right"/>
    </xf>
    <xf numFmtId="0" fontId="5" fillId="7" borderId="9" xfId="0" applyFont="1" applyFill="1" applyBorder="1" applyAlignment="1">
      <alignment horizontal="center" vertical="center"/>
    </xf>
    <xf numFmtId="0" fontId="5" fillId="6" borderId="4" xfId="0" quotePrefix="1" applyFont="1" applyFill="1" applyBorder="1" applyAlignment="1">
      <alignment horizontal="center" vertical="center"/>
    </xf>
    <xf numFmtId="0" fontId="5" fillId="8" borderId="4" xfId="0" quotePrefix="1" applyFont="1" applyFill="1" applyBorder="1" applyAlignment="1">
      <alignment horizontal="center" vertical="center"/>
    </xf>
    <xf numFmtId="0" fontId="5" fillId="6" borderId="0" xfId="0" quotePrefix="1" applyFont="1" applyFill="1" applyAlignment="1">
      <alignment horizontal="center" vertical="center"/>
    </xf>
    <xf numFmtId="0" fontId="1" fillId="11" borderId="0" xfId="0" applyFont="1" applyFill="1"/>
    <xf numFmtId="1" fontId="0" fillId="0" borderId="0" xfId="0" applyNumberFormat="1"/>
    <xf numFmtId="9" fontId="0" fillId="0" borderId="0" xfId="0" applyNumberFormat="1"/>
    <xf numFmtId="2" fontId="0" fillId="0" borderId="0" xfId="0" applyNumberFormat="1"/>
    <xf numFmtId="0" fontId="4" fillId="0" borderId="0" xfId="0" applyFont="1" applyAlignment="1">
      <alignment horizontal="left" vertical="center" wrapText="1"/>
    </xf>
    <xf numFmtId="1" fontId="4" fillId="0" borderId="0" xfId="0" applyNumberFormat="1" applyFont="1"/>
    <xf numFmtId="164" fontId="4" fillId="0" borderId="0" xfId="0" applyNumberFormat="1" applyFont="1"/>
    <xf numFmtId="0" fontId="4" fillId="0" borderId="0" xfId="0" applyFont="1"/>
    <xf numFmtId="2" fontId="4" fillId="0" borderId="0" xfId="0" applyNumberFormat="1" applyFont="1"/>
    <xf numFmtId="0" fontId="8" fillId="0" borderId="1" xfId="0" applyFont="1" applyBorder="1" applyAlignment="1">
      <alignment horizontal="left" vertical="center" wrapText="1"/>
    </xf>
    <xf numFmtId="0" fontId="2" fillId="3" borderId="1" xfId="0" applyFont="1" applyFill="1" applyBorder="1" applyAlignment="1">
      <alignment vertical="top" wrapText="1" shrinkToFit="1"/>
    </xf>
    <xf numFmtId="0" fontId="9" fillId="11" borderId="0" xfId="0" applyFont="1" applyFill="1"/>
    <xf numFmtId="0" fontId="9" fillId="11" borderId="22" xfId="0" applyFont="1" applyFill="1" applyBorder="1"/>
    <xf numFmtId="0" fontId="9" fillId="11" borderId="7" xfId="0" applyFont="1" applyFill="1" applyBorder="1"/>
    <xf numFmtId="0" fontId="9" fillId="11" borderId="8" xfId="0" applyFont="1" applyFill="1" applyBorder="1"/>
    <xf numFmtId="0" fontId="9" fillId="11" borderId="20" xfId="0" applyFont="1" applyFill="1" applyBorder="1" applyAlignment="1">
      <alignment horizontal="left" vertical="center"/>
    </xf>
    <xf numFmtId="0" fontId="0" fillId="12" borderId="22" xfId="0" applyFill="1" applyBorder="1"/>
    <xf numFmtId="0" fontId="0" fillId="12" borderId="7" xfId="0" applyFill="1" applyBorder="1"/>
    <xf numFmtId="1" fontId="5" fillId="12" borderId="7" xfId="0" applyNumberFormat="1" applyFont="1" applyFill="1" applyBorder="1"/>
    <xf numFmtId="2" fontId="0" fillId="12" borderId="22" xfId="0" applyNumberFormat="1" applyFill="1" applyBorder="1"/>
    <xf numFmtId="1" fontId="0" fillId="12" borderId="7" xfId="0" applyNumberFormat="1" applyFill="1" applyBorder="1"/>
    <xf numFmtId="1" fontId="0" fillId="12" borderId="8" xfId="0" applyNumberFormat="1" applyFill="1" applyBorder="1"/>
    <xf numFmtId="0" fontId="0" fillId="12" borderId="24" xfId="0" applyFill="1" applyBorder="1"/>
    <xf numFmtId="0" fontId="0" fillId="12" borderId="14" xfId="0" applyFill="1" applyBorder="1"/>
    <xf numFmtId="1" fontId="5" fillId="12" borderId="14" xfId="0" applyNumberFormat="1" applyFont="1" applyFill="1" applyBorder="1"/>
    <xf numFmtId="2" fontId="0" fillId="12" borderId="24" xfId="0" applyNumberFormat="1" applyFill="1" applyBorder="1"/>
    <xf numFmtId="2" fontId="0" fillId="12" borderId="14" xfId="0" applyNumberFormat="1" applyFill="1" applyBorder="1"/>
    <xf numFmtId="2" fontId="0" fillId="12" borderId="15" xfId="0" applyNumberFormat="1" applyFill="1" applyBorder="1"/>
    <xf numFmtId="0" fontId="8" fillId="12" borderId="7" xfId="0" applyFont="1" applyFill="1" applyBorder="1" applyAlignment="1">
      <alignment horizontal="left" vertical="center" wrapText="1"/>
    </xf>
    <xf numFmtId="0" fontId="0" fillId="12" borderId="23" xfId="0" applyFill="1" applyBorder="1"/>
    <xf numFmtId="0" fontId="0" fillId="12" borderId="0" xfId="0" applyFill="1"/>
    <xf numFmtId="0" fontId="8" fillId="12" borderId="0" xfId="0" applyFont="1" applyFill="1" applyAlignment="1">
      <alignment horizontal="left" vertical="center" wrapText="1"/>
    </xf>
    <xf numFmtId="0" fontId="8" fillId="12" borderId="10" xfId="0" applyFont="1" applyFill="1" applyBorder="1" applyAlignment="1">
      <alignment horizontal="left" vertical="center" wrapText="1"/>
    </xf>
    <xf numFmtId="2" fontId="0" fillId="12" borderId="0" xfId="0" applyNumberFormat="1" applyFill="1"/>
    <xf numFmtId="2" fontId="0" fillId="12" borderId="10" xfId="0" applyNumberFormat="1" applyFill="1" applyBorder="1"/>
    <xf numFmtId="0" fontId="8" fillId="12" borderId="15" xfId="0" applyFont="1" applyFill="1" applyBorder="1" applyAlignment="1">
      <alignment horizontal="left" vertical="center" wrapText="1"/>
    </xf>
    <xf numFmtId="0" fontId="0" fillId="13" borderId="22" xfId="0" applyFill="1" applyBorder="1"/>
    <xf numFmtId="0" fontId="0" fillId="13" borderId="7" xfId="0" applyFill="1" applyBorder="1"/>
    <xf numFmtId="0" fontId="5" fillId="13" borderId="7" xfId="0" applyFont="1" applyFill="1" applyBorder="1"/>
    <xf numFmtId="1" fontId="5" fillId="13" borderId="7" xfId="0" applyNumberFormat="1" applyFont="1" applyFill="1" applyBorder="1"/>
    <xf numFmtId="2" fontId="0" fillId="13" borderId="22" xfId="0" applyNumberFormat="1" applyFill="1" applyBorder="1"/>
    <xf numFmtId="2" fontId="0" fillId="13" borderId="7" xfId="0" applyNumberFormat="1" applyFill="1" applyBorder="1"/>
    <xf numFmtId="2" fontId="0" fillId="13" borderId="8" xfId="0" applyNumberFormat="1" applyFill="1" applyBorder="1"/>
    <xf numFmtId="0" fontId="0" fillId="13" borderId="24" xfId="0" applyFill="1" applyBorder="1"/>
    <xf numFmtId="0" fontId="0" fillId="13" borderId="14" xfId="0" applyFill="1" applyBorder="1"/>
    <xf numFmtId="0" fontId="5" fillId="13" borderId="14" xfId="0" applyFont="1" applyFill="1" applyBorder="1"/>
    <xf numFmtId="1" fontId="5" fillId="13" borderId="14" xfId="0" applyNumberFormat="1" applyFont="1" applyFill="1" applyBorder="1"/>
    <xf numFmtId="2" fontId="0" fillId="13" borderId="24" xfId="0" applyNumberFormat="1" applyFill="1" applyBorder="1"/>
    <xf numFmtId="2" fontId="0" fillId="13" borderId="14" xfId="0" applyNumberFormat="1" applyFill="1" applyBorder="1"/>
    <xf numFmtId="2" fontId="0" fillId="13" borderId="15" xfId="0" applyNumberFormat="1" applyFill="1" applyBorder="1"/>
    <xf numFmtId="0" fontId="0" fillId="13" borderId="23" xfId="0" applyFill="1" applyBorder="1"/>
    <xf numFmtId="2" fontId="0" fillId="13" borderId="0" xfId="0" applyNumberFormat="1" applyFill="1"/>
    <xf numFmtId="2" fontId="0" fillId="13" borderId="10" xfId="0" applyNumberFormat="1" applyFill="1" applyBorder="1"/>
    <xf numFmtId="1" fontId="5" fillId="13" borderId="0" xfId="0" applyNumberFormat="1" applyFont="1" applyFill="1"/>
    <xf numFmtId="0" fontId="5" fillId="12" borderId="7" xfId="0" applyFont="1" applyFill="1" applyBorder="1"/>
    <xf numFmtId="1" fontId="5" fillId="12" borderId="8" xfId="0" applyNumberFormat="1" applyFont="1" applyFill="1" applyBorder="1"/>
    <xf numFmtId="1" fontId="0" fillId="12" borderId="22" xfId="0" applyNumberFormat="1" applyFill="1" applyBorder="1"/>
    <xf numFmtId="2" fontId="0" fillId="12" borderId="7" xfId="0" applyNumberFormat="1" applyFill="1" applyBorder="1"/>
    <xf numFmtId="2" fontId="0" fillId="12" borderId="8" xfId="0" applyNumberFormat="1" applyFill="1" applyBorder="1"/>
    <xf numFmtId="0" fontId="5" fillId="12" borderId="14" xfId="0" applyFont="1" applyFill="1" applyBorder="1"/>
    <xf numFmtId="1" fontId="5" fillId="12" borderId="0" xfId="0" applyNumberFormat="1" applyFont="1" applyFill="1"/>
    <xf numFmtId="2" fontId="0" fillId="12" borderId="23" xfId="0" applyNumberFormat="1" applyFill="1" applyBorder="1"/>
    <xf numFmtId="1" fontId="5" fillId="12" borderId="15" xfId="0" applyNumberFormat="1" applyFont="1" applyFill="1" applyBorder="1"/>
    <xf numFmtId="1" fontId="0" fillId="12" borderId="14" xfId="0" applyNumberFormat="1" applyFill="1" applyBorder="1"/>
    <xf numFmtId="1" fontId="0" fillId="13" borderId="7" xfId="0" applyNumberFormat="1" applyFill="1" applyBorder="1"/>
    <xf numFmtId="165" fontId="0" fillId="13" borderId="7" xfId="0" applyNumberFormat="1" applyFill="1" applyBorder="1"/>
    <xf numFmtId="165" fontId="0" fillId="13" borderId="8" xfId="0" applyNumberFormat="1" applyFill="1" applyBorder="1"/>
    <xf numFmtId="1" fontId="0" fillId="13" borderId="14" xfId="0" applyNumberFormat="1" applyFill="1" applyBorder="1"/>
    <xf numFmtId="1" fontId="0" fillId="13" borderId="15" xfId="0" applyNumberFormat="1" applyFill="1" applyBorder="1"/>
    <xf numFmtId="1" fontId="0" fillId="13" borderId="22" xfId="0" applyNumberFormat="1" applyFill="1" applyBorder="1"/>
    <xf numFmtId="0" fontId="0" fillId="13" borderId="8" xfId="0" applyFill="1" applyBorder="1"/>
    <xf numFmtId="0" fontId="0" fillId="13" borderId="0" xfId="0" applyFill="1"/>
    <xf numFmtId="1" fontId="0" fillId="13" borderId="0" xfId="0" applyNumberFormat="1" applyFill="1"/>
    <xf numFmtId="0" fontId="0" fillId="13" borderId="10" xfId="0" applyFill="1" applyBorder="1"/>
    <xf numFmtId="0" fontId="0" fillId="13" borderId="15" xfId="0" applyFill="1" applyBorder="1"/>
    <xf numFmtId="1" fontId="0" fillId="12" borderId="15" xfId="0" applyNumberFormat="1" applyFill="1" applyBorder="1"/>
    <xf numFmtId="0" fontId="10" fillId="12" borderId="7" xfId="0" applyFont="1" applyFill="1" applyBorder="1" applyAlignment="1">
      <alignment horizontal="left" vertical="center" wrapText="1"/>
    </xf>
    <xf numFmtId="0" fontId="0" fillId="12" borderId="8" xfId="0" applyFill="1" applyBorder="1"/>
    <xf numFmtId="0" fontId="5" fillId="12" borderId="0" xfId="0" applyFont="1" applyFill="1"/>
    <xf numFmtId="0" fontId="0" fillId="12" borderId="10" xfId="0" applyFill="1" applyBorder="1"/>
    <xf numFmtId="0" fontId="10" fillId="12" borderId="14" xfId="0" applyFont="1" applyFill="1" applyBorder="1" applyAlignment="1">
      <alignment horizontal="left" vertical="center" wrapText="1"/>
    </xf>
    <xf numFmtId="0" fontId="0" fillId="12" borderId="15" xfId="0" applyFill="1" applyBorder="1"/>
    <xf numFmtId="0" fontId="11" fillId="12" borderId="22" xfId="0" applyFont="1" applyFill="1" applyBorder="1"/>
    <xf numFmtId="0" fontId="10" fillId="12" borderId="0" xfId="0" applyFont="1" applyFill="1" applyAlignment="1">
      <alignment horizontal="left" vertical="center" wrapText="1"/>
    </xf>
    <xf numFmtId="0" fontId="10" fillId="13" borderId="7" xfId="0" applyFont="1" applyFill="1" applyBorder="1" applyAlignment="1">
      <alignment horizontal="left" vertical="center" wrapText="1"/>
    </xf>
    <xf numFmtId="0" fontId="10" fillId="13" borderId="0" xfId="0" applyFont="1" applyFill="1" applyAlignment="1">
      <alignment horizontal="left" vertical="center" wrapText="1"/>
    </xf>
    <xf numFmtId="0" fontId="12" fillId="0" borderId="26" xfId="1" applyFont="1" applyBorder="1" applyAlignment="1">
      <alignment vertical="center" wrapText="1"/>
    </xf>
    <xf numFmtId="0" fontId="12" fillId="0" borderId="27" xfId="1" applyFont="1" applyBorder="1" applyAlignment="1">
      <alignment vertical="center" wrapText="1"/>
    </xf>
    <xf numFmtId="0" fontId="12" fillId="0" borderId="28" xfId="1" applyFont="1" applyBorder="1" applyAlignment="1">
      <alignment vertical="center" wrapText="1"/>
    </xf>
    <xf numFmtId="9" fontId="12" fillId="0" borderId="27" xfId="2" applyFont="1" applyBorder="1" applyAlignment="1">
      <alignment vertical="center" wrapText="1"/>
    </xf>
    <xf numFmtId="165" fontId="12" fillId="14" borderId="26" xfId="1" applyNumberFormat="1" applyFont="1" applyFill="1" applyBorder="1" applyAlignment="1">
      <alignment vertical="center" wrapText="1"/>
    </xf>
    <xf numFmtId="165" fontId="12" fillId="14" borderId="27" xfId="1" applyNumberFormat="1" applyFont="1" applyFill="1" applyBorder="1" applyAlignment="1">
      <alignment vertical="center" wrapText="1"/>
    </xf>
    <xf numFmtId="165" fontId="12" fillId="14" borderId="28" xfId="1" applyNumberFormat="1" applyFont="1" applyFill="1" applyBorder="1" applyAlignment="1">
      <alignment vertical="center" wrapText="1"/>
    </xf>
    <xf numFmtId="165" fontId="12" fillId="0" borderId="27" xfId="1" applyNumberFormat="1" applyFont="1" applyBorder="1" applyAlignment="1">
      <alignment vertical="center" wrapText="1"/>
    </xf>
    <xf numFmtId="165" fontId="12" fillId="0" borderId="7" xfId="1" applyNumberFormat="1" applyFont="1" applyBorder="1" applyAlignment="1">
      <alignment vertical="center" wrapText="1"/>
    </xf>
    <xf numFmtId="0" fontId="9" fillId="0" borderId="0" xfId="1" applyFont="1" applyAlignment="1">
      <alignment vertical="center" wrapText="1"/>
    </xf>
    <xf numFmtId="0" fontId="9" fillId="0" borderId="10" xfId="1" applyFont="1" applyBorder="1" applyAlignment="1">
      <alignment vertical="center" wrapText="1"/>
    </xf>
    <xf numFmtId="0" fontId="12" fillId="15" borderId="28" xfId="1" applyFont="1" applyFill="1" applyBorder="1" applyAlignment="1">
      <alignment vertical="center" wrapText="1"/>
    </xf>
    <xf numFmtId="0" fontId="13" fillId="15" borderId="27" xfId="1" applyFont="1" applyFill="1" applyBorder="1" applyAlignment="1">
      <alignment vertical="center" wrapText="1"/>
    </xf>
    <xf numFmtId="165" fontId="13" fillId="15" borderId="26" xfId="1" applyNumberFormat="1" applyFont="1" applyFill="1" applyBorder="1" applyAlignment="1">
      <alignment vertical="center" wrapText="1"/>
    </xf>
    <xf numFmtId="165" fontId="13" fillId="15" borderId="27" xfId="1" applyNumberFormat="1" applyFont="1" applyFill="1" applyBorder="1" applyAlignment="1">
      <alignment vertical="center" wrapText="1"/>
    </xf>
    <xf numFmtId="165" fontId="13" fillId="15" borderId="28" xfId="1" applyNumberFormat="1" applyFont="1" applyFill="1" applyBorder="1" applyAlignment="1">
      <alignment vertical="center" wrapText="1"/>
    </xf>
    <xf numFmtId="0" fontId="13" fillId="15" borderId="26" xfId="1" applyFont="1" applyFill="1" applyBorder="1" applyAlignment="1">
      <alignment vertical="center" wrapText="1"/>
    </xf>
    <xf numFmtId="165" fontId="13" fillId="15" borderId="7" xfId="1" applyNumberFormat="1" applyFont="1" applyFill="1" applyBorder="1" applyAlignment="1">
      <alignment vertical="center" wrapText="1"/>
    </xf>
    <xf numFmtId="0" fontId="5" fillId="0" borderId="23" xfId="1" applyBorder="1"/>
    <xf numFmtId="1" fontId="5" fillId="16" borderId="0" xfId="1" applyNumberFormat="1" applyFill="1"/>
    <xf numFmtId="1" fontId="5" fillId="0" borderId="10" xfId="1" applyNumberFormat="1" applyBorder="1"/>
    <xf numFmtId="9" fontId="5" fillId="0" borderId="0" xfId="0" applyNumberFormat="1" applyFont="1"/>
    <xf numFmtId="9" fontId="5" fillId="17" borderId="0" xfId="1" applyNumberFormat="1" applyFill="1"/>
    <xf numFmtId="0" fontId="5" fillId="17" borderId="0" xfId="1" applyFill="1"/>
    <xf numFmtId="9" fontId="0" fillId="17" borderId="0" xfId="2" applyFont="1" applyFill="1"/>
    <xf numFmtId="9" fontId="5" fillId="17" borderId="0" xfId="2" applyFill="1"/>
    <xf numFmtId="2" fontId="13" fillId="14" borderId="0" xfId="1" applyNumberFormat="1" applyFont="1" applyFill="1"/>
    <xf numFmtId="2" fontId="13" fillId="14" borderId="10" xfId="1" applyNumberFormat="1" applyFont="1" applyFill="1" applyBorder="1"/>
    <xf numFmtId="2" fontId="14" fillId="0" borderId="23" xfId="1" applyNumberFormat="1" applyFont="1" applyBorder="1"/>
    <xf numFmtId="2" fontId="5" fillId="10" borderId="0" xfId="1" applyNumberFormat="1" applyFill="1"/>
    <xf numFmtId="2" fontId="5" fillId="0" borderId="0" xfId="1" applyNumberFormat="1"/>
    <xf numFmtId="2" fontId="5" fillId="0" borderId="10" xfId="1" applyNumberFormat="1" applyBorder="1"/>
    <xf numFmtId="1" fontId="5" fillId="17" borderId="0" xfId="1" applyNumberFormat="1" applyFill="1"/>
    <xf numFmtId="2" fontId="5" fillId="16" borderId="0" xfId="1" applyNumberFormat="1" applyFill="1"/>
    <xf numFmtId="2" fontId="5" fillId="18" borderId="0" xfId="1" applyNumberFormat="1" applyFill="1"/>
    <xf numFmtId="2" fontId="5" fillId="19" borderId="0" xfId="1" applyNumberFormat="1" applyFill="1"/>
    <xf numFmtId="0" fontId="5" fillId="0" borderId="10" xfId="1" applyBorder="1"/>
    <xf numFmtId="2" fontId="5" fillId="20" borderId="0" xfId="1" applyNumberFormat="1" applyFill="1"/>
    <xf numFmtId="2" fontId="5" fillId="17" borderId="0" xfId="1" applyNumberFormat="1" applyFill="1"/>
    <xf numFmtId="2" fontId="13" fillId="21" borderId="0" xfId="1" applyNumberFormat="1" applyFont="1" applyFill="1"/>
    <xf numFmtId="9" fontId="5" fillId="0" borderId="0" xfId="1" applyNumberFormat="1"/>
    <xf numFmtId="2" fontId="5" fillId="21" borderId="0" xfId="1" applyNumberFormat="1" applyFill="1"/>
    <xf numFmtId="2" fontId="5" fillId="22" borderId="0" xfId="1" applyNumberFormat="1" applyFill="1"/>
    <xf numFmtId="0" fontId="13" fillId="14" borderId="23" xfId="1" applyFont="1" applyFill="1" applyBorder="1"/>
    <xf numFmtId="2" fontId="5" fillId="23" borderId="0" xfId="1" applyNumberFormat="1" applyFill="1"/>
    <xf numFmtId="10" fontId="5" fillId="17" borderId="0" xfId="1" applyNumberFormat="1" applyFill="1"/>
    <xf numFmtId="10" fontId="0" fillId="17" borderId="0" xfId="2" applyNumberFormat="1" applyFont="1" applyFill="1"/>
    <xf numFmtId="0" fontId="5" fillId="16" borderId="0" xfId="1" applyFill="1"/>
    <xf numFmtId="0" fontId="0" fillId="17" borderId="0" xfId="2" applyNumberFormat="1" applyFont="1" applyFill="1"/>
    <xf numFmtId="2" fontId="0" fillId="17" borderId="0" xfId="2" applyNumberFormat="1" applyFont="1" applyFill="1"/>
    <xf numFmtId="1" fontId="5" fillId="0" borderId="15" xfId="1" applyNumberFormat="1" applyBorder="1"/>
    <xf numFmtId="9" fontId="5" fillId="0" borderId="14" xfId="0" applyNumberFormat="1" applyFont="1" applyBorder="1"/>
    <xf numFmtId="9" fontId="5" fillId="17" borderId="14" xfId="1" applyNumberFormat="1" applyFill="1" applyBorder="1"/>
    <xf numFmtId="0" fontId="5" fillId="17" borderId="14" xfId="1" applyFill="1" applyBorder="1"/>
    <xf numFmtId="9" fontId="0" fillId="17" borderId="14" xfId="2" applyFont="1" applyFill="1" applyBorder="1"/>
    <xf numFmtId="9" fontId="5" fillId="17" borderId="14" xfId="2" applyFill="1" applyBorder="1"/>
    <xf numFmtId="0" fontId="13" fillId="14" borderId="24" xfId="1" applyFont="1" applyFill="1" applyBorder="1"/>
    <xf numFmtId="2" fontId="13" fillId="14" borderId="14" xfId="1" applyNumberFormat="1" applyFont="1" applyFill="1" applyBorder="1"/>
    <xf numFmtId="2" fontId="13" fillId="14" borderId="15" xfId="1" applyNumberFormat="1" applyFont="1" applyFill="1" applyBorder="1"/>
    <xf numFmtId="2" fontId="14" fillId="0" borderId="24" xfId="1" applyNumberFormat="1" applyFont="1" applyBorder="1"/>
    <xf numFmtId="0" fontId="5" fillId="0" borderId="22" xfId="1" applyBorder="1"/>
    <xf numFmtId="0" fontId="5" fillId="16" borderId="7" xfId="1" applyFill="1" applyBorder="1" applyAlignment="1">
      <alignment vertical="top" wrapText="1"/>
    </xf>
    <xf numFmtId="9" fontId="5" fillId="0" borderId="23" xfId="1" applyNumberFormat="1" applyBorder="1"/>
    <xf numFmtId="2" fontId="5" fillId="0" borderId="7" xfId="1" applyNumberFormat="1" applyBorder="1"/>
    <xf numFmtId="165" fontId="5" fillId="24" borderId="7" xfId="1" applyNumberFormat="1" applyFill="1" applyBorder="1"/>
    <xf numFmtId="165" fontId="5" fillId="24" borderId="0" xfId="1" applyNumberFormat="1" applyFill="1"/>
    <xf numFmtId="165" fontId="5" fillId="25" borderId="0" xfId="1" applyNumberFormat="1" applyFill="1"/>
    <xf numFmtId="2" fontId="5" fillId="24" borderId="0" xfId="1" applyNumberFormat="1" applyFill="1"/>
    <xf numFmtId="2" fontId="13" fillId="24" borderId="0" xfId="1" applyNumberFormat="1" applyFont="1" applyFill="1"/>
    <xf numFmtId="0" fontId="5" fillId="0" borderId="24" xfId="1" applyBorder="1"/>
    <xf numFmtId="1" fontId="5" fillId="16" borderId="14" xfId="1" applyNumberFormat="1" applyFill="1" applyBorder="1"/>
    <xf numFmtId="9" fontId="5" fillId="0" borderId="14" xfId="1" applyNumberFormat="1" applyBorder="1"/>
    <xf numFmtId="2" fontId="5" fillId="0" borderId="14" xfId="1" applyNumberFormat="1" applyBorder="1"/>
    <xf numFmtId="165" fontId="5" fillId="25" borderId="14" xfId="1" applyNumberFormat="1" applyFill="1" applyBorder="1"/>
    <xf numFmtId="2" fontId="13" fillId="24" borderId="14" xfId="1" applyNumberFormat="1" applyFont="1" applyFill="1" applyBorder="1"/>
    <xf numFmtId="0" fontId="5" fillId="0" borderId="20" xfId="1" applyBorder="1" applyAlignment="1">
      <alignment vertical="center" wrapText="1"/>
    </xf>
    <xf numFmtId="0" fontId="10" fillId="0" borderId="1" xfId="1" applyFont="1" applyBorder="1" applyAlignment="1">
      <alignment horizontal="left" vertical="center" wrapText="1"/>
    </xf>
    <xf numFmtId="0" fontId="5" fillId="0" borderId="0" xfId="1"/>
    <xf numFmtId="9" fontId="0" fillId="0" borderId="0" xfId="2" applyFont="1"/>
    <xf numFmtId="0" fontId="15" fillId="0" borderId="0" xfId="1" applyFont="1"/>
    <xf numFmtId="0" fontId="10" fillId="0" borderId="1" xfId="1" applyFont="1" applyBorder="1" applyAlignment="1">
      <alignment horizontal="left"/>
    </xf>
    <xf numFmtId="0" fontId="10" fillId="0" borderId="23" xfId="1" applyFont="1" applyBorder="1" applyAlignment="1">
      <alignment horizontal="left" vertical="center" wrapText="1"/>
    </xf>
    <xf numFmtId="0" fontId="10" fillId="0" borderId="23" xfId="1" applyFont="1" applyBorder="1"/>
    <xf numFmtId="0" fontId="10" fillId="0" borderId="24" xfId="1" applyFont="1" applyBorder="1" applyAlignment="1">
      <alignment horizontal="left" vertical="center" wrapText="1"/>
    </xf>
    <xf numFmtId="0" fontId="5" fillId="0" borderId="14" xfId="1" applyBorder="1"/>
    <xf numFmtId="9" fontId="0" fillId="0" borderId="14" xfId="2" applyFont="1" applyBorder="1"/>
    <xf numFmtId="0" fontId="15" fillId="0" borderId="14" xfId="1" applyFont="1" applyBorder="1"/>
    <xf numFmtId="0" fontId="5" fillId="0" borderId="15" xfId="1" applyBorder="1"/>
    <xf numFmtId="0" fontId="5" fillId="0" borderId="0" xfId="1" applyAlignment="1">
      <alignment vertical="center"/>
    </xf>
    <xf numFmtId="0" fontId="5" fillId="0" borderId="0" xfId="1" applyAlignment="1">
      <alignment horizontal="center"/>
    </xf>
    <xf numFmtId="0" fontId="9" fillId="0" borderId="2" xfId="1" applyFont="1" applyBorder="1" applyAlignment="1">
      <alignment vertical="center"/>
    </xf>
    <xf numFmtId="0" fontId="5" fillId="0" borderId="26" xfId="1" applyBorder="1" applyAlignment="1">
      <alignment vertical="center" wrapText="1"/>
    </xf>
    <xf numFmtId="0" fontId="9" fillId="0" borderId="28" xfId="1" applyFont="1" applyBorder="1" applyAlignment="1">
      <alignment vertical="center" wrapText="1"/>
    </xf>
    <xf numFmtId="0" fontId="5" fillId="0" borderId="1" xfId="1" applyBorder="1"/>
    <xf numFmtId="0" fontId="5" fillId="26" borderId="22" xfId="1" applyFill="1" applyBorder="1"/>
    <xf numFmtId="1" fontId="5" fillId="27" borderId="8" xfId="1" applyNumberFormat="1" applyFill="1" applyBorder="1"/>
    <xf numFmtId="0" fontId="5" fillId="26" borderId="23" xfId="1" applyFill="1" applyBorder="1"/>
    <xf numFmtId="1" fontId="5" fillId="27" borderId="10" xfId="1" applyNumberFormat="1" applyFill="1" applyBorder="1"/>
    <xf numFmtId="0" fontId="5" fillId="0" borderId="25" xfId="1" applyBorder="1"/>
    <xf numFmtId="0" fontId="5" fillId="26" borderId="24" xfId="1" applyFill="1" applyBorder="1"/>
    <xf numFmtId="1" fontId="5" fillId="27" borderId="15" xfId="1" applyNumberFormat="1" applyFill="1" applyBorder="1"/>
    <xf numFmtId="0" fontId="9" fillId="14" borderId="22" xfId="1" applyFont="1" applyFill="1" applyBorder="1"/>
    <xf numFmtId="0" fontId="9" fillId="14" borderId="20" xfId="1" applyFont="1" applyFill="1" applyBorder="1"/>
    <xf numFmtId="2" fontId="9" fillId="28" borderId="7" xfId="1" applyNumberFormat="1" applyFont="1" applyFill="1" applyBorder="1"/>
    <xf numFmtId="2" fontId="0" fillId="0" borderId="0" xfId="2" applyNumberFormat="1" applyFont="1"/>
    <xf numFmtId="0" fontId="9" fillId="14" borderId="24" xfId="1" applyFont="1" applyFill="1" applyBorder="1"/>
    <xf numFmtId="0" fontId="9" fillId="14" borderId="25" xfId="1" applyFont="1" applyFill="1" applyBorder="1"/>
    <xf numFmtId="2" fontId="9" fillId="28" borderId="14" xfId="1" applyNumberFormat="1" applyFont="1" applyFill="1" applyBorder="1"/>
    <xf numFmtId="0" fontId="9" fillId="0" borderId="26" xfId="1" applyFont="1" applyBorder="1" applyAlignment="1">
      <alignment vertical="center" wrapText="1"/>
    </xf>
    <xf numFmtId="0" fontId="9" fillId="0" borderId="27" xfId="1" applyFont="1" applyBorder="1" applyAlignment="1">
      <alignment vertical="center" wrapText="1"/>
    </xf>
    <xf numFmtId="0" fontId="9" fillId="0" borderId="8" xfId="1" applyFont="1" applyBorder="1" applyAlignment="1">
      <alignment vertical="center" wrapText="1"/>
    </xf>
    <xf numFmtId="9" fontId="0" fillId="29" borderId="22" xfId="2" applyFont="1" applyFill="1" applyBorder="1"/>
    <xf numFmtId="9" fontId="0" fillId="29" borderId="7" xfId="2" applyFont="1" applyFill="1" applyBorder="1"/>
    <xf numFmtId="9" fontId="0" fillId="14" borderId="20" xfId="2" applyFont="1" applyFill="1" applyBorder="1"/>
    <xf numFmtId="9" fontId="0" fillId="29" borderId="23" xfId="2" applyFont="1" applyFill="1" applyBorder="1"/>
    <xf numFmtId="9" fontId="0" fillId="29" borderId="0" xfId="2" applyFont="1" applyFill="1"/>
    <xf numFmtId="9" fontId="0" fillId="14" borderId="1" xfId="2" applyFont="1" applyFill="1" applyBorder="1"/>
    <xf numFmtId="9" fontId="0" fillId="29" borderId="24" xfId="2" applyFont="1" applyFill="1" applyBorder="1"/>
    <xf numFmtId="9" fontId="0" fillId="29" borderId="14" xfId="2" applyFont="1" applyFill="1" applyBorder="1"/>
    <xf numFmtId="9" fontId="0" fillId="14" borderId="25" xfId="2" applyFont="1" applyFill="1" applyBorder="1"/>
    <xf numFmtId="9" fontId="9" fillId="14" borderId="8" xfId="2" applyFont="1" applyFill="1" applyBorder="1"/>
    <xf numFmtId="9" fontId="9" fillId="14" borderId="15" xfId="2" applyFont="1" applyFill="1" applyBorder="1"/>
    <xf numFmtId="0" fontId="5" fillId="0" borderId="0" xfId="1" applyAlignment="1">
      <alignment vertical="center" wrapText="1"/>
    </xf>
    <xf numFmtId="9" fontId="5" fillId="0" borderId="0" xfId="3" applyNumberFormat="1" applyFont="1"/>
    <xf numFmtId="0" fontId="4" fillId="30" borderId="0" xfId="3" applyFill="1"/>
    <xf numFmtId="9" fontId="5" fillId="0" borderId="14" xfId="3" applyNumberFormat="1" applyFont="1" applyBorder="1"/>
    <xf numFmtId="0" fontId="5" fillId="0" borderId="0" xfId="0" applyFont="1"/>
    <xf numFmtId="0" fontId="5" fillId="12" borderId="2" xfId="0" applyFont="1" applyFill="1" applyBorder="1" applyAlignment="1">
      <alignment horizontal="left" vertical="center" wrapText="1"/>
    </xf>
    <xf numFmtId="0" fontId="0" fillId="0" borderId="1" xfId="0" applyBorder="1"/>
    <xf numFmtId="0" fontId="0" fillId="0" borderId="25" xfId="0" applyBorder="1"/>
    <xf numFmtId="0" fontId="5" fillId="13" borderId="2" xfId="0" applyFont="1" applyFill="1" applyBorder="1" applyAlignment="1">
      <alignment horizontal="left" vertical="center" wrapText="1"/>
    </xf>
    <xf numFmtId="0" fontId="0" fillId="12" borderId="2" xfId="0" applyFill="1" applyBorder="1" applyAlignment="1">
      <alignment horizontal="left" wrapText="1"/>
    </xf>
    <xf numFmtId="0" fontId="0" fillId="13" borderId="2" xfId="0" applyFill="1" applyBorder="1" applyAlignment="1">
      <alignment horizontal="left" vertical="center" wrapText="1"/>
    </xf>
    <xf numFmtId="0" fontId="0" fillId="13" borderId="2" xfId="0" applyFill="1" applyBorder="1" applyAlignment="1">
      <alignment horizontal="left" vertical="center"/>
    </xf>
    <xf numFmtId="0" fontId="5" fillId="12" borderId="2" xfId="0" applyFont="1" applyFill="1" applyBorder="1" applyAlignment="1">
      <alignment horizontal="left" vertical="center"/>
    </xf>
    <xf numFmtId="0" fontId="5" fillId="12" borderId="20" xfId="0" applyFont="1" applyFill="1" applyBorder="1" applyAlignment="1">
      <alignment horizontal="left" vertical="center" wrapText="1"/>
    </xf>
    <xf numFmtId="0" fontId="5" fillId="13" borderId="2" xfId="0" applyFont="1" applyFill="1" applyBorder="1" applyAlignment="1">
      <alignment horizontal="left" vertical="center"/>
    </xf>
    <xf numFmtId="0" fontId="5" fillId="12" borderId="20" xfId="0" applyFont="1" applyFill="1" applyBorder="1" applyAlignment="1">
      <alignment horizontal="left" vertical="center"/>
    </xf>
    <xf numFmtId="0" fontId="12" fillId="15" borderId="26" xfId="1" applyFont="1" applyFill="1" applyBorder="1" applyAlignment="1">
      <alignment horizontal="center" vertical="center" wrapText="1"/>
    </xf>
    <xf numFmtId="0" fontId="0" fillId="0" borderId="27" xfId="0" applyBorder="1"/>
    <xf numFmtId="0" fontId="5" fillId="0" borderId="0" xfId="1" applyAlignment="1">
      <alignment horizontal="center"/>
    </xf>
    <xf numFmtId="0" fontId="5" fillId="0" borderId="24" xfId="1" applyBorder="1" applyAlignment="1">
      <alignment horizontal="center" vertical="center" wrapText="1"/>
    </xf>
    <xf numFmtId="0" fontId="5" fillId="0" borderId="14" xfId="1" applyBorder="1" applyAlignment="1">
      <alignment horizontal="center" vertical="center" wrapText="1"/>
    </xf>
    <xf numFmtId="0" fontId="9" fillId="14" borderId="2" xfId="1" applyFont="1" applyFill="1" applyBorder="1" applyAlignment="1">
      <alignment horizontal="center" vertical="center" wrapText="1"/>
    </xf>
    <xf numFmtId="0" fontId="4" fillId="0" borderId="25" xfId="3" applyBorder="1"/>
    <xf numFmtId="0" fontId="4" fillId="0" borderId="27" xfId="3" applyBorder="1"/>
  </cellXfs>
  <cellStyles count="4">
    <cellStyle name="Normal" xfId="0" builtinId="0"/>
    <cellStyle name="Normal 2" xfId="1" xr:uid="{CFA79EA2-0B89-4EC0-BADF-8916CA1A0DA6}"/>
    <cellStyle name="Normal 3" xfId="3" xr:uid="{5815F782-E116-487E-B50A-5C8A07A61C0D}"/>
    <cellStyle name="Pourcentage 2" xfId="2" xr:uid="{54C9AF83-FF18-4A58-B8D3-DCD3825AB75B}"/>
  </cellStyles>
  <dxfs count="9">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bgColor rgb="FF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8D92AC1D-A75E-446D-8314-99BF3ECF7799}"/>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2" name="Image 1" descr="screenshot_01.jpg">
          <a:extLst>
            <a:ext uri="{FF2B5EF4-FFF2-40B4-BE49-F238E27FC236}">
              <a16:creationId xmlns:a16="http://schemas.microsoft.com/office/drawing/2014/main" id="{BA9D49E4-8D69-4980-8025-955894F07CC3}"/>
            </a:ext>
          </a:extLst>
        </xdr:cNvPr>
        <xdr:cNvPicPr>
          <a:picLocks noChangeAspect="1"/>
        </xdr:cNvPicPr>
      </xdr:nvPicPr>
      <xdr:blipFill>
        <a:blip xmlns:r="http://schemas.openxmlformats.org/officeDocument/2006/relationships" r:embed="rId1"/>
        <a:stretch>
          <a:fillRect/>
        </a:stretch>
      </xdr:blipFill>
      <xdr:spPr>
        <a:xfrm>
          <a:off x="9515475"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leexcellencebois74.sharepoint.com/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Dev\reffluxsankeysuite\MFAData\Fili&#232;res\ForetBois\FranceRegions\2022.03.11_filiere_foret_bois_savoie.xlsx" TargetMode="External"/><Relationship Id="rId1" Type="http://schemas.openxmlformats.org/officeDocument/2006/relationships/externalLinkPath" Target="/Dev/reffluxsankeysuite_new/MFAData/Fili&#232;res/ForetBois/FranceRegions/2022.03.11_filiere_foret_bois_savo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Feuil1"/>
    </sheetNames>
    <definedNames>
      <definedName name="infra_d_f" refersTo="='InfraDensité'!$C$23" sheetId="20"/>
      <definedName name="infra_d_r" refersTo="='InfraDensité'!$C$24" sheetId="20"/>
      <definedName name="retrait_v_f" refersTo="='Retrait'!$E$23" sheetId="21"/>
      <definedName name="retrait_v_r" refersTo="='Retrait'!$E$24" sheetId="21"/>
    </definedNames>
    <sheetDataSet>
      <sheetData sheetId="0"/>
      <sheetData sheetId="1"/>
      <sheetData sheetId="2">
        <row r="4">
          <cell r="B4">
            <v>0.16</v>
          </cell>
          <cell r="C4"/>
        </row>
        <row r="5">
          <cell r="B5">
            <v>0.21</v>
          </cell>
          <cell r="C5"/>
        </row>
        <row r="6">
          <cell r="B6"/>
          <cell r="C6"/>
        </row>
        <row r="7">
          <cell r="B7">
            <v>0.08</v>
          </cell>
          <cell r="C7"/>
        </row>
        <row r="8">
          <cell r="B8">
            <v>7.0000000000000007E-2</v>
          </cell>
          <cell r="C8"/>
        </row>
        <row r="9">
          <cell r="B9">
            <v>0.05</v>
          </cell>
          <cell r="C9"/>
        </row>
        <row r="10">
          <cell r="B10"/>
          <cell r="C10"/>
        </row>
        <row r="11">
          <cell r="B11">
            <v>0.04</v>
          </cell>
          <cell r="C11"/>
        </row>
        <row r="12">
          <cell r="B12">
            <v>0.03</v>
          </cell>
          <cell r="C12"/>
        </row>
        <row r="13">
          <cell r="B13">
            <v>0.27</v>
          </cell>
          <cell r="C13"/>
        </row>
        <row r="14">
          <cell r="B14">
            <v>0.03</v>
          </cell>
          <cell r="C14"/>
        </row>
        <row r="15">
          <cell r="B15">
            <v>7.0000000000000007E-2</v>
          </cell>
          <cell r="C15"/>
        </row>
        <row r="16">
          <cell r="B16"/>
          <cell r="C16"/>
        </row>
        <row r="17">
          <cell r="B17"/>
          <cell r="C17">
            <v>0.47</v>
          </cell>
        </row>
        <row r="18">
          <cell r="B18"/>
          <cell r="C18">
            <v>0.49</v>
          </cell>
        </row>
        <row r="19">
          <cell r="B19"/>
          <cell r="C19"/>
        </row>
        <row r="20">
          <cell r="B20"/>
          <cell r="C20"/>
        </row>
        <row r="21">
          <cell r="B21"/>
          <cell r="C21">
            <v>0.03</v>
          </cell>
        </row>
        <row r="22">
          <cell r="B22"/>
          <cell r="C22">
            <v>0.01</v>
          </cell>
        </row>
        <row r="24">
          <cell r="B24">
            <v>0.2</v>
          </cell>
          <cell r="C24">
            <v>0.8</v>
          </cell>
        </row>
        <row r="27">
          <cell r="C27" t="str">
            <v>&gt; saturation</v>
          </cell>
        </row>
        <row r="28">
          <cell r="C28" t="str">
            <v>&gt; saturation</v>
          </cell>
        </row>
        <row r="29">
          <cell r="C29" t="str">
            <v>&gt; saturation</v>
          </cell>
        </row>
        <row r="30">
          <cell r="C30" t="str">
            <v>&gt; saturation</v>
          </cell>
        </row>
        <row r="31">
          <cell r="C31" t="str">
            <v>&gt; saturation</v>
          </cell>
        </row>
        <row r="32">
          <cell r="C32" t="str">
            <v>&gt; saturation</v>
          </cell>
        </row>
        <row r="33">
          <cell r="C33" t="str">
            <v>&gt; saturation</v>
          </cell>
        </row>
        <row r="35">
          <cell r="C35">
            <v>0.3</v>
          </cell>
        </row>
        <row r="36">
          <cell r="C36" t="str">
            <v>&gt; saturation</v>
          </cell>
        </row>
        <row r="37">
          <cell r="C37" t="str">
            <v>&gt; saturation</v>
          </cell>
        </row>
        <row r="38">
          <cell r="C38">
            <v>0.23</v>
          </cell>
        </row>
        <row r="39">
          <cell r="C39">
            <v>0.23</v>
          </cell>
        </row>
        <row r="41">
          <cell r="C41">
            <v>0.23</v>
          </cell>
        </row>
        <row r="42">
          <cell r="C42">
            <v>0.23</v>
          </cell>
        </row>
        <row r="43">
          <cell r="C43">
            <v>0.23</v>
          </cell>
        </row>
        <row r="44">
          <cell r="C44">
            <v>0.35</v>
          </cell>
        </row>
        <row r="45">
          <cell r="C45">
            <v>0.35</v>
          </cell>
        </row>
        <row r="46">
          <cell r="C46">
            <v>0.4</v>
          </cell>
        </row>
        <row r="47">
          <cell r="C47">
            <v>0.4</v>
          </cell>
        </row>
        <row r="48">
          <cell r="C48">
            <v>0.23</v>
          </cell>
        </row>
        <row r="49">
          <cell r="C49">
            <v>0.23</v>
          </cell>
        </row>
        <row r="50">
          <cell r="C50">
            <v>0.23</v>
          </cell>
        </row>
        <row r="51">
          <cell r="C51">
            <v>0.23</v>
          </cell>
        </row>
        <row r="52">
          <cell r="C52">
            <v>0.23</v>
          </cell>
        </row>
        <row r="53">
          <cell r="C53">
            <v>0.23</v>
          </cell>
        </row>
        <row r="54">
          <cell r="C54">
            <v>0.3</v>
          </cell>
        </row>
        <row r="55">
          <cell r="C55">
            <v>0.3</v>
          </cell>
        </row>
        <row r="56">
          <cell r="C56">
            <v>6.5420561000000002E-2</v>
          </cell>
        </row>
        <row r="57">
          <cell r="C57">
            <v>0.35</v>
          </cell>
        </row>
        <row r="58">
          <cell r="C58">
            <v>0.35</v>
          </cell>
        </row>
        <row r="59">
          <cell r="C59">
            <v>0.3</v>
          </cell>
        </row>
        <row r="60">
          <cell r="C60">
            <v>0.2</v>
          </cell>
        </row>
        <row r="61">
          <cell r="C61">
            <v>6.5420561000000002E-2</v>
          </cell>
        </row>
        <row r="62">
          <cell r="C62">
            <v>6.5420561000000002E-2</v>
          </cell>
        </row>
        <row r="63">
          <cell r="C63">
            <v>6.5420561000000002E-2</v>
          </cell>
        </row>
        <row r="64">
          <cell r="C64">
            <v>6.5420561000000002E-2</v>
          </cell>
        </row>
        <row r="65">
          <cell r="C65">
            <v>6.5420561000000002E-2</v>
          </cell>
        </row>
        <row r="66">
          <cell r="C66">
            <v>6.5420561000000002E-2</v>
          </cell>
        </row>
        <row r="67">
          <cell r="C67">
            <v>6.5420561000000002E-2</v>
          </cell>
        </row>
        <row r="68">
          <cell r="C68">
            <v>6.5420561000000002E-2</v>
          </cell>
        </row>
        <row r="69">
          <cell r="C69">
            <v>0.1</v>
          </cell>
        </row>
        <row r="70">
          <cell r="C70">
            <v>0.1</v>
          </cell>
        </row>
        <row r="71">
          <cell r="C71">
            <v>0.1</v>
          </cell>
        </row>
        <row r="72">
          <cell r="C72">
            <v>0.1</v>
          </cell>
        </row>
        <row r="73">
          <cell r="C73">
            <v>6.5420561000000002E-2</v>
          </cell>
        </row>
        <row r="74">
          <cell r="C74">
            <v>6.5420561000000002E-2</v>
          </cell>
        </row>
        <row r="75">
          <cell r="C75">
            <v>0.2</v>
          </cell>
        </row>
        <row r="76">
          <cell r="C76">
            <v>0.4</v>
          </cell>
        </row>
        <row r="77">
          <cell r="C77">
            <v>0.15</v>
          </cell>
        </row>
        <row r="78">
          <cell r="C78">
            <v>0.2</v>
          </cell>
        </row>
        <row r="79">
          <cell r="C79">
            <v>0.35</v>
          </cell>
        </row>
        <row r="80">
          <cell r="C80">
            <v>6.5420561000000002E-2</v>
          </cell>
        </row>
        <row r="81">
          <cell r="C81">
            <v>0.1</v>
          </cell>
        </row>
        <row r="82">
          <cell r="C82">
            <v>6.5420561000000002E-2</v>
          </cell>
        </row>
        <row r="83">
          <cell r="C83">
            <v>6.5420561000000002E-2</v>
          </cell>
        </row>
        <row r="86">
          <cell r="B86">
            <v>0.28000000000000003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3">
          <cell r="C23">
            <v>0.51120719999999997</v>
          </cell>
        </row>
        <row r="24">
          <cell r="C24">
            <v>0.37466999999999995</v>
          </cell>
        </row>
      </sheetData>
      <sheetData sheetId="21">
        <row r="23">
          <cell r="E23">
            <v>0.49550000000000005</v>
          </cell>
        </row>
        <row r="24">
          <cell r="E24">
            <v>0.41599999999999998</v>
          </cell>
        </row>
      </sheetData>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BBB59"/>
  </sheetPr>
  <dimension ref="A1:F7"/>
  <sheetViews>
    <sheetView workbookViewId="0">
      <selection activeCell="A8" sqref="A8:XFD9"/>
    </sheetView>
  </sheetViews>
  <sheetFormatPr baseColWidth="10" defaultColWidth="9" defaultRowHeight="12.4" x14ac:dyDescent="0.3"/>
  <cols>
    <col min="1" max="1" width="33" customWidth="1"/>
    <col min="2" max="2" width="24" customWidth="1"/>
    <col min="3" max="3" width="48.3515625" bestFit="1" customWidth="1"/>
    <col min="4" max="4" width="23" customWidth="1"/>
    <col min="5" max="5" width="17" bestFit="1" customWidth="1"/>
    <col min="6" max="6" width="41.234375" bestFit="1" customWidth="1"/>
  </cols>
  <sheetData>
    <row r="1" spans="1:6" x14ac:dyDescent="0.3">
      <c r="A1" s="1" t="s">
        <v>0</v>
      </c>
      <c r="B1" s="1" t="s">
        <v>1</v>
      </c>
      <c r="C1" s="1" t="s">
        <v>2</v>
      </c>
      <c r="D1" s="1" t="s">
        <v>3</v>
      </c>
      <c r="E1" s="1" t="s">
        <v>4</v>
      </c>
      <c r="F1" s="1" t="s">
        <v>5</v>
      </c>
    </row>
    <row r="2" spans="1:6" x14ac:dyDescent="0.3">
      <c r="A2" s="2" t="s">
        <v>6</v>
      </c>
      <c r="B2" s="2" t="s">
        <v>7</v>
      </c>
      <c r="C2" s="2" t="s">
        <v>8</v>
      </c>
      <c r="D2" s="2">
        <v>0</v>
      </c>
      <c r="E2" s="2"/>
      <c r="F2" s="2"/>
    </row>
    <row r="3" spans="1:6" x14ac:dyDescent="0.3">
      <c r="A3" s="2" t="s">
        <v>109</v>
      </c>
      <c r="B3" s="2" t="s">
        <v>7</v>
      </c>
      <c r="C3" s="2" t="s">
        <v>110</v>
      </c>
      <c r="D3" s="2">
        <v>0</v>
      </c>
      <c r="E3" s="2"/>
      <c r="F3" s="2" t="s">
        <v>111</v>
      </c>
    </row>
    <row r="4" spans="1:6" x14ac:dyDescent="0.3">
      <c r="A4" s="2" t="s">
        <v>112</v>
      </c>
      <c r="B4" s="2" t="s">
        <v>7</v>
      </c>
      <c r="C4" s="2" t="s">
        <v>113</v>
      </c>
      <c r="D4" s="2">
        <v>0</v>
      </c>
      <c r="E4" s="2"/>
      <c r="F4" s="2" t="s">
        <v>114</v>
      </c>
    </row>
    <row r="5" spans="1:6" x14ac:dyDescent="0.3">
      <c r="A5" s="2" t="s">
        <v>115</v>
      </c>
      <c r="B5" s="2" t="s">
        <v>116</v>
      </c>
      <c r="C5" s="2" t="s">
        <v>117</v>
      </c>
      <c r="D5" s="2">
        <v>0</v>
      </c>
      <c r="E5" s="2"/>
      <c r="F5" s="2"/>
    </row>
    <row r="6" spans="1:6" x14ac:dyDescent="0.3">
      <c r="A6" s="2" t="s">
        <v>118</v>
      </c>
      <c r="B6" s="2" t="s">
        <v>116</v>
      </c>
      <c r="C6" s="69" t="s">
        <v>120</v>
      </c>
      <c r="D6" s="2">
        <v>0</v>
      </c>
      <c r="E6" s="2"/>
      <c r="F6" s="2"/>
    </row>
    <row r="7" spans="1:6" x14ac:dyDescent="0.3">
      <c r="A7" s="2" t="s">
        <v>119</v>
      </c>
      <c r="B7" s="2" t="s">
        <v>116</v>
      </c>
      <c r="C7" s="2" t="s">
        <v>120</v>
      </c>
      <c r="D7" s="2">
        <v>0</v>
      </c>
      <c r="E7" s="2"/>
      <c r="F7" s="2"/>
    </row>
  </sheetData>
  <pageMargins left="0.75" right="0.75" top="1" bottom="1" header="0.5" footer="0.5"/>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C8858-7AFB-4977-AD5C-1569BE5671F6}">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x14ac:dyDescent="0.3"/>
  <cols>
    <col min="1" max="1" width="11.76171875" style="238" bestFit="1" customWidth="1"/>
    <col min="2" max="2" width="15.76171875" style="238" bestFit="1" customWidth="1"/>
    <col min="3" max="3" width="37.3515625" style="238" bestFit="1" customWidth="1"/>
    <col min="4" max="4" width="30.87890625" style="238" bestFit="1" customWidth="1"/>
    <col min="5" max="5" width="34.46875" style="239" bestFit="1" customWidth="1"/>
    <col min="6" max="6" width="33.76171875" style="239" bestFit="1" customWidth="1"/>
    <col min="7" max="7" width="34.1171875" style="238" bestFit="1" customWidth="1"/>
    <col min="8" max="8" width="36.76171875" style="238" bestFit="1" customWidth="1"/>
    <col min="9" max="9" width="37.76171875" style="238" bestFit="1" customWidth="1"/>
    <col min="10" max="10" width="36.64453125" style="238" bestFit="1" customWidth="1"/>
    <col min="11" max="12" width="4.87890625" style="238" bestFit="1" customWidth="1"/>
    <col min="13" max="15" width="4.87890625" style="240" bestFit="1" customWidth="1"/>
    <col min="16" max="24" width="4.87890625" style="238" bestFit="1" customWidth="1"/>
    <col min="25" max="30" width="5.46875" style="238" bestFit="1" customWidth="1"/>
    <col min="31" max="31" width="11.3515625" style="238" bestFit="1" customWidth="1"/>
    <col min="32" max="32" width="38.1171875" style="238" customWidth="1"/>
    <col min="33" max="33" width="11.1171875" style="238" bestFit="1" customWidth="1"/>
    <col min="34" max="34" width="38.1171875" style="238" customWidth="1"/>
    <col min="35" max="16384" width="38.1171875" style="238"/>
  </cols>
  <sheetData>
    <row r="1" spans="1:15" s="249" customFormat="1" ht="33" customHeight="1" x14ac:dyDescent="0.3">
      <c r="A1" s="236"/>
      <c r="C1" s="249" t="s">
        <v>274</v>
      </c>
      <c r="E1" s="301" t="s">
        <v>275</v>
      </c>
      <c r="F1" s="301"/>
      <c r="G1" s="301"/>
    </row>
    <row r="2" spans="1:15" s="249" customFormat="1" ht="32.25" customHeight="1" x14ac:dyDescent="0.3">
      <c r="A2" s="251" t="s">
        <v>276</v>
      </c>
      <c r="B2" s="252" t="s">
        <v>277</v>
      </c>
      <c r="C2" s="253" t="s">
        <v>278</v>
      </c>
    </row>
    <row r="3" spans="1:15" x14ac:dyDescent="0.3">
      <c r="A3" s="254" t="s">
        <v>279</v>
      </c>
      <c r="B3" s="255">
        <v>705</v>
      </c>
      <c r="C3" s="256">
        <f>0.828*B3</f>
        <v>583.74</v>
      </c>
      <c r="M3" s="238"/>
      <c r="N3" s="238"/>
      <c r="O3" s="238"/>
    </row>
    <row r="4" spans="1:15" x14ac:dyDescent="0.3">
      <c r="A4" s="254" t="s">
        <v>280</v>
      </c>
      <c r="B4" s="257">
        <v>685</v>
      </c>
      <c r="C4" s="258">
        <f t="shared" ref="C4:C21" si="0">0.828*B4</f>
        <v>567.17999999999995</v>
      </c>
      <c r="E4" s="238"/>
      <c r="F4" s="238"/>
      <c r="M4" s="238"/>
      <c r="N4" s="238"/>
      <c r="O4" s="238"/>
    </row>
    <row r="5" spans="1:15" x14ac:dyDescent="0.3">
      <c r="A5" s="254" t="s">
        <v>281</v>
      </c>
      <c r="B5" s="257">
        <v>690</v>
      </c>
      <c r="C5" s="258">
        <f t="shared" si="0"/>
        <v>571.31999999999994</v>
      </c>
      <c r="E5" s="238"/>
      <c r="F5" s="238"/>
      <c r="M5" s="238"/>
      <c r="N5" s="238"/>
      <c r="O5" s="238"/>
    </row>
    <row r="6" spans="1:15" x14ac:dyDescent="0.3">
      <c r="A6" s="254" t="s">
        <v>282</v>
      </c>
      <c r="B6" s="257">
        <v>715</v>
      </c>
      <c r="C6" s="258">
        <f t="shared" si="0"/>
        <v>592.02</v>
      </c>
      <c r="E6" s="238"/>
      <c r="F6" s="238"/>
      <c r="M6" s="238"/>
      <c r="N6" s="238"/>
      <c r="O6" s="238"/>
    </row>
    <row r="7" spans="1:15" x14ac:dyDescent="0.3">
      <c r="A7" s="254" t="s">
        <v>283</v>
      </c>
      <c r="B7" s="257">
        <v>635</v>
      </c>
      <c r="C7" s="258">
        <f t="shared" si="0"/>
        <v>525.78</v>
      </c>
      <c r="E7" s="238"/>
      <c r="F7" s="238"/>
      <c r="M7" s="238"/>
      <c r="N7" s="238"/>
      <c r="O7" s="238"/>
    </row>
    <row r="8" spans="1:15" x14ac:dyDescent="0.3">
      <c r="A8" s="254" t="s">
        <v>284</v>
      </c>
      <c r="B8" s="257">
        <v>825</v>
      </c>
      <c r="C8" s="258">
        <f t="shared" si="0"/>
        <v>683.09999999999991</v>
      </c>
      <c r="E8" s="238"/>
      <c r="F8" s="238"/>
      <c r="M8" s="238"/>
      <c r="N8" s="238"/>
      <c r="O8" s="238"/>
    </row>
    <row r="9" spans="1:15" x14ac:dyDescent="0.3">
      <c r="A9" s="254" t="s">
        <v>285</v>
      </c>
      <c r="B9" s="257">
        <v>645</v>
      </c>
      <c r="C9" s="258">
        <f t="shared" si="0"/>
        <v>534.05999999999995</v>
      </c>
      <c r="E9" s="238"/>
      <c r="F9" s="238"/>
      <c r="M9" s="238"/>
      <c r="N9" s="238"/>
      <c r="O9" s="238"/>
    </row>
    <row r="10" spans="1:15" x14ac:dyDescent="0.3">
      <c r="A10" s="254" t="s">
        <v>286</v>
      </c>
      <c r="B10" s="257">
        <v>685</v>
      </c>
      <c r="C10" s="258">
        <f t="shared" si="0"/>
        <v>567.17999999999995</v>
      </c>
      <c r="E10" s="238"/>
      <c r="F10" s="238"/>
      <c r="M10" s="238"/>
      <c r="N10" s="238"/>
      <c r="O10" s="238"/>
    </row>
    <row r="11" spans="1:15" x14ac:dyDescent="0.3">
      <c r="A11" s="254" t="s">
        <v>287</v>
      </c>
      <c r="B11" s="257">
        <v>665</v>
      </c>
      <c r="C11" s="258">
        <f t="shared" si="0"/>
        <v>550.62</v>
      </c>
      <c r="E11" s="238"/>
      <c r="F11" s="238"/>
      <c r="M11" s="238"/>
      <c r="N11" s="238"/>
      <c r="O11" s="238"/>
    </row>
    <row r="12" spans="1:15" x14ac:dyDescent="0.3">
      <c r="A12" s="254" t="s">
        <v>288</v>
      </c>
      <c r="B12" s="257">
        <v>425</v>
      </c>
      <c r="C12" s="258">
        <f t="shared" si="0"/>
        <v>351.9</v>
      </c>
      <c r="E12" s="238"/>
      <c r="F12" s="238"/>
      <c r="M12" s="238"/>
      <c r="N12" s="238"/>
      <c r="O12" s="238"/>
    </row>
    <row r="13" spans="1:15" x14ac:dyDescent="0.3">
      <c r="A13" s="254" t="s">
        <v>289</v>
      </c>
      <c r="B13" s="257">
        <v>540</v>
      </c>
      <c r="C13" s="258">
        <f t="shared" si="0"/>
        <v>447.12</v>
      </c>
      <c r="E13" s="238"/>
      <c r="F13" s="238"/>
      <c r="M13" s="238"/>
      <c r="N13" s="238"/>
      <c r="O13" s="238"/>
    </row>
    <row r="14" spans="1:15" x14ac:dyDescent="0.3">
      <c r="A14" s="254" t="s">
        <v>290</v>
      </c>
      <c r="B14" s="257">
        <v>565</v>
      </c>
      <c r="C14" s="258">
        <f t="shared" si="0"/>
        <v>467.82</v>
      </c>
      <c r="E14" s="238"/>
      <c r="F14" s="238"/>
      <c r="M14" s="238"/>
      <c r="N14" s="238"/>
      <c r="O14" s="238"/>
    </row>
    <row r="15" spans="1:15" x14ac:dyDescent="0.3">
      <c r="A15" s="254" t="s">
        <v>291</v>
      </c>
      <c r="B15" s="257">
        <v>520</v>
      </c>
      <c r="C15" s="258">
        <f t="shared" si="0"/>
        <v>430.56</v>
      </c>
      <c r="E15" s="238"/>
      <c r="F15" s="238"/>
      <c r="M15" s="238"/>
      <c r="N15" s="238"/>
      <c r="O15" s="238"/>
    </row>
    <row r="16" spans="1:15" x14ac:dyDescent="0.3">
      <c r="A16" s="254" t="s">
        <v>292</v>
      </c>
      <c r="B16" s="257">
        <v>465</v>
      </c>
      <c r="C16" s="258">
        <f t="shared" si="0"/>
        <v>385.02</v>
      </c>
      <c r="E16" s="238"/>
      <c r="F16" s="238"/>
      <c r="M16" s="238"/>
      <c r="N16" s="238"/>
      <c r="O16" s="238"/>
    </row>
    <row r="17" spans="1:15" x14ac:dyDescent="0.3">
      <c r="A17" s="254" t="s">
        <v>293</v>
      </c>
      <c r="B17" s="257">
        <v>435</v>
      </c>
      <c r="C17" s="258">
        <f t="shared" si="0"/>
        <v>360.18</v>
      </c>
      <c r="E17" s="238"/>
      <c r="F17" s="238"/>
      <c r="M17" s="238"/>
      <c r="N17" s="238"/>
      <c r="O17" s="238"/>
    </row>
    <row r="18" spans="1:15" x14ac:dyDescent="0.3">
      <c r="A18" s="254" t="s">
        <v>294</v>
      </c>
      <c r="B18" s="257">
        <v>590</v>
      </c>
      <c r="C18" s="258">
        <f t="shared" si="0"/>
        <v>488.52</v>
      </c>
      <c r="E18" s="238"/>
      <c r="F18" s="238"/>
      <c r="M18" s="238"/>
      <c r="N18" s="238"/>
      <c r="O18" s="238"/>
    </row>
    <row r="19" spans="1:15" x14ac:dyDescent="0.3">
      <c r="A19" s="254" t="s">
        <v>295</v>
      </c>
      <c r="B19" s="257">
        <v>595</v>
      </c>
      <c r="C19" s="258">
        <f t="shared" si="0"/>
        <v>492.65999999999997</v>
      </c>
      <c r="E19" s="238"/>
      <c r="F19" s="238"/>
      <c r="M19" s="238"/>
      <c r="N19" s="238"/>
      <c r="O19" s="238"/>
    </row>
    <row r="20" spans="1:15" x14ac:dyDescent="0.3">
      <c r="A20" s="254" t="s">
        <v>296</v>
      </c>
      <c r="B20" s="257">
        <v>485</v>
      </c>
      <c r="C20" s="258">
        <f t="shared" si="0"/>
        <v>401.58</v>
      </c>
      <c r="E20" s="238"/>
      <c r="F20" s="238"/>
      <c r="M20" s="238"/>
      <c r="N20" s="238"/>
      <c r="O20" s="238"/>
    </row>
    <row r="21" spans="1:15" x14ac:dyDescent="0.3">
      <c r="A21" s="259" t="s">
        <v>297</v>
      </c>
      <c r="B21" s="260">
        <v>625</v>
      </c>
      <c r="C21" s="261">
        <f t="shared" si="0"/>
        <v>517.5</v>
      </c>
      <c r="E21" s="238"/>
      <c r="F21" s="238"/>
      <c r="M21" s="238"/>
      <c r="N21" s="238"/>
      <c r="O21" s="238"/>
    </row>
    <row r="22" spans="1:15" x14ac:dyDescent="0.3">
      <c r="E22" s="240"/>
      <c r="F22" s="240"/>
    </row>
    <row r="23" spans="1:15" x14ac:dyDescent="0.3">
      <c r="A23" s="262" t="s">
        <v>298</v>
      </c>
      <c r="B23" s="263" t="s">
        <v>299</v>
      </c>
      <c r="C23" s="264">
        <f>SUMPRODUCT([2]Pilotage!B4:B22,C3:C21)/1000</f>
        <v>0.51120719999999997</v>
      </c>
      <c r="E23" s="265"/>
      <c r="J23" s="240"/>
      <c r="K23" s="240"/>
    </row>
    <row r="24" spans="1:15" x14ac:dyDescent="0.3">
      <c r="A24" s="266" t="s">
        <v>300</v>
      </c>
      <c r="B24" s="267" t="s">
        <v>301</v>
      </c>
      <c r="C24" s="268">
        <f>SUMPRODUCT([2]Pilotage!C4:C22,C3:C21)/1000</f>
        <v>0.37466999999999995</v>
      </c>
      <c r="E24" s="265"/>
    </row>
  </sheetData>
  <mergeCells count="1">
    <mergeCell ref="E1:G1"/>
  </mergeCells>
  <pageMargins left="0.75" right="0.75" top="1" bottom="1" header="0.5" footer="0.5"/>
  <pageSetup paperSize="9"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891A3-4087-4D32-9ED0-EF12A89EBD55}">
  <sheetPr>
    <tabColor theme="7"/>
  </sheetPr>
  <dimension ref="A1:H24"/>
  <sheetViews>
    <sheetView workbookViewId="0">
      <pane xSplit="1" ySplit="1" topLeftCell="B2" activePane="bottomRight" state="frozen"/>
      <selection activeCell="H24" sqref="H24"/>
      <selection pane="topRight" activeCell="H24" sqref="H24"/>
      <selection pane="bottomLeft" activeCell="H24" sqref="H24"/>
      <selection pane="bottomRight" activeCell="K28" sqref="K28"/>
    </sheetView>
  </sheetViews>
  <sheetFormatPr baseColWidth="10" defaultColWidth="21.234375" defaultRowHeight="12.4" x14ac:dyDescent="0.3"/>
  <cols>
    <col min="1" max="2" width="21.234375" style="238"/>
    <col min="3" max="4" width="21.234375" style="239"/>
    <col min="5" max="16384" width="21.234375" style="238"/>
  </cols>
  <sheetData>
    <row r="1" spans="1:7" s="249" customFormat="1" ht="27.75" customHeight="1" x14ac:dyDescent="0.3">
      <c r="A1" s="236"/>
      <c r="B1" s="302" t="s">
        <v>302</v>
      </c>
      <c r="C1" s="303"/>
      <c r="D1" s="303"/>
      <c r="E1" s="304" t="s">
        <v>303</v>
      </c>
    </row>
    <row r="2" spans="1:7" s="249" customFormat="1" ht="37.15" x14ac:dyDescent="0.3">
      <c r="A2" s="251" t="s">
        <v>276</v>
      </c>
      <c r="B2" s="269" t="s">
        <v>304</v>
      </c>
      <c r="C2" s="270" t="s">
        <v>305</v>
      </c>
      <c r="D2" s="271" t="s">
        <v>306</v>
      </c>
      <c r="E2" s="305"/>
    </row>
    <row r="3" spans="1:7" x14ac:dyDescent="0.3">
      <c r="A3" s="254" t="s">
        <v>279</v>
      </c>
      <c r="B3" s="272">
        <v>0.12</v>
      </c>
      <c r="C3" s="273">
        <v>0.06</v>
      </c>
      <c r="D3" s="273">
        <f>B3+C3</f>
        <v>0.18</v>
      </c>
      <c r="E3" s="274">
        <f>D3/0.3</f>
        <v>0.6</v>
      </c>
      <c r="G3" s="250" t="s">
        <v>275</v>
      </c>
    </row>
    <row r="4" spans="1:7" x14ac:dyDescent="0.3">
      <c r="A4" s="254" t="s">
        <v>280</v>
      </c>
      <c r="B4" s="275">
        <v>0.1</v>
      </c>
      <c r="C4" s="276">
        <v>0.05</v>
      </c>
      <c r="D4" s="276">
        <f>B4+C4</f>
        <v>0.15000000000000002</v>
      </c>
      <c r="E4" s="277">
        <f>D4/0.3</f>
        <v>0.50000000000000011</v>
      </c>
    </row>
    <row r="5" spans="1:7" x14ac:dyDescent="0.3">
      <c r="A5" s="254" t="s">
        <v>281</v>
      </c>
      <c r="B5" s="275">
        <v>0.09</v>
      </c>
      <c r="C5" s="276">
        <v>0.05</v>
      </c>
      <c r="D5" s="276">
        <f t="shared" ref="D5:D21" si="0">B5+C5</f>
        <v>0.14000000000000001</v>
      </c>
      <c r="E5" s="277">
        <f t="shared" ref="E5:E21" si="1">D5/0.3</f>
        <v>0.46666666666666673</v>
      </c>
    </row>
    <row r="6" spans="1:7" x14ac:dyDescent="0.3">
      <c r="A6" s="254" t="s">
        <v>282</v>
      </c>
      <c r="B6" s="275">
        <v>0.08</v>
      </c>
      <c r="C6" s="276">
        <v>0.06</v>
      </c>
      <c r="D6" s="276">
        <f t="shared" si="0"/>
        <v>0.14000000000000001</v>
      </c>
      <c r="E6" s="277">
        <f t="shared" si="1"/>
        <v>0.46666666666666673</v>
      </c>
    </row>
    <row r="7" spans="1:7" x14ac:dyDescent="0.3">
      <c r="A7" s="254" t="s">
        <v>283</v>
      </c>
      <c r="B7" s="275">
        <v>0.08</v>
      </c>
      <c r="C7" s="276">
        <v>0.04</v>
      </c>
      <c r="D7" s="276">
        <f t="shared" si="0"/>
        <v>0.12</v>
      </c>
      <c r="E7" s="277">
        <f t="shared" si="1"/>
        <v>0.4</v>
      </c>
    </row>
    <row r="8" spans="1:7" x14ac:dyDescent="0.3">
      <c r="A8" s="254" t="s">
        <v>284</v>
      </c>
      <c r="B8" s="275">
        <v>0.115</v>
      </c>
      <c r="C8" s="276">
        <v>7.0000000000000007E-2</v>
      </c>
      <c r="D8" s="276">
        <f t="shared" si="0"/>
        <v>0.185</v>
      </c>
      <c r="E8" s="277">
        <f t="shared" si="1"/>
        <v>0.6166666666666667</v>
      </c>
    </row>
    <row r="9" spans="1:7" x14ac:dyDescent="0.3">
      <c r="A9" s="254" t="s">
        <v>285</v>
      </c>
      <c r="B9" s="275">
        <v>0.09</v>
      </c>
      <c r="C9" s="276">
        <v>0.06</v>
      </c>
      <c r="D9" s="276">
        <f t="shared" si="0"/>
        <v>0.15</v>
      </c>
      <c r="E9" s="277">
        <f t="shared" si="1"/>
        <v>0.5</v>
      </c>
    </row>
    <row r="10" spans="1:7" x14ac:dyDescent="0.3">
      <c r="A10" s="254" t="s">
        <v>286</v>
      </c>
      <c r="B10" s="275">
        <v>7.4999999999999997E-2</v>
      </c>
      <c r="C10" s="276">
        <v>5.5E-2</v>
      </c>
      <c r="D10" s="276">
        <f t="shared" si="0"/>
        <v>0.13</v>
      </c>
      <c r="E10" s="277">
        <f t="shared" si="1"/>
        <v>0.43333333333333335</v>
      </c>
    </row>
    <row r="11" spans="1:7" x14ac:dyDescent="0.3">
      <c r="A11" s="254" t="s">
        <v>287</v>
      </c>
      <c r="B11" s="275">
        <v>0.1</v>
      </c>
      <c r="C11" s="276">
        <v>0.05</v>
      </c>
      <c r="D11" s="276">
        <f t="shared" si="0"/>
        <v>0.15000000000000002</v>
      </c>
      <c r="E11" s="277">
        <f t="shared" si="1"/>
        <v>0.50000000000000011</v>
      </c>
    </row>
    <row r="12" spans="1:7" x14ac:dyDescent="0.3">
      <c r="A12" s="254" t="s">
        <v>288</v>
      </c>
      <c r="B12" s="275">
        <v>0.09</v>
      </c>
      <c r="C12" s="276">
        <v>0.05</v>
      </c>
      <c r="D12" s="276">
        <f t="shared" si="0"/>
        <v>0.14000000000000001</v>
      </c>
      <c r="E12" s="277">
        <f t="shared" si="1"/>
        <v>0.46666666666666673</v>
      </c>
    </row>
    <row r="13" spans="1:7" x14ac:dyDescent="0.3">
      <c r="A13" s="254" t="s">
        <v>289</v>
      </c>
      <c r="B13" s="275">
        <v>7.0000000000000007E-2</v>
      </c>
      <c r="C13" s="276">
        <v>0.05</v>
      </c>
      <c r="D13" s="276">
        <f t="shared" si="0"/>
        <v>0.12000000000000001</v>
      </c>
      <c r="E13" s="277">
        <f t="shared" si="1"/>
        <v>0.4</v>
      </c>
    </row>
    <row r="14" spans="1:7" x14ac:dyDescent="0.3">
      <c r="A14" s="254" t="s">
        <v>290</v>
      </c>
      <c r="B14" s="275">
        <v>0.08</v>
      </c>
      <c r="C14" s="276">
        <v>0.04</v>
      </c>
      <c r="D14" s="276">
        <f t="shared" si="0"/>
        <v>0.12</v>
      </c>
      <c r="E14" s="277">
        <f t="shared" si="1"/>
        <v>0.4</v>
      </c>
    </row>
    <row r="15" spans="1:7" x14ac:dyDescent="0.3">
      <c r="A15" s="254" t="s">
        <v>291</v>
      </c>
      <c r="B15" s="275">
        <v>0.09</v>
      </c>
      <c r="C15" s="276">
        <v>5.5E-2</v>
      </c>
      <c r="D15" s="276">
        <f t="shared" si="0"/>
        <v>0.14499999999999999</v>
      </c>
      <c r="E15" s="277">
        <f t="shared" si="1"/>
        <v>0.48333333333333334</v>
      </c>
    </row>
    <row r="16" spans="1:7" x14ac:dyDescent="0.3">
      <c r="A16" s="254" t="s">
        <v>292</v>
      </c>
      <c r="B16" s="275">
        <v>0.08</v>
      </c>
      <c r="C16" s="276">
        <v>0.04</v>
      </c>
      <c r="D16" s="276">
        <f t="shared" si="0"/>
        <v>0.12</v>
      </c>
      <c r="E16" s="277">
        <f t="shared" si="1"/>
        <v>0.4</v>
      </c>
    </row>
    <row r="17" spans="1:8" x14ac:dyDescent="0.3">
      <c r="A17" s="254" t="s">
        <v>293</v>
      </c>
      <c r="B17" s="275">
        <v>0.09</v>
      </c>
      <c r="C17" s="276">
        <v>0.04</v>
      </c>
      <c r="D17" s="276">
        <f t="shared" si="0"/>
        <v>0.13</v>
      </c>
      <c r="E17" s="277">
        <f t="shared" si="1"/>
        <v>0.43333333333333335</v>
      </c>
    </row>
    <row r="18" spans="1:8" x14ac:dyDescent="0.3">
      <c r="A18" s="254" t="s">
        <v>294</v>
      </c>
      <c r="B18" s="275">
        <v>0.08</v>
      </c>
      <c r="C18" s="276">
        <v>0.05</v>
      </c>
      <c r="D18" s="276">
        <f t="shared" si="0"/>
        <v>0.13</v>
      </c>
      <c r="E18" s="277">
        <f t="shared" si="1"/>
        <v>0.43333333333333335</v>
      </c>
    </row>
    <row r="19" spans="1:8" x14ac:dyDescent="0.3">
      <c r="A19" s="254" t="s">
        <v>295</v>
      </c>
      <c r="B19" s="275">
        <v>0.08</v>
      </c>
      <c r="C19" s="276">
        <v>0.05</v>
      </c>
      <c r="D19" s="276">
        <f t="shared" si="0"/>
        <v>0.13</v>
      </c>
      <c r="E19" s="277">
        <f t="shared" si="1"/>
        <v>0.43333333333333335</v>
      </c>
    </row>
    <row r="20" spans="1:8" x14ac:dyDescent="0.3">
      <c r="A20" s="254" t="s">
        <v>296</v>
      </c>
      <c r="B20" s="275">
        <v>7.0000000000000007E-2</v>
      </c>
      <c r="C20" s="276">
        <v>0.04</v>
      </c>
      <c r="D20" s="276">
        <f t="shared" si="0"/>
        <v>0.11000000000000001</v>
      </c>
      <c r="E20" s="277">
        <f t="shared" si="1"/>
        <v>0.36666666666666675</v>
      </c>
    </row>
    <row r="21" spans="1:8" x14ac:dyDescent="0.3">
      <c r="A21" s="259" t="s">
        <v>297</v>
      </c>
      <c r="B21" s="278">
        <v>0.09</v>
      </c>
      <c r="C21" s="279">
        <v>0.05</v>
      </c>
      <c r="D21" s="279">
        <f t="shared" si="0"/>
        <v>0.14000000000000001</v>
      </c>
      <c r="E21" s="280">
        <f t="shared" si="1"/>
        <v>0.46666666666666673</v>
      </c>
    </row>
    <row r="22" spans="1:8" x14ac:dyDescent="0.3">
      <c r="C22" s="240"/>
      <c r="D22" s="240"/>
    </row>
    <row r="23" spans="1:8" x14ac:dyDescent="0.3">
      <c r="C23" s="262" t="s">
        <v>298</v>
      </c>
      <c r="D23" s="263" t="s">
        <v>307</v>
      </c>
      <c r="E23" s="281">
        <f>SUMPRODUCT([2]Pilotage!B4:B22,E3:E21)</f>
        <v>0.49550000000000005</v>
      </c>
      <c r="H23" s="240"/>
    </row>
    <row r="24" spans="1:8" x14ac:dyDescent="0.3">
      <c r="C24" s="266" t="s">
        <v>300</v>
      </c>
      <c r="D24" s="267" t="s">
        <v>308</v>
      </c>
      <c r="E24" s="282">
        <f>SUMPRODUCT([2]Pilotage!C4:C22,E3:E21)</f>
        <v>0.41599999999999998</v>
      </c>
    </row>
  </sheetData>
  <mergeCells count="2">
    <mergeCell ref="B1:D1"/>
    <mergeCell ref="E1:E2"/>
  </mergeCells>
  <pageMargins left="0.75" right="0.75" top="1" bottom="1" header="0.5" footer="0.5"/>
  <pageSetup paperSize="9" orientation="portrait" horizontalDpi="300"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AB350-D0E2-4D92-996A-E5D514DF9F76}">
  <sheetPr>
    <tabColor rgb="FF00B0F0"/>
  </sheetPr>
  <dimension ref="A1:AI98"/>
  <sheetViews>
    <sheetView zoomScale="85" zoomScaleNormal="85" workbookViewId="0">
      <pane xSplit="5" ySplit="2" topLeftCell="F6" activePane="bottomRight" state="frozen"/>
      <selection pane="topRight" activeCell="F1" sqref="F1"/>
      <selection pane="bottomLeft" activeCell="A3" sqref="A3"/>
      <selection pane="bottomRight" activeCell="M13" sqref="M13"/>
    </sheetView>
  </sheetViews>
  <sheetFormatPr baseColWidth="10" defaultColWidth="15.64453125" defaultRowHeight="12.4" x14ac:dyDescent="0.3"/>
  <cols>
    <col min="1" max="1" width="15.64453125" style="238"/>
    <col min="2" max="2" width="30.87890625" style="238" bestFit="1" customWidth="1"/>
    <col min="3" max="3" width="15.64453125" style="238"/>
    <col min="4" max="4" width="19.87890625" style="238" customWidth="1"/>
    <col min="5" max="6" width="15.64453125" style="238"/>
    <col min="7" max="8" width="15.64453125" style="239"/>
    <col min="9" max="14" width="15.64453125" style="238"/>
    <col min="15" max="17" width="15.64453125" style="240"/>
    <col min="18" max="18" width="48.1171875" style="238" customWidth="1"/>
    <col min="19" max="19" width="14" style="238" bestFit="1" customWidth="1"/>
    <col min="20" max="16384" width="15.64453125" style="238"/>
  </cols>
  <sheetData>
    <row r="1" spans="1:35" s="283" customFormat="1" ht="84" customHeight="1" x14ac:dyDescent="0.3">
      <c r="A1" s="161" t="s">
        <v>222</v>
      </c>
      <c r="B1" s="162" t="s">
        <v>223</v>
      </c>
      <c r="C1" s="163" t="s">
        <v>224</v>
      </c>
      <c r="D1" s="162" t="s">
        <v>225</v>
      </c>
      <c r="E1" s="162" t="s">
        <v>226</v>
      </c>
      <c r="F1" s="162" t="s">
        <v>227</v>
      </c>
      <c r="G1" s="162" t="s">
        <v>228</v>
      </c>
      <c r="H1" s="164" t="s">
        <v>229</v>
      </c>
      <c r="I1" s="164" t="s">
        <v>230</v>
      </c>
      <c r="J1" s="165" t="s">
        <v>231</v>
      </c>
      <c r="K1" s="166" t="s">
        <v>232</v>
      </c>
      <c r="L1" s="167" t="s">
        <v>233</v>
      </c>
      <c r="M1" s="161" t="s">
        <v>234</v>
      </c>
      <c r="N1" s="162" t="s">
        <v>235</v>
      </c>
      <c r="O1" s="162" t="s">
        <v>236</v>
      </c>
      <c r="P1" s="162" t="s">
        <v>237</v>
      </c>
      <c r="Q1" s="168" t="s">
        <v>238</v>
      </c>
      <c r="R1" s="169" t="s">
        <v>239</v>
      </c>
      <c r="S1" s="170" t="s">
        <v>240</v>
      </c>
      <c r="T1" s="171" t="s">
        <v>241</v>
      </c>
    </row>
    <row r="2" spans="1:35" s="283" customFormat="1" ht="201.75" customHeight="1" x14ac:dyDescent="0.3">
      <c r="A2" s="299" t="s">
        <v>242</v>
      </c>
      <c r="B2" s="306"/>
      <c r="C2" s="172"/>
      <c r="D2" s="173" t="s">
        <v>243</v>
      </c>
      <c r="E2" s="173" t="s">
        <v>244</v>
      </c>
      <c r="F2" s="173" t="s">
        <v>245</v>
      </c>
      <c r="G2" s="173" t="s">
        <v>246</v>
      </c>
      <c r="H2" s="173" t="s">
        <v>246</v>
      </c>
      <c r="I2" s="173" t="s">
        <v>246</v>
      </c>
      <c r="J2" s="174" t="s">
        <v>247</v>
      </c>
      <c r="K2" s="175" t="s">
        <v>248</v>
      </c>
      <c r="L2" s="176" t="s">
        <v>249</v>
      </c>
      <c r="M2" s="177" t="s">
        <v>250</v>
      </c>
      <c r="N2" s="173" t="s">
        <v>251</v>
      </c>
      <c r="O2" s="173" t="s">
        <v>252</v>
      </c>
      <c r="P2" s="173" t="s">
        <v>253</v>
      </c>
      <c r="Q2" s="175" t="s">
        <v>254</v>
      </c>
      <c r="R2" s="175" t="s">
        <v>255</v>
      </c>
      <c r="S2" s="178" t="s">
        <v>256</v>
      </c>
      <c r="T2" s="176" t="s">
        <v>257</v>
      </c>
    </row>
    <row r="3" spans="1:35" x14ac:dyDescent="0.3">
      <c r="A3" s="179" t="s">
        <v>222</v>
      </c>
      <c r="B3" s="180" t="s">
        <v>11</v>
      </c>
      <c r="C3" s="181"/>
      <c r="D3" s="284" t="str">
        <f t="shared" ref="D3:D69" si="0">IF(E3="&gt; saturation",E3,E3/(1-E3))</f>
        <v>&gt; saturation</v>
      </c>
      <c r="E3" s="183" t="str">
        <f>[2]Pilotage!C27</f>
        <v>&gt; saturation</v>
      </c>
      <c r="F3" s="184"/>
      <c r="G3" s="185"/>
      <c r="H3" s="186">
        <v>0.2</v>
      </c>
      <c r="I3" s="186">
        <f>1-H3</f>
        <v>0.8</v>
      </c>
      <c r="J3" s="187" t="s">
        <v>258</v>
      </c>
      <c r="K3" s="187">
        <v>1</v>
      </c>
      <c r="L3" s="188">
        <f>R3</f>
        <v>1</v>
      </c>
      <c r="M3" s="189">
        <f>H3*[2]InfraDensité!infra_d_f+I3*[2]InfraDensité!infra_d_r</f>
        <v>0.40197743999999996</v>
      </c>
      <c r="N3" s="190">
        <f>IF(D3="&gt; saturation",M3/(1-0.3)/(1-F3),M3/(1-E3)/(1-F3))</f>
        <v>0.57425348571428569</v>
      </c>
      <c r="O3" s="190">
        <f>IF(D3="&gt; saturation",5*(1-0.3)-0.7*0.3, 5*(1-E3)-0.7*E3)</f>
        <v>3.29</v>
      </c>
      <c r="P3" s="191">
        <f t="shared" ref="P3:P69" si="1">O3*N3</f>
        <v>1.889293968</v>
      </c>
      <c r="Q3" s="191">
        <f>(Q$5*[2]Pilotage!$B$24+Q$6*[2]Pilotage!$C$24)</f>
        <v>0.75000000000000011</v>
      </c>
      <c r="R3" s="191">
        <f>IF(OR(D3&gt;0.3,D3="&gt; saturation"),1,1-(0.3-D3)*(H3*[2]Retrait!retrait_v_f+I3*[2]Retrait!retrait_v_r))</f>
        <v>1</v>
      </c>
      <c r="S3" s="191">
        <f>R3/0.4</f>
        <v>2.5</v>
      </c>
      <c r="T3" s="192">
        <f>R3*1.5</f>
        <v>1.5</v>
      </c>
    </row>
    <row r="4" spans="1:35" s="285" customFormat="1" ht="14.1" customHeight="1" x14ac:dyDescent="0.3">
      <c r="A4" s="179" t="s">
        <v>222</v>
      </c>
      <c r="B4" s="180" t="s">
        <v>12</v>
      </c>
      <c r="C4" s="181"/>
      <c r="D4" s="284" t="str">
        <f t="shared" si="0"/>
        <v>&gt; saturation</v>
      </c>
      <c r="E4" s="183" t="str">
        <f>[2]Pilotage!C28</f>
        <v>&gt; saturation</v>
      </c>
      <c r="F4" s="193"/>
      <c r="G4" s="193"/>
      <c r="H4" s="186">
        <v>0.2</v>
      </c>
      <c r="I4" s="186">
        <f t="shared" ref="I4:I69" si="2">1-H4</f>
        <v>0.8</v>
      </c>
      <c r="J4" s="187" t="s">
        <v>258</v>
      </c>
      <c r="K4" s="187">
        <v>1</v>
      </c>
      <c r="L4" s="188">
        <f t="shared" ref="L4:L21" si="3">R4</f>
        <v>1</v>
      </c>
      <c r="M4" s="189">
        <f>H4*[2]InfraDensité!infra_d_f+I4*[2]InfraDensité!infra_d_r</f>
        <v>0.40197743999999996</v>
      </c>
      <c r="N4" s="190">
        <f t="shared" ref="N4:N67" si="4">IF(D4="&gt; saturation",M4/(1-0.3)/(1-F4),M4/(1-E4)/(1-F4))</f>
        <v>0.57425348571428569</v>
      </c>
      <c r="O4" s="190">
        <f t="shared" ref="O4:O69" si="5">IF(D4="&gt; saturation",5*(1-0.3)-0.7*0.3, 5*(1-E4)-0.7*E4)</f>
        <v>3.29</v>
      </c>
      <c r="P4" s="191">
        <f t="shared" si="1"/>
        <v>1.889293968</v>
      </c>
      <c r="Q4" s="191">
        <f>(Q$5*[2]Pilotage!$B$24+Q$6*[2]Pilotage!$C$24)</f>
        <v>0.75000000000000011</v>
      </c>
      <c r="R4" s="191">
        <f>IF(OR(D4&gt;0.3,D4="&gt; saturation"),1,1-(0.3-D4)*(H4*[2]Retrait!retrait_v_f+I4*[2]Retrait!retrait_v_r))</f>
        <v>1</v>
      </c>
      <c r="S4" s="191">
        <f t="shared" ref="S4:S67" si="6">R4/0.4</f>
        <v>2.5</v>
      </c>
      <c r="T4" s="192">
        <f t="shared" ref="T4:T67" si="7">R4*1.5</f>
        <v>1.5</v>
      </c>
      <c r="U4" s="283"/>
      <c r="V4" s="283"/>
      <c r="W4" s="283"/>
      <c r="X4" s="283"/>
      <c r="Y4" s="283"/>
      <c r="Z4" s="283"/>
      <c r="AA4" s="283"/>
      <c r="AB4" s="283"/>
      <c r="AC4" s="283"/>
      <c r="AD4" s="283"/>
      <c r="AE4" s="283"/>
      <c r="AF4" s="283"/>
      <c r="AG4" s="283"/>
      <c r="AH4" s="283"/>
      <c r="AI4" s="283"/>
    </row>
    <row r="5" spans="1:35" ht="14.1" customHeight="1" x14ac:dyDescent="0.3">
      <c r="A5" s="179" t="s">
        <v>222</v>
      </c>
      <c r="B5" s="180" t="s">
        <v>13</v>
      </c>
      <c r="C5" s="181"/>
      <c r="D5" s="284" t="str">
        <f t="shared" si="0"/>
        <v>&gt; saturation</v>
      </c>
      <c r="E5" s="183" t="str">
        <f>[2]Pilotage!C29</f>
        <v>&gt; saturation</v>
      </c>
      <c r="F5" s="193"/>
      <c r="G5" s="193"/>
      <c r="H5" s="186">
        <v>1</v>
      </c>
      <c r="I5" s="186">
        <f t="shared" si="2"/>
        <v>0</v>
      </c>
      <c r="J5" s="187" t="s">
        <v>258</v>
      </c>
      <c r="K5" s="187">
        <v>1</v>
      </c>
      <c r="L5" s="188">
        <f t="shared" si="3"/>
        <v>1</v>
      </c>
      <c r="M5" s="189">
        <f>H5*[2]InfraDensité!infra_d_f+I5*[2]InfraDensité!infra_d_r</f>
        <v>0.51120719999999997</v>
      </c>
      <c r="N5" s="194">
        <f t="shared" si="4"/>
        <v>0.73029600000000006</v>
      </c>
      <c r="O5" s="190">
        <f t="shared" si="5"/>
        <v>3.29</v>
      </c>
      <c r="P5" s="191">
        <f t="shared" si="1"/>
        <v>2.4026738400000003</v>
      </c>
      <c r="Q5" s="191">
        <v>0.63</v>
      </c>
      <c r="R5" s="191">
        <f>IF(OR(D5&gt;0.3,D5="&gt; saturation"),1,1-(0.3-D5)*(H5*[2]Retrait!retrait_v_f+I5*[2]Retrait!retrait_v_r))</f>
        <v>1</v>
      </c>
      <c r="S5" s="191">
        <f t="shared" si="6"/>
        <v>2.5</v>
      </c>
      <c r="T5" s="192">
        <f t="shared" si="7"/>
        <v>1.5</v>
      </c>
      <c r="U5" s="283"/>
      <c r="V5" s="283"/>
      <c r="W5" s="283"/>
      <c r="X5" s="283"/>
      <c r="Y5" s="283"/>
      <c r="Z5" s="283"/>
      <c r="AA5" s="283"/>
      <c r="AB5" s="283"/>
      <c r="AC5" s="283"/>
      <c r="AD5" s="283"/>
      <c r="AE5" s="283"/>
      <c r="AF5" s="283"/>
      <c r="AG5" s="283"/>
      <c r="AH5" s="283"/>
      <c r="AI5" s="283"/>
    </row>
    <row r="6" spans="1:35" ht="14.1" customHeight="1" x14ac:dyDescent="0.3">
      <c r="A6" s="179" t="s">
        <v>222</v>
      </c>
      <c r="B6" s="180" t="s">
        <v>16</v>
      </c>
      <c r="C6" s="181"/>
      <c r="D6" s="284" t="str">
        <f t="shared" si="0"/>
        <v>&gt; saturation</v>
      </c>
      <c r="E6" s="183" t="str">
        <f>[2]Pilotage!C30</f>
        <v>&gt; saturation</v>
      </c>
      <c r="F6" s="193"/>
      <c r="G6" s="193"/>
      <c r="H6" s="186">
        <v>0</v>
      </c>
      <c r="I6" s="186">
        <f t="shared" si="2"/>
        <v>1</v>
      </c>
      <c r="J6" s="187" t="s">
        <v>258</v>
      </c>
      <c r="K6" s="187">
        <v>1</v>
      </c>
      <c r="L6" s="188">
        <f t="shared" si="3"/>
        <v>1</v>
      </c>
      <c r="M6" s="189">
        <f>H6*[2]InfraDensité!infra_d_f+I6*[2]InfraDensité!infra_d_r</f>
        <v>0.37466999999999995</v>
      </c>
      <c r="N6" s="195">
        <f t="shared" si="4"/>
        <v>0.53524285714285713</v>
      </c>
      <c r="O6" s="190">
        <f t="shared" si="5"/>
        <v>3.29</v>
      </c>
      <c r="P6" s="191">
        <f t="shared" si="1"/>
        <v>1.7609489999999999</v>
      </c>
      <c r="Q6" s="191">
        <v>0.78</v>
      </c>
      <c r="R6" s="191">
        <f>IF(OR(D6&gt;0.3,D6="&gt; saturation"),1,1-(0.3-D6)*(H6*[2]Retrait!retrait_v_f+I6*[2]Retrait!retrait_v_r))</f>
        <v>1</v>
      </c>
      <c r="S6" s="191">
        <f t="shared" si="6"/>
        <v>2.5</v>
      </c>
      <c r="T6" s="192">
        <f t="shared" si="7"/>
        <v>1.5</v>
      </c>
      <c r="U6" s="283"/>
      <c r="V6" s="283"/>
      <c r="W6" s="283"/>
      <c r="X6" s="283"/>
      <c r="Y6" s="283"/>
      <c r="Z6" s="283"/>
      <c r="AA6" s="283"/>
      <c r="AB6" s="283"/>
      <c r="AC6" s="283"/>
      <c r="AD6" s="283"/>
      <c r="AE6" s="283"/>
      <c r="AF6" s="283"/>
      <c r="AG6" s="283"/>
      <c r="AH6" s="283"/>
      <c r="AI6" s="283"/>
    </row>
    <row r="7" spans="1:35" ht="14.1" customHeight="1" x14ac:dyDescent="0.3">
      <c r="A7" s="179" t="s">
        <v>222</v>
      </c>
      <c r="B7" s="180" t="s">
        <v>17</v>
      </c>
      <c r="C7" s="181"/>
      <c r="D7" s="284" t="str">
        <f t="shared" si="0"/>
        <v>&gt; saturation</v>
      </c>
      <c r="E7" s="183" t="str">
        <f>[2]Pilotage!C30</f>
        <v>&gt; saturation</v>
      </c>
      <c r="F7" s="193"/>
      <c r="G7" s="193"/>
      <c r="H7" s="186">
        <v>0.2</v>
      </c>
      <c r="I7" s="186">
        <f t="shared" si="2"/>
        <v>0.8</v>
      </c>
      <c r="J7" s="187" t="s">
        <v>258</v>
      </c>
      <c r="K7" s="187">
        <v>1</v>
      </c>
      <c r="L7" s="188">
        <f t="shared" si="3"/>
        <v>1</v>
      </c>
      <c r="M7" s="189">
        <f>H7*[2]InfraDensité!infra_d_f+I7*[2]InfraDensité!infra_d_r</f>
        <v>0.40197743999999996</v>
      </c>
      <c r="N7" s="190">
        <f t="shared" si="4"/>
        <v>0.57425348571428569</v>
      </c>
      <c r="O7" s="190">
        <f t="shared" si="5"/>
        <v>3.29</v>
      </c>
      <c r="P7" s="191">
        <f t="shared" si="1"/>
        <v>1.889293968</v>
      </c>
      <c r="Q7" s="191"/>
      <c r="R7" s="191">
        <f>IF(OR(D7&gt;0.3,D7="&gt; saturation"),1,1-(0.3-D7)*(H7*[2]Retrait!retrait_v_f+I7*[2]Retrait!retrait_v_r))</f>
        <v>1</v>
      </c>
      <c r="S7" s="191">
        <f t="shared" si="6"/>
        <v>2.5</v>
      </c>
      <c r="T7" s="192">
        <f t="shared" si="7"/>
        <v>1.5</v>
      </c>
      <c r="U7" s="283"/>
      <c r="V7" s="283"/>
      <c r="W7" s="283"/>
      <c r="X7" s="283"/>
      <c r="Y7" s="283"/>
      <c r="Z7" s="283"/>
      <c r="AA7" s="283"/>
      <c r="AB7" s="283"/>
      <c r="AC7" s="283"/>
      <c r="AD7" s="283"/>
      <c r="AE7" s="283"/>
      <c r="AF7" s="283"/>
      <c r="AG7" s="283"/>
      <c r="AH7" s="283"/>
      <c r="AI7" s="283"/>
    </row>
    <row r="8" spans="1:35" ht="14.1" customHeight="1" x14ac:dyDescent="0.3">
      <c r="A8" s="179" t="s">
        <v>222</v>
      </c>
      <c r="B8" s="180" t="s">
        <v>17</v>
      </c>
      <c r="C8" s="181"/>
      <c r="D8" s="284" t="str">
        <f t="shared" si="0"/>
        <v>&gt; saturation</v>
      </c>
      <c r="E8" s="183" t="str">
        <f>[2]Pilotage!C31</f>
        <v>&gt; saturation</v>
      </c>
      <c r="F8" s="193"/>
      <c r="G8" s="193"/>
      <c r="H8" s="186">
        <v>0.2</v>
      </c>
      <c r="I8" s="186">
        <f t="shared" si="2"/>
        <v>0.8</v>
      </c>
      <c r="J8" s="187" t="s">
        <v>259</v>
      </c>
      <c r="K8" s="187">
        <v>1.7413912581760809</v>
      </c>
      <c r="L8" s="188">
        <f>N8</f>
        <v>0.57425348571428569</v>
      </c>
      <c r="M8" s="189">
        <f>H8*[2]InfraDensité!infra_d_f+I8*[2]InfraDensité!infra_d_r</f>
        <v>0.40197743999999996</v>
      </c>
      <c r="N8" s="190">
        <f t="shared" si="4"/>
        <v>0.57425348571428569</v>
      </c>
      <c r="O8" s="190">
        <f t="shared" si="5"/>
        <v>3.29</v>
      </c>
      <c r="P8" s="191">
        <f t="shared" si="1"/>
        <v>1.889293968</v>
      </c>
      <c r="Q8" s="191"/>
      <c r="R8" s="191">
        <f>IF(OR(D8&gt;0.3,D8="&gt; saturation"),1,1-(0.3-D8)*(H8*[2]Retrait!retrait_v_f+I8*[2]Retrait!retrait_v_r))</f>
        <v>1</v>
      </c>
      <c r="S8" s="191">
        <f t="shared" si="6"/>
        <v>2.5</v>
      </c>
      <c r="T8" s="192">
        <f t="shared" si="7"/>
        <v>1.5</v>
      </c>
      <c r="U8" s="283"/>
      <c r="V8" s="283"/>
      <c r="W8" s="283"/>
      <c r="X8" s="283"/>
      <c r="Y8" s="283"/>
      <c r="Z8" s="283"/>
      <c r="AA8" s="283"/>
      <c r="AB8" s="283"/>
      <c r="AC8" s="283"/>
      <c r="AD8" s="283"/>
      <c r="AE8" s="283"/>
      <c r="AF8" s="283"/>
      <c r="AG8" s="283"/>
      <c r="AH8" s="283"/>
      <c r="AI8" s="283"/>
    </row>
    <row r="9" spans="1:35" s="285" customFormat="1" x14ac:dyDescent="0.3">
      <c r="A9" s="179" t="s">
        <v>222</v>
      </c>
      <c r="B9" s="180" t="s">
        <v>18</v>
      </c>
      <c r="C9" s="181"/>
      <c r="D9" s="284" t="str">
        <f t="shared" si="0"/>
        <v>&gt; saturation</v>
      </c>
      <c r="E9" s="183" t="str">
        <f>[2]Pilotage!C31</f>
        <v>&gt; saturation</v>
      </c>
      <c r="F9" s="193"/>
      <c r="G9" s="193"/>
      <c r="H9" s="186">
        <v>0.2</v>
      </c>
      <c r="I9" s="186">
        <f t="shared" si="2"/>
        <v>0.8</v>
      </c>
      <c r="J9" s="187" t="s">
        <v>258</v>
      </c>
      <c r="K9" s="187">
        <v>1</v>
      </c>
      <c r="L9" s="188">
        <f t="shared" ref="L9" si="8">R9</f>
        <v>1</v>
      </c>
      <c r="M9" s="189">
        <f>H9*[2]InfraDensité!infra_d_f+I9*[2]InfraDensité!infra_d_r</f>
        <v>0.40197743999999996</v>
      </c>
      <c r="N9" s="190">
        <f t="shared" si="4"/>
        <v>0.57425348571428569</v>
      </c>
      <c r="O9" s="190">
        <f t="shared" si="5"/>
        <v>3.29</v>
      </c>
      <c r="P9" s="191">
        <f t="shared" si="1"/>
        <v>1.889293968</v>
      </c>
      <c r="Q9" s="191"/>
      <c r="R9" s="191">
        <f>IF(OR(D9&gt;0.3,D9="&gt; saturation"),1,1-(0.3-D9)*(H9*[2]Retrait!retrait_v_f+I9*[2]Retrait!retrait_v_r))</f>
        <v>1</v>
      </c>
      <c r="S9" s="191">
        <f t="shared" si="6"/>
        <v>2.5</v>
      </c>
      <c r="T9" s="192">
        <f t="shared" si="7"/>
        <v>1.5</v>
      </c>
      <c r="U9" s="283"/>
      <c r="V9" s="283"/>
      <c r="W9" s="283"/>
      <c r="X9" s="283"/>
      <c r="Y9" s="283"/>
      <c r="Z9" s="283"/>
      <c r="AA9" s="283"/>
      <c r="AB9" s="283"/>
      <c r="AC9" s="283"/>
      <c r="AD9" s="283"/>
      <c r="AE9" s="283"/>
      <c r="AF9" s="283"/>
      <c r="AG9" s="283"/>
      <c r="AH9" s="283"/>
      <c r="AI9" s="283"/>
    </row>
    <row r="10" spans="1:35" s="285" customFormat="1" x14ac:dyDescent="0.3">
      <c r="A10" s="179" t="s">
        <v>222</v>
      </c>
      <c r="B10" s="180" t="s">
        <v>18</v>
      </c>
      <c r="C10" s="181"/>
      <c r="D10" s="284" t="str">
        <f t="shared" si="0"/>
        <v>&gt; saturation</v>
      </c>
      <c r="E10" s="183" t="str">
        <f>[2]Pilotage!C32</f>
        <v>&gt; saturation</v>
      </c>
      <c r="F10" s="193"/>
      <c r="G10" s="193"/>
      <c r="H10" s="186">
        <v>0.2</v>
      </c>
      <c r="I10" s="186">
        <f t="shared" si="2"/>
        <v>0.8</v>
      </c>
      <c r="J10" s="187" t="s">
        <v>260</v>
      </c>
      <c r="K10" s="187">
        <v>1</v>
      </c>
      <c r="L10" s="188">
        <f t="shared" si="3"/>
        <v>1</v>
      </c>
      <c r="M10" s="189">
        <f>H10*[2]InfraDensité!infra_d_f+I10*[2]InfraDensité!infra_d_r</f>
        <v>0.40197743999999996</v>
      </c>
      <c r="N10" s="190">
        <f t="shared" si="4"/>
        <v>0.57425348571428569</v>
      </c>
      <c r="O10" s="190">
        <f t="shared" si="5"/>
        <v>3.29</v>
      </c>
      <c r="P10" s="191">
        <f t="shared" si="1"/>
        <v>1.889293968</v>
      </c>
      <c r="Q10" s="191"/>
      <c r="R10" s="191">
        <f>IF(OR(D10&gt;0.3,D10="&gt; saturation"),1,1-(0.3-D10)*(H10*[2]Retrait!retrait_v_f+I10*[2]Retrait!retrait_v_r))</f>
        <v>1</v>
      </c>
      <c r="S10" s="191">
        <f t="shared" si="6"/>
        <v>2.5</v>
      </c>
      <c r="T10" s="192">
        <f t="shared" si="7"/>
        <v>1.5</v>
      </c>
      <c r="U10" s="283"/>
      <c r="V10" s="283"/>
      <c r="W10" s="283"/>
      <c r="X10" s="283"/>
      <c r="Y10" s="283"/>
      <c r="Z10" s="283"/>
      <c r="AA10" s="283"/>
      <c r="AB10" s="283"/>
      <c r="AC10" s="283"/>
      <c r="AD10" s="283"/>
      <c r="AE10" s="283"/>
      <c r="AF10" s="283"/>
      <c r="AG10" s="283"/>
      <c r="AH10" s="283"/>
      <c r="AI10" s="283"/>
    </row>
    <row r="11" spans="1:35" x14ac:dyDescent="0.3">
      <c r="A11" s="179" t="s">
        <v>222</v>
      </c>
      <c r="B11" s="180" t="s">
        <v>19</v>
      </c>
      <c r="C11" s="181"/>
      <c r="D11" s="284" t="str">
        <f t="shared" si="0"/>
        <v>&gt; saturation</v>
      </c>
      <c r="E11" s="183" t="str">
        <f>[2]Pilotage!C32</f>
        <v>&gt; saturation</v>
      </c>
      <c r="F11" s="193"/>
      <c r="G11" s="193"/>
      <c r="H11" s="186">
        <v>1</v>
      </c>
      <c r="I11" s="186">
        <f t="shared" si="2"/>
        <v>0</v>
      </c>
      <c r="J11" s="187" t="s">
        <v>258</v>
      </c>
      <c r="K11" s="187">
        <v>1</v>
      </c>
      <c r="L11" s="188">
        <f t="shared" si="3"/>
        <v>1</v>
      </c>
      <c r="M11" s="189">
        <f>H11*[2]InfraDensité!infra_d_f+I11*[2]InfraDensité!infra_d_r</f>
        <v>0.51120719999999997</v>
      </c>
      <c r="N11" s="194">
        <f t="shared" si="4"/>
        <v>0.73029600000000006</v>
      </c>
      <c r="O11" s="190">
        <f t="shared" si="5"/>
        <v>3.29</v>
      </c>
      <c r="P11" s="191">
        <f t="shared" si="1"/>
        <v>2.4026738400000003</v>
      </c>
      <c r="Q11" s="191"/>
      <c r="R11" s="191">
        <f>IF(OR(D11&gt;0.3,D11="&gt; saturation"),1,1-(0.3-D11)*(H11*[2]Retrait!retrait_v_f+I11*[2]Retrait!retrait_v_r))</f>
        <v>1</v>
      </c>
      <c r="S11" s="191">
        <f t="shared" si="6"/>
        <v>2.5</v>
      </c>
      <c r="T11" s="192">
        <f t="shared" si="7"/>
        <v>1.5</v>
      </c>
      <c r="U11" s="283"/>
      <c r="V11" s="283"/>
      <c r="W11" s="283"/>
      <c r="X11" s="283"/>
      <c r="Y11" s="283"/>
      <c r="Z11" s="283"/>
      <c r="AA11" s="283"/>
      <c r="AB11" s="283"/>
      <c r="AC11" s="283"/>
      <c r="AD11" s="283"/>
      <c r="AE11" s="283"/>
      <c r="AF11" s="283"/>
      <c r="AG11" s="283"/>
      <c r="AH11" s="283"/>
      <c r="AI11" s="283"/>
    </row>
    <row r="12" spans="1:35" x14ac:dyDescent="0.3">
      <c r="A12" s="179" t="s">
        <v>222</v>
      </c>
      <c r="B12" s="180" t="s">
        <v>19</v>
      </c>
      <c r="C12" s="181"/>
      <c r="D12" s="284" t="str">
        <f t="shared" si="0"/>
        <v>&gt; saturation</v>
      </c>
      <c r="E12" s="183" t="str">
        <f>[2]Pilotage!C32</f>
        <v>&gt; saturation</v>
      </c>
      <c r="F12" s="193"/>
      <c r="G12" s="193"/>
      <c r="H12" s="186">
        <v>1</v>
      </c>
      <c r="I12" s="186">
        <f t="shared" si="2"/>
        <v>0</v>
      </c>
      <c r="J12" s="187" t="s">
        <v>260</v>
      </c>
      <c r="K12" s="187">
        <v>1</v>
      </c>
      <c r="L12" s="188">
        <f t="shared" si="3"/>
        <v>1</v>
      </c>
      <c r="M12" s="189">
        <f>H12*[2]InfraDensité!infra_d_f+I12*[2]InfraDensité!infra_d_r</f>
        <v>0.51120719999999997</v>
      </c>
      <c r="N12" s="194">
        <f t="shared" si="4"/>
        <v>0.73029600000000006</v>
      </c>
      <c r="O12" s="190">
        <f t="shared" si="5"/>
        <v>3.29</v>
      </c>
      <c r="P12" s="191">
        <f t="shared" si="1"/>
        <v>2.4026738400000003</v>
      </c>
      <c r="Q12" s="191"/>
      <c r="R12" s="191">
        <f>IF(OR(D12&gt;0.3,D12="&gt; saturation"),1,1-(0.3-D12)*(H12*[2]Retrait!retrait_v_f+I12*[2]Retrait!retrait_v_r))</f>
        <v>1</v>
      </c>
      <c r="S12" s="191">
        <f t="shared" si="6"/>
        <v>2.5</v>
      </c>
      <c r="T12" s="192">
        <f t="shared" si="7"/>
        <v>1.5</v>
      </c>
      <c r="U12" s="283"/>
      <c r="V12" s="283"/>
      <c r="W12" s="283"/>
      <c r="X12" s="283"/>
      <c r="Y12" s="283"/>
      <c r="Z12" s="283"/>
      <c r="AA12" s="283"/>
      <c r="AB12" s="283"/>
      <c r="AC12" s="283"/>
      <c r="AD12" s="283"/>
      <c r="AE12" s="283"/>
      <c r="AF12" s="283"/>
      <c r="AG12" s="283"/>
      <c r="AH12" s="283"/>
      <c r="AI12" s="283"/>
    </row>
    <row r="13" spans="1:35" x14ac:dyDescent="0.3">
      <c r="A13" s="179" t="s">
        <v>222</v>
      </c>
      <c r="B13" s="180" t="s">
        <v>20</v>
      </c>
      <c r="C13" s="181"/>
      <c r="D13" s="284" t="str">
        <f t="shared" si="0"/>
        <v>&gt; saturation</v>
      </c>
      <c r="E13" s="183" t="str">
        <f>[2]Pilotage!C33</f>
        <v>&gt; saturation</v>
      </c>
      <c r="F13" s="193"/>
      <c r="G13" s="193"/>
      <c r="H13" s="186">
        <v>0</v>
      </c>
      <c r="I13" s="186">
        <f t="shared" si="2"/>
        <v>1</v>
      </c>
      <c r="J13" s="187" t="s">
        <v>258</v>
      </c>
      <c r="K13" s="187">
        <v>1</v>
      </c>
      <c r="L13" s="188">
        <f t="shared" si="3"/>
        <v>1</v>
      </c>
      <c r="M13" s="189">
        <f>H13*[2]InfraDensité!infra_d_f+I13*[2]InfraDensité!infra_d_r</f>
        <v>0.37466999999999995</v>
      </c>
      <c r="N13" s="195">
        <f t="shared" si="4"/>
        <v>0.53524285714285713</v>
      </c>
      <c r="O13" s="190">
        <f t="shared" si="5"/>
        <v>3.29</v>
      </c>
      <c r="P13" s="191">
        <f t="shared" si="1"/>
        <v>1.7609489999999999</v>
      </c>
      <c r="Q13" s="191"/>
      <c r="R13" s="191">
        <f>IF(OR(D13&gt;0.3,D13="&gt; saturation"),1,1-(0.3-D13)*(H13*[2]Retrait!retrait_v_f+I13*[2]Retrait!retrait_v_r))</f>
        <v>1</v>
      </c>
      <c r="S13" s="191">
        <f t="shared" si="6"/>
        <v>2.5</v>
      </c>
      <c r="T13" s="192">
        <f t="shared" si="7"/>
        <v>1.5</v>
      </c>
      <c r="U13" s="283"/>
      <c r="V13" s="283"/>
      <c r="W13" s="283"/>
      <c r="X13" s="283"/>
      <c r="Y13" s="283"/>
      <c r="Z13" s="283"/>
      <c r="AA13" s="283"/>
      <c r="AB13" s="283"/>
      <c r="AC13" s="283"/>
      <c r="AD13" s="283"/>
      <c r="AE13" s="283"/>
      <c r="AF13" s="283"/>
      <c r="AG13" s="283"/>
      <c r="AH13" s="283"/>
      <c r="AI13" s="283"/>
    </row>
    <row r="14" spans="1:35" x14ac:dyDescent="0.3">
      <c r="A14" s="179" t="s">
        <v>222</v>
      </c>
      <c r="B14" s="180" t="s">
        <v>20</v>
      </c>
      <c r="C14" s="181"/>
      <c r="D14" s="284" t="str">
        <f t="shared" si="0"/>
        <v>&gt; saturation</v>
      </c>
      <c r="E14" s="183" t="str">
        <f>[2]Pilotage!C33</f>
        <v>&gt; saturation</v>
      </c>
      <c r="F14" s="193"/>
      <c r="G14" s="193"/>
      <c r="H14" s="186">
        <v>0</v>
      </c>
      <c r="I14" s="186">
        <f t="shared" si="2"/>
        <v>1</v>
      </c>
      <c r="J14" s="187" t="s">
        <v>260</v>
      </c>
      <c r="K14" s="187">
        <v>1</v>
      </c>
      <c r="L14" s="188">
        <f t="shared" si="3"/>
        <v>1</v>
      </c>
      <c r="M14" s="189">
        <f>H14*[2]InfraDensité!infra_d_f+I14*[2]InfraDensité!infra_d_r</f>
        <v>0.37466999999999995</v>
      </c>
      <c r="N14" s="195">
        <f t="shared" si="4"/>
        <v>0.53524285714285713</v>
      </c>
      <c r="O14" s="190">
        <f t="shared" si="5"/>
        <v>3.29</v>
      </c>
      <c r="P14" s="191">
        <f t="shared" si="1"/>
        <v>1.7609489999999999</v>
      </c>
      <c r="Q14" s="191"/>
      <c r="R14" s="191">
        <f>IF(OR(D14&gt;0.3,D14="&gt; saturation"),1,1-(0.3-D14)*(H14*[2]Retrait!retrait_v_f+I14*[2]Retrait!retrait_v_r))</f>
        <v>1</v>
      </c>
      <c r="S14" s="191">
        <f t="shared" si="6"/>
        <v>2.5</v>
      </c>
      <c r="T14" s="192">
        <f t="shared" si="7"/>
        <v>1.5</v>
      </c>
      <c r="U14" s="283"/>
      <c r="V14" s="283"/>
      <c r="W14" s="283"/>
      <c r="X14" s="283"/>
      <c r="Y14" s="283"/>
      <c r="Z14" s="283"/>
      <c r="AA14" s="283"/>
      <c r="AB14" s="283"/>
      <c r="AC14" s="283"/>
      <c r="AD14" s="283"/>
      <c r="AE14" s="283"/>
      <c r="AF14" s="283"/>
      <c r="AG14" s="283"/>
      <c r="AH14" s="283"/>
      <c r="AI14" s="283"/>
    </row>
    <row r="15" spans="1:35" x14ac:dyDescent="0.3">
      <c r="A15" s="179" t="s">
        <v>222</v>
      </c>
      <c r="B15" s="180" t="s">
        <v>21</v>
      </c>
      <c r="C15" s="181" t="s">
        <v>261</v>
      </c>
      <c r="D15" s="284">
        <f t="shared" si="0"/>
        <v>0.4285714285714286</v>
      </c>
      <c r="E15" s="183">
        <f>[2]Pilotage!C35</f>
        <v>0.3</v>
      </c>
      <c r="F15" s="193"/>
      <c r="G15" s="193"/>
      <c r="H15" s="186">
        <v>0.2</v>
      </c>
      <c r="I15" s="186">
        <f t="shared" si="2"/>
        <v>0.8</v>
      </c>
      <c r="J15" s="187" t="s">
        <v>260</v>
      </c>
      <c r="K15" s="187">
        <v>1</v>
      </c>
      <c r="L15" s="188">
        <f t="shared" si="3"/>
        <v>1</v>
      </c>
      <c r="M15" s="189">
        <f>H15*[2]InfraDensité!infra_d_f+I15*[2]InfraDensité!infra_d_r</f>
        <v>0.40197743999999996</v>
      </c>
      <c r="N15" s="190">
        <f t="shared" si="4"/>
        <v>0.57425348571428569</v>
      </c>
      <c r="O15" s="190">
        <f t="shared" si="5"/>
        <v>3.29</v>
      </c>
      <c r="P15" s="191">
        <f t="shared" si="1"/>
        <v>1.889293968</v>
      </c>
      <c r="Q15" s="191"/>
      <c r="R15" s="191">
        <f>IF(OR(D15&gt;0.3,D15="&gt; saturation"),1,1-(0.3-D15)*(H15*[2]Retrait!retrait_v_f+I15*[2]Retrait!retrait_v_r))</f>
        <v>1</v>
      </c>
      <c r="S15" s="191">
        <f t="shared" si="6"/>
        <v>2.5</v>
      </c>
      <c r="T15" s="192">
        <f t="shared" si="7"/>
        <v>1.5</v>
      </c>
      <c r="U15" s="283"/>
      <c r="V15" s="283"/>
      <c r="W15" s="283"/>
      <c r="X15" s="283"/>
      <c r="Y15" s="283"/>
      <c r="Z15" s="283"/>
      <c r="AA15" s="283"/>
      <c r="AB15" s="283"/>
      <c r="AC15" s="283"/>
      <c r="AD15" s="283"/>
      <c r="AE15" s="283"/>
      <c r="AF15" s="283"/>
      <c r="AG15" s="283"/>
      <c r="AH15" s="283"/>
      <c r="AI15" s="283"/>
    </row>
    <row r="16" spans="1:35" x14ac:dyDescent="0.3">
      <c r="A16" s="179" t="s">
        <v>222</v>
      </c>
      <c r="B16" s="180" t="s">
        <v>21</v>
      </c>
      <c r="C16" s="181" t="s">
        <v>261</v>
      </c>
      <c r="D16" s="284">
        <f t="shared" si="0"/>
        <v>0.4285714285714286</v>
      </c>
      <c r="E16" s="183">
        <f>[2]Pilotage!C35</f>
        <v>0.3</v>
      </c>
      <c r="F16" s="193"/>
      <c r="G16" s="193"/>
      <c r="H16" s="186">
        <v>0.2</v>
      </c>
      <c r="I16" s="186">
        <f t="shared" si="2"/>
        <v>0.8</v>
      </c>
      <c r="J16" s="187" t="s">
        <v>259</v>
      </c>
      <c r="K16" s="187">
        <v>1.7413912581760809</v>
      </c>
      <c r="L16" s="188">
        <f>N16</f>
        <v>0.57425348571428569</v>
      </c>
      <c r="M16" s="189">
        <f>H16*[2]InfraDensité!infra_d_f+I16*[2]InfraDensité!infra_d_r</f>
        <v>0.40197743999999996</v>
      </c>
      <c r="N16" s="190">
        <f t="shared" si="4"/>
        <v>0.57425348571428569</v>
      </c>
      <c r="O16" s="190">
        <f t="shared" si="5"/>
        <v>3.29</v>
      </c>
      <c r="P16" s="191">
        <f t="shared" si="1"/>
        <v>1.889293968</v>
      </c>
      <c r="Q16" s="191"/>
      <c r="R16" s="191">
        <f>IF(OR(D16&gt;0.3,D16="&gt; saturation"),1,1-(0.3-D16)*(H16*[2]Retrait!retrait_v_f+I16*[2]Retrait!retrait_v_r))</f>
        <v>1</v>
      </c>
      <c r="S16" s="191">
        <f t="shared" si="6"/>
        <v>2.5</v>
      </c>
      <c r="T16" s="192">
        <f t="shared" si="7"/>
        <v>1.5</v>
      </c>
      <c r="U16" s="283"/>
      <c r="V16" s="283"/>
      <c r="W16" s="283"/>
      <c r="X16" s="283"/>
      <c r="Y16" s="283"/>
      <c r="Z16" s="283"/>
      <c r="AA16" s="283"/>
      <c r="AB16" s="283"/>
      <c r="AC16" s="283"/>
      <c r="AD16" s="283"/>
      <c r="AE16" s="283"/>
      <c r="AF16" s="283"/>
      <c r="AG16" s="283"/>
      <c r="AH16" s="283"/>
      <c r="AI16" s="283"/>
    </row>
    <row r="17" spans="1:35" x14ac:dyDescent="0.3">
      <c r="A17" s="179" t="s">
        <v>222</v>
      </c>
      <c r="B17" s="180" t="s">
        <v>22</v>
      </c>
      <c r="C17" s="181"/>
      <c r="D17" s="284" t="str">
        <f t="shared" si="0"/>
        <v>&gt; saturation</v>
      </c>
      <c r="E17" s="183" t="str">
        <f>[2]Pilotage!C36</f>
        <v>&gt; saturation</v>
      </c>
      <c r="F17" s="193"/>
      <c r="G17" s="193"/>
      <c r="H17" s="186">
        <v>1</v>
      </c>
      <c r="I17" s="186">
        <f t="shared" si="2"/>
        <v>0</v>
      </c>
      <c r="J17" s="187" t="s">
        <v>258</v>
      </c>
      <c r="K17" s="187">
        <v>1</v>
      </c>
      <c r="L17" s="188">
        <f t="shared" ref="L17" si="9">R17</f>
        <v>1</v>
      </c>
      <c r="M17" s="189">
        <f>H17*[2]InfraDensité!infra_d_f+I17*[2]InfraDensité!infra_d_r</f>
        <v>0.51120719999999997</v>
      </c>
      <c r="N17" s="194">
        <f t="shared" si="4"/>
        <v>0.73029600000000006</v>
      </c>
      <c r="O17" s="190">
        <f t="shared" si="5"/>
        <v>3.29</v>
      </c>
      <c r="P17" s="191">
        <f t="shared" si="1"/>
        <v>2.4026738400000003</v>
      </c>
      <c r="Q17" s="191"/>
      <c r="R17" s="191">
        <f>IF(OR(D17&gt;0.3,D17="&gt; saturation"),1,1-(0.3-D17)*(H17*[2]Retrait!retrait_v_f+I17*[2]Retrait!retrait_v_r))</f>
        <v>1</v>
      </c>
      <c r="S17" s="191">
        <f t="shared" si="6"/>
        <v>2.5</v>
      </c>
      <c r="T17" s="192">
        <f t="shared" si="7"/>
        <v>1.5</v>
      </c>
      <c r="U17" s="283"/>
      <c r="V17" s="283"/>
      <c r="W17" s="283"/>
      <c r="X17" s="283"/>
      <c r="Y17" s="283"/>
      <c r="Z17" s="283"/>
      <c r="AA17" s="283"/>
      <c r="AB17" s="283"/>
      <c r="AC17" s="283"/>
      <c r="AD17" s="283"/>
      <c r="AE17" s="283"/>
      <c r="AF17" s="283"/>
      <c r="AG17" s="283"/>
      <c r="AH17" s="283"/>
      <c r="AI17" s="283"/>
    </row>
    <row r="18" spans="1:35" x14ac:dyDescent="0.3">
      <c r="A18" s="179" t="s">
        <v>222</v>
      </c>
      <c r="B18" s="180" t="s">
        <v>22</v>
      </c>
      <c r="C18" s="181"/>
      <c r="D18" s="284" t="str">
        <f t="shared" si="0"/>
        <v>&gt; saturation</v>
      </c>
      <c r="E18" s="183" t="str">
        <f>[2]Pilotage!C36</f>
        <v>&gt; saturation</v>
      </c>
      <c r="F18" s="193"/>
      <c r="G18" s="193"/>
      <c r="H18" s="186">
        <v>1</v>
      </c>
      <c r="I18" s="186">
        <f t="shared" si="2"/>
        <v>0</v>
      </c>
      <c r="J18" s="187" t="s">
        <v>259</v>
      </c>
      <c r="K18" s="187">
        <v>1.369307787527249</v>
      </c>
      <c r="L18" s="188">
        <f>N18</f>
        <v>0.73029600000000006</v>
      </c>
      <c r="M18" s="189">
        <f>H18*[2]InfraDensité!infra_d_f+I18*[2]InfraDensité!infra_d_r</f>
        <v>0.51120719999999997</v>
      </c>
      <c r="N18" s="194">
        <f t="shared" si="4"/>
        <v>0.73029600000000006</v>
      </c>
      <c r="O18" s="190">
        <f t="shared" si="5"/>
        <v>3.29</v>
      </c>
      <c r="P18" s="191">
        <f t="shared" si="1"/>
        <v>2.4026738400000003</v>
      </c>
      <c r="Q18" s="191"/>
      <c r="R18" s="191">
        <f>IF(OR(D18&gt;0.3,D18="&gt; saturation"),1,1-(0.3-D18)*(H18*[2]Retrait!retrait_v_f+I18*[2]Retrait!retrait_v_r))</f>
        <v>1</v>
      </c>
      <c r="S18" s="191">
        <f t="shared" si="6"/>
        <v>2.5</v>
      </c>
      <c r="T18" s="192">
        <f t="shared" si="7"/>
        <v>1.5</v>
      </c>
      <c r="U18" s="283"/>
      <c r="V18" s="283"/>
      <c r="W18" s="283"/>
      <c r="X18" s="283"/>
      <c r="Y18" s="283"/>
      <c r="Z18" s="283"/>
      <c r="AA18" s="283"/>
      <c r="AB18" s="283"/>
      <c r="AC18" s="283"/>
      <c r="AD18" s="283"/>
      <c r="AE18" s="283"/>
      <c r="AF18" s="283"/>
      <c r="AG18" s="283"/>
      <c r="AH18" s="283"/>
      <c r="AI18" s="283"/>
    </row>
    <row r="19" spans="1:35" x14ac:dyDescent="0.3">
      <c r="A19" s="179" t="s">
        <v>222</v>
      </c>
      <c r="B19" s="180" t="s">
        <v>22</v>
      </c>
      <c r="C19" s="181"/>
      <c r="D19" s="284" t="str">
        <f t="shared" si="0"/>
        <v>&gt; saturation</v>
      </c>
      <c r="E19" s="183" t="str">
        <f>[2]Pilotage!C36</f>
        <v>&gt; saturation</v>
      </c>
      <c r="F19" s="193"/>
      <c r="G19" s="193"/>
      <c r="H19" s="186">
        <v>1</v>
      </c>
      <c r="I19" s="186">
        <f t="shared" si="2"/>
        <v>0</v>
      </c>
      <c r="J19" s="187" t="s">
        <v>260</v>
      </c>
      <c r="K19" s="187">
        <v>1</v>
      </c>
      <c r="L19" s="188">
        <f t="shared" si="3"/>
        <v>1</v>
      </c>
      <c r="M19" s="189">
        <f>H19*[2]InfraDensité!infra_d_f+I19*[2]InfraDensité!infra_d_r</f>
        <v>0.51120719999999997</v>
      </c>
      <c r="N19" s="194">
        <f t="shared" si="4"/>
        <v>0.73029600000000006</v>
      </c>
      <c r="O19" s="190">
        <f t="shared" si="5"/>
        <v>3.29</v>
      </c>
      <c r="P19" s="191">
        <f t="shared" si="1"/>
        <v>2.4026738400000003</v>
      </c>
      <c r="Q19" s="191"/>
      <c r="R19" s="191">
        <f>IF(OR(D19&gt;0.3,D19="&gt; saturation"),1,1-(0.3-D19)*(H19*[2]Retrait!retrait_v_f+I19*[2]Retrait!retrait_v_r))</f>
        <v>1</v>
      </c>
      <c r="S19" s="191">
        <f t="shared" si="6"/>
        <v>2.5</v>
      </c>
      <c r="T19" s="192">
        <f t="shared" si="7"/>
        <v>1.5</v>
      </c>
      <c r="U19" s="283"/>
      <c r="V19" s="283"/>
      <c r="W19" s="283"/>
      <c r="X19" s="283"/>
      <c r="Y19" s="283"/>
      <c r="Z19" s="283"/>
      <c r="AA19" s="283"/>
      <c r="AB19" s="283"/>
      <c r="AC19" s="283"/>
      <c r="AD19" s="283"/>
      <c r="AE19" s="283"/>
      <c r="AF19" s="283"/>
      <c r="AG19" s="283"/>
      <c r="AH19" s="283"/>
      <c r="AI19" s="283"/>
    </row>
    <row r="20" spans="1:35" x14ac:dyDescent="0.3">
      <c r="A20" s="179" t="s">
        <v>222</v>
      </c>
      <c r="B20" s="180" t="s">
        <v>23</v>
      </c>
      <c r="C20" s="181"/>
      <c r="D20" s="284" t="str">
        <f t="shared" si="0"/>
        <v>&gt; saturation</v>
      </c>
      <c r="E20" s="183" t="str">
        <f>[2]Pilotage!C37</f>
        <v>&gt; saturation</v>
      </c>
      <c r="F20" s="193"/>
      <c r="G20" s="193"/>
      <c r="H20" s="186">
        <v>0</v>
      </c>
      <c r="I20" s="186">
        <f t="shared" si="2"/>
        <v>1</v>
      </c>
      <c r="J20" s="187" t="s">
        <v>260</v>
      </c>
      <c r="K20" s="187">
        <v>1</v>
      </c>
      <c r="L20" s="188">
        <f t="shared" si="3"/>
        <v>1</v>
      </c>
      <c r="M20" s="189">
        <f>H20*[2]InfraDensité!infra_d_f+I20*[2]InfraDensité!infra_d_r</f>
        <v>0.37466999999999995</v>
      </c>
      <c r="N20" s="195">
        <f t="shared" si="4"/>
        <v>0.53524285714285713</v>
      </c>
      <c r="O20" s="190">
        <f t="shared" si="5"/>
        <v>3.29</v>
      </c>
      <c r="P20" s="191">
        <f t="shared" si="1"/>
        <v>1.7609489999999999</v>
      </c>
      <c r="Q20" s="191"/>
      <c r="R20" s="191">
        <f>IF(OR(D20&gt;0.3,D20="&gt; saturation"),1,1-(0.3-D20)*(H20*[2]Retrait!retrait_v_f+I20*[2]Retrait!retrait_v_r))</f>
        <v>1</v>
      </c>
      <c r="S20" s="191">
        <f t="shared" si="6"/>
        <v>2.5</v>
      </c>
      <c r="T20" s="192">
        <f t="shared" si="7"/>
        <v>1.5</v>
      </c>
      <c r="U20" s="283"/>
      <c r="V20" s="283"/>
      <c r="W20" s="283"/>
      <c r="X20" s="283"/>
      <c r="Y20" s="283"/>
      <c r="Z20" s="283"/>
      <c r="AA20" s="283"/>
      <c r="AB20" s="283"/>
      <c r="AC20" s="283"/>
      <c r="AD20" s="283"/>
      <c r="AE20" s="283"/>
      <c r="AF20" s="283"/>
      <c r="AG20" s="283"/>
      <c r="AH20" s="283"/>
      <c r="AI20" s="283"/>
    </row>
    <row r="21" spans="1:35" x14ac:dyDescent="0.3">
      <c r="A21" s="179" t="s">
        <v>222</v>
      </c>
      <c r="B21" s="180" t="s">
        <v>23</v>
      </c>
      <c r="C21" s="181"/>
      <c r="D21" s="284" t="str">
        <f t="shared" si="0"/>
        <v>&gt; saturation</v>
      </c>
      <c r="E21" s="183" t="str">
        <f>[2]Pilotage!C37</f>
        <v>&gt; saturation</v>
      </c>
      <c r="F21" s="193"/>
      <c r="G21" s="193"/>
      <c r="H21" s="186">
        <v>0</v>
      </c>
      <c r="I21" s="186">
        <f t="shared" si="2"/>
        <v>1</v>
      </c>
      <c r="J21" s="187" t="s">
        <v>258</v>
      </c>
      <c r="K21" s="187">
        <v>1</v>
      </c>
      <c r="L21" s="188">
        <f t="shared" si="3"/>
        <v>1</v>
      </c>
      <c r="M21" s="189">
        <f>H21*[2]InfraDensité!infra_d_f+I21*[2]InfraDensité!infra_d_r</f>
        <v>0.37466999999999995</v>
      </c>
      <c r="N21" s="195">
        <f t="shared" si="4"/>
        <v>0.53524285714285713</v>
      </c>
      <c r="O21" s="190">
        <f t="shared" si="5"/>
        <v>3.29</v>
      </c>
      <c r="P21" s="191">
        <f t="shared" si="1"/>
        <v>1.7609489999999999</v>
      </c>
      <c r="Q21" s="191"/>
      <c r="R21" s="191">
        <f>IF(OR(D21&gt;0.3,D21="&gt; saturation"),1,1-(0.3-D21)*(H21*[2]Retrait!retrait_v_f+I21*[2]Retrait!retrait_v_r))</f>
        <v>1</v>
      </c>
      <c r="S21" s="191">
        <f t="shared" si="6"/>
        <v>2.5</v>
      </c>
      <c r="T21" s="192">
        <f t="shared" si="7"/>
        <v>1.5</v>
      </c>
      <c r="U21" s="283"/>
      <c r="V21" s="283"/>
      <c r="W21" s="283"/>
      <c r="X21" s="283"/>
      <c r="Y21" s="283"/>
      <c r="Z21" s="283"/>
      <c r="AA21" s="283"/>
      <c r="AB21" s="283"/>
      <c r="AC21" s="283"/>
      <c r="AD21" s="283"/>
      <c r="AE21" s="283"/>
      <c r="AF21" s="283"/>
      <c r="AG21" s="283"/>
      <c r="AH21" s="283"/>
      <c r="AI21" s="283"/>
    </row>
    <row r="22" spans="1:35" x14ac:dyDescent="0.3">
      <c r="A22" s="179" t="s">
        <v>222</v>
      </c>
      <c r="B22" s="180" t="s">
        <v>23</v>
      </c>
      <c r="C22" s="181"/>
      <c r="D22" s="284" t="str">
        <f t="shared" si="0"/>
        <v>&gt; saturation</v>
      </c>
      <c r="E22" s="183" t="str">
        <f>[2]Pilotage!C37</f>
        <v>&gt; saturation</v>
      </c>
      <c r="F22" s="193"/>
      <c r="G22" s="193"/>
      <c r="H22" s="186">
        <v>0</v>
      </c>
      <c r="I22" s="186">
        <f t="shared" si="2"/>
        <v>1</v>
      </c>
      <c r="J22" s="187" t="s">
        <v>259</v>
      </c>
      <c r="K22" s="187">
        <v>1.8683107801532015</v>
      </c>
      <c r="L22" s="188">
        <f>N22</f>
        <v>0.53524285714285713</v>
      </c>
      <c r="M22" s="189">
        <f>H22*[2]InfraDensité!infra_d_f+I22*[2]InfraDensité!infra_d_r</f>
        <v>0.37466999999999995</v>
      </c>
      <c r="N22" s="195">
        <f t="shared" si="4"/>
        <v>0.53524285714285713</v>
      </c>
      <c r="O22" s="190">
        <f t="shared" si="5"/>
        <v>3.29</v>
      </c>
      <c r="P22" s="191">
        <f t="shared" si="1"/>
        <v>1.7609489999999999</v>
      </c>
      <c r="Q22" s="191"/>
      <c r="R22" s="191">
        <f>IF(OR(D22&gt;0.3,D22="&gt; saturation"),1,1-(0.3-D22)*(H22*[2]Retrait!retrait_v_f+I22*[2]Retrait!retrait_v_r))</f>
        <v>1</v>
      </c>
      <c r="S22" s="191">
        <f t="shared" si="6"/>
        <v>2.5</v>
      </c>
      <c r="T22" s="192">
        <f t="shared" si="7"/>
        <v>1.5</v>
      </c>
      <c r="U22" s="283"/>
      <c r="V22" s="283"/>
      <c r="W22" s="283"/>
      <c r="X22" s="283"/>
      <c r="Y22" s="283"/>
      <c r="Z22" s="283"/>
      <c r="AA22" s="283"/>
      <c r="AB22" s="283"/>
      <c r="AC22" s="283"/>
      <c r="AD22" s="283"/>
      <c r="AE22" s="283"/>
      <c r="AF22" s="283"/>
      <c r="AG22" s="283"/>
      <c r="AH22" s="283"/>
      <c r="AI22" s="283"/>
    </row>
    <row r="23" spans="1:35" s="285" customFormat="1" x14ac:dyDescent="0.3">
      <c r="A23" s="179" t="s">
        <v>222</v>
      </c>
      <c r="B23" s="180" t="s">
        <v>159</v>
      </c>
      <c r="C23" s="181"/>
      <c r="D23" s="284">
        <f t="shared" si="0"/>
        <v>0.29870129870129869</v>
      </c>
      <c r="E23" s="183">
        <f>[2]Pilotage!C38</f>
        <v>0.23</v>
      </c>
      <c r="F23" s="193"/>
      <c r="G23" s="193"/>
      <c r="H23" s="185">
        <v>0.2</v>
      </c>
      <c r="I23" s="186">
        <f t="shared" si="2"/>
        <v>0.8</v>
      </c>
      <c r="J23" s="187" t="s">
        <v>258</v>
      </c>
      <c r="K23" s="187">
        <v>1.0005612238864892</v>
      </c>
      <c r="L23" s="188">
        <f>R23</f>
        <v>0.99943909090909089</v>
      </c>
      <c r="M23" s="189">
        <f>H23*[2]InfraDensité!infra_d_f+I23*[2]InfraDensité!infra_d_r</f>
        <v>0.40197743999999996</v>
      </c>
      <c r="N23" s="196">
        <f t="shared" si="4"/>
        <v>0.52204862337662328</v>
      </c>
      <c r="O23" s="194">
        <f t="shared" si="5"/>
        <v>3.6890000000000001</v>
      </c>
      <c r="P23" s="191">
        <f t="shared" si="1"/>
        <v>1.9258373716363633</v>
      </c>
      <c r="Q23" s="191"/>
      <c r="R23" s="191">
        <f>IF(OR(D23&gt;0.3,D23="&gt; saturation"),1,1-(0.3-D23)*(H23*[2]Retrait!retrait_v_f+I23*[2]Retrait!retrait_v_r))</f>
        <v>0.99943909090909089</v>
      </c>
      <c r="S23" s="191">
        <f t="shared" si="6"/>
        <v>2.4985977272727271</v>
      </c>
      <c r="T23" s="192">
        <f t="shared" si="7"/>
        <v>1.4991586363636364</v>
      </c>
      <c r="U23" s="283"/>
      <c r="V23" s="283"/>
      <c r="W23" s="283"/>
      <c r="X23" s="283"/>
      <c r="Y23" s="283"/>
      <c r="Z23" s="283"/>
      <c r="AA23" s="283"/>
      <c r="AB23" s="283"/>
      <c r="AC23" s="283"/>
      <c r="AD23" s="283"/>
      <c r="AE23" s="283"/>
      <c r="AF23" s="283"/>
      <c r="AG23" s="283"/>
      <c r="AH23" s="283"/>
      <c r="AI23" s="283"/>
    </row>
    <row r="24" spans="1:35" s="285" customFormat="1" x14ac:dyDescent="0.3">
      <c r="A24" s="179" t="s">
        <v>222</v>
      </c>
      <c r="B24" s="180" t="s">
        <v>159</v>
      </c>
      <c r="C24" s="181"/>
      <c r="D24" s="284">
        <f t="shared" si="0"/>
        <v>0.29870129870129869</v>
      </c>
      <c r="E24" s="183">
        <f>[2]Pilotage!C38</f>
        <v>0.23</v>
      </c>
      <c r="F24" s="193"/>
      <c r="G24" s="193"/>
      <c r="H24" s="185">
        <v>0.2</v>
      </c>
      <c r="I24" s="186">
        <f t="shared" si="2"/>
        <v>0.8</v>
      </c>
      <c r="J24" s="187" t="s">
        <v>259</v>
      </c>
      <c r="K24" s="187">
        <v>1.9155303839936892</v>
      </c>
      <c r="L24" s="188">
        <f>N24</f>
        <v>0.52204862337662328</v>
      </c>
      <c r="M24" s="189">
        <f>H24*[2]InfraDensité!infra_d_f+I24*[2]InfraDensité!infra_d_r</f>
        <v>0.40197743999999996</v>
      </c>
      <c r="N24" s="196">
        <f t="shared" si="4"/>
        <v>0.52204862337662328</v>
      </c>
      <c r="O24" s="194">
        <f t="shared" si="5"/>
        <v>3.6890000000000001</v>
      </c>
      <c r="P24" s="191">
        <f t="shared" si="1"/>
        <v>1.9258373716363633</v>
      </c>
      <c r="Q24" s="191"/>
      <c r="R24" s="191">
        <f>IF(OR(D24&gt;0.3,D24="&gt; saturation"),1,1-(0.3-D24)*(H24*[2]Retrait!retrait_v_f+I24*[2]Retrait!retrait_v_r))</f>
        <v>0.99943909090909089</v>
      </c>
      <c r="S24" s="191">
        <f t="shared" si="6"/>
        <v>2.4985977272727271</v>
      </c>
      <c r="T24" s="192">
        <f t="shared" si="7"/>
        <v>1.4991586363636364</v>
      </c>
      <c r="U24" s="283"/>
      <c r="V24" s="283"/>
      <c r="W24" s="283"/>
      <c r="X24" s="283"/>
      <c r="Y24" s="283"/>
      <c r="Z24" s="283"/>
      <c r="AA24" s="283"/>
      <c r="AB24" s="283"/>
      <c r="AC24" s="283"/>
      <c r="AD24" s="283"/>
      <c r="AE24" s="283"/>
      <c r="AF24" s="283"/>
      <c r="AG24" s="283"/>
      <c r="AH24" s="283"/>
      <c r="AI24" s="283"/>
    </row>
    <row r="25" spans="1:35" s="285" customFormat="1" x14ac:dyDescent="0.3">
      <c r="A25" s="179" t="s">
        <v>222</v>
      </c>
      <c r="B25" s="180" t="s">
        <v>159</v>
      </c>
      <c r="C25" s="181"/>
      <c r="D25" s="284">
        <f>IF(E25="&gt; saturation",E25,E25/(1-E25))</f>
        <v>0.29870129870129869</v>
      </c>
      <c r="E25" s="183">
        <f>[2]Pilotage!C38</f>
        <v>0.23</v>
      </c>
      <c r="F25" s="193"/>
      <c r="G25" s="193"/>
      <c r="H25" s="185">
        <v>0.2</v>
      </c>
      <c r="I25" s="186">
        <f>1-H25</f>
        <v>0.8</v>
      </c>
      <c r="J25" s="187" t="s">
        <v>262</v>
      </c>
      <c r="K25" s="187">
        <v>0.66666666666666663</v>
      </c>
      <c r="L25" s="188">
        <f>T25</f>
        <v>1.4991586363636364</v>
      </c>
      <c r="M25" s="189">
        <f>H25*[2]InfraDensité!infra_d_f+I25*[2]InfraDensité!infra_d_r</f>
        <v>0.40197743999999996</v>
      </c>
      <c r="N25" s="196">
        <f>IF(D25="&gt; saturation",M25/(1-0.3)/(1-F25),M25/(1-E25)/(1-F25))</f>
        <v>0.52204862337662328</v>
      </c>
      <c r="O25" s="194">
        <f>IF(D25="&gt; saturation",5*(1-0.3)-0.7*0.3, 5*(1-E25)-0.7*E25)</f>
        <v>3.6890000000000001</v>
      </c>
      <c r="P25" s="191">
        <f>O25*N25</f>
        <v>1.9258373716363633</v>
      </c>
      <c r="Q25" s="191"/>
      <c r="R25" s="191">
        <f>IF(OR(D25&gt;0.3,D25="&gt; saturation"),1,1-(0.3-D25)*(H25*[2]Retrait!retrait_v_f+I25*[2]Retrait!retrait_v_r))</f>
        <v>0.99943909090909089</v>
      </c>
      <c r="S25" s="191">
        <f t="shared" si="6"/>
        <v>2.4985977272727271</v>
      </c>
      <c r="T25" s="192">
        <f t="shared" si="7"/>
        <v>1.4991586363636364</v>
      </c>
      <c r="U25" s="283"/>
      <c r="V25" s="283"/>
      <c r="W25" s="283"/>
      <c r="X25" s="283"/>
      <c r="Y25" s="283"/>
      <c r="Z25" s="283"/>
      <c r="AA25" s="283"/>
      <c r="AB25" s="283"/>
      <c r="AC25" s="283"/>
      <c r="AD25" s="283"/>
      <c r="AE25" s="283"/>
      <c r="AF25" s="283"/>
      <c r="AG25" s="283"/>
      <c r="AH25" s="283"/>
      <c r="AI25" s="283"/>
    </row>
    <row r="26" spans="1:35" x14ac:dyDescent="0.3">
      <c r="A26" s="179" t="s">
        <v>222</v>
      </c>
      <c r="B26" s="180" t="s">
        <v>158</v>
      </c>
      <c r="C26" s="181"/>
      <c r="D26" s="284">
        <f t="shared" si="0"/>
        <v>0.29870129870129869</v>
      </c>
      <c r="E26" s="183">
        <f>[2]Pilotage!C39</f>
        <v>0.23</v>
      </c>
      <c r="F26" s="184"/>
      <c r="G26" s="193"/>
      <c r="H26" s="185">
        <v>0.2</v>
      </c>
      <c r="I26" s="186">
        <f t="shared" si="2"/>
        <v>0.8</v>
      </c>
      <c r="J26" s="187" t="s">
        <v>259</v>
      </c>
      <c r="K26" s="187">
        <v>1.9155303839936892</v>
      </c>
      <c r="L26" s="188">
        <f>N26</f>
        <v>0.52204862337662328</v>
      </c>
      <c r="M26" s="189">
        <f>H26*[2]InfraDensité!infra_d_f+I26*[2]InfraDensité!infra_d_r</f>
        <v>0.40197743999999996</v>
      </c>
      <c r="N26" s="196">
        <f t="shared" si="4"/>
        <v>0.52204862337662328</v>
      </c>
      <c r="O26" s="194">
        <f t="shared" si="5"/>
        <v>3.6890000000000001</v>
      </c>
      <c r="P26" s="191">
        <f t="shared" si="1"/>
        <v>1.9258373716363633</v>
      </c>
      <c r="Q26" s="191"/>
      <c r="R26" s="191">
        <f>IF(OR(D26&gt;0.3,D26="&gt; saturation"),1,1-(0.3-D26)*(H26*[2]Retrait!retrait_v_f+I26*[2]Retrait!retrait_v_r))</f>
        <v>0.99943909090909089</v>
      </c>
      <c r="S26" s="191">
        <f t="shared" si="6"/>
        <v>2.4985977272727271</v>
      </c>
      <c r="T26" s="192">
        <f t="shared" si="7"/>
        <v>1.4991586363636364</v>
      </c>
      <c r="U26" s="283"/>
      <c r="V26" s="283"/>
      <c r="W26" s="283"/>
      <c r="X26" s="283"/>
      <c r="Y26" s="283"/>
      <c r="Z26" s="283"/>
      <c r="AA26" s="283"/>
      <c r="AB26" s="283"/>
      <c r="AC26" s="283"/>
      <c r="AD26" s="283"/>
      <c r="AE26" s="283"/>
      <c r="AF26" s="283"/>
      <c r="AG26" s="283"/>
      <c r="AH26" s="283"/>
      <c r="AI26" s="283"/>
    </row>
    <row r="27" spans="1:35" x14ac:dyDescent="0.3">
      <c r="A27" s="179" t="s">
        <v>222</v>
      </c>
      <c r="B27" s="180" t="s">
        <v>158</v>
      </c>
      <c r="C27" s="181"/>
      <c r="D27" s="284">
        <f t="shared" si="0"/>
        <v>0.29870129870129869</v>
      </c>
      <c r="E27" s="183">
        <f>[2]Pilotage!C39</f>
        <v>0.23</v>
      </c>
      <c r="F27" s="184"/>
      <c r="G27" s="185"/>
      <c r="H27" s="185">
        <v>0.2</v>
      </c>
      <c r="I27" s="186">
        <f t="shared" si="2"/>
        <v>0.8</v>
      </c>
      <c r="J27" s="187" t="s">
        <v>258</v>
      </c>
      <c r="K27" s="187">
        <v>1.0005612238864892</v>
      </c>
      <c r="L27" s="188">
        <f>R27</f>
        <v>0.99943909090909089</v>
      </c>
      <c r="M27" s="189">
        <f>H27*[2]InfraDensité!infra_d_f+I27*[2]InfraDensité!infra_d_r</f>
        <v>0.40197743999999996</v>
      </c>
      <c r="N27" s="196">
        <f t="shared" si="4"/>
        <v>0.52204862337662328</v>
      </c>
      <c r="O27" s="194">
        <f t="shared" si="5"/>
        <v>3.6890000000000001</v>
      </c>
      <c r="P27" s="191">
        <f t="shared" si="1"/>
        <v>1.9258373716363633</v>
      </c>
      <c r="Q27" s="191"/>
      <c r="R27" s="191">
        <f>IF(OR(D27&gt;0.3,D27="&gt; saturation"),1,1-(0.3-D27)*(H27*[2]Retrait!retrait_v_f+I27*[2]Retrait!retrait_v_r))</f>
        <v>0.99943909090909089</v>
      </c>
      <c r="S27" s="191">
        <f t="shared" si="6"/>
        <v>2.4985977272727271</v>
      </c>
      <c r="T27" s="192">
        <f t="shared" si="7"/>
        <v>1.4991586363636364</v>
      </c>
      <c r="U27" s="283"/>
      <c r="V27" s="283"/>
      <c r="W27" s="283"/>
      <c r="X27" s="283"/>
      <c r="Y27" s="283"/>
      <c r="Z27" s="283"/>
      <c r="AA27" s="283"/>
      <c r="AB27" s="283"/>
      <c r="AC27" s="283"/>
      <c r="AD27" s="283"/>
      <c r="AE27" s="283"/>
      <c r="AF27" s="283"/>
      <c r="AG27" s="283"/>
      <c r="AH27" s="283"/>
      <c r="AI27" s="283"/>
    </row>
    <row r="28" spans="1:35" x14ac:dyDescent="0.3">
      <c r="A28" s="179" t="s">
        <v>222</v>
      </c>
      <c r="B28" s="180" t="s">
        <v>158</v>
      </c>
      <c r="C28" s="181"/>
      <c r="D28" s="284">
        <f t="shared" si="0"/>
        <v>0.29870129870129869</v>
      </c>
      <c r="E28" s="183">
        <f>[2]Pilotage!C41</f>
        <v>0.23</v>
      </c>
      <c r="F28" s="184"/>
      <c r="G28" s="185"/>
      <c r="H28" s="185">
        <v>0.2</v>
      </c>
      <c r="I28" s="186">
        <f t="shared" si="2"/>
        <v>0.8</v>
      </c>
      <c r="J28" s="187" t="s">
        <v>260</v>
      </c>
      <c r="K28" s="187">
        <v>1.0005612238864892</v>
      </c>
      <c r="L28" s="188">
        <f>R28</f>
        <v>0.99943909090909089</v>
      </c>
      <c r="M28" s="189">
        <f>H28*[2]InfraDensité!infra_d_f+I28*[2]InfraDensité!infra_d_r</f>
        <v>0.40197743999999996</v>
      </c>
      <c r="N28" s="196">
        <f t="shared" si="4"/>
        <v>0.52204862337662328</v>
      </c>
      <c r="O28" s="194">
        <f t="shared" si="5"/>
        <v>3.6890000000000001</v>
      </c>
      <c r="P28" s="191">
        <f t="shared" si="1"/>
        <v>1.9258373716363633</v>
      </c>
      <c r="Q28" s="191"/>
      <c r="R28" s="191">
        <f>IF(OR(D28&gt;0.3,D28="&gt; saturation"),1,1-(0.3-D28)*(H28*[2]Retrait!retrait_v_f+I28*[2]Retrait!retrait_v_r))</f>
        <v>0.99943909090909089</v>
      </c>
      <c r="S28" s="191">
        <f t="shared" si="6"/>
        <v>2.4985977272727271</v>
      </c>
      <c r="T28" s="192">
        <f t="shared" si="7"/>
        <v>1.4991586363636364</v>
      </c>
      <c r="U28" s="283"/>
      <c r="V28" s="283"/>
      <c r="W28" s="283"/>
      <c r="X28" s="283"/>
      <c r="Y28" s="283"/>
      <c r="Z28" s="283"/>
      <c r="AA28" s="283"/>
      <c r="AB28" s="283"/>
      <c r="AC28" s="283"/>
      <c r="AD28" s="283"/>
      <c r="AE28" s="283"/>
      <c r="AF28" s="283"/>
      <c r="AG28" s="283"/>
      <c r="AH28" s="283"/>
      <c r="AI28" s="283"/>
    </row>
    <row r="29" spans="1:35" x14ac:dyDescent="0.3">
      <c r="A29" s="179" t="s">
        <v>222</v>
      </c>
      <c r="B29" s="180" t="s">
        <v>158</v>
      </c>
      <c r="C29" s="181"/>
      <c r="D29" s="284">
        <f t="shared" si="0"/>
        <v>0.29870129870129869</v>
      </c>
      <c r="E29" s="183">
        <f>[2]Pilotage!C39</f>
        <v>0.23</v>
      </c>
      <c r="F29" s="184"/>
      <c r="G29" s="193"/>
      <c r="H29" s="185">
        <v>0.2</v>
      </c>
      <c r="I29" s="186">
        <f t="shared" si="2"/>
        <v>0.8</v>
      </c>
      <c r="J29" s="187" t="s">
        <v>262</v>
      </c>
      <c r="K29" s="187">
        <v>0.66666666666666663</v>
      </c>
      <c r="L29" s="188">
        <f>T29</f>
        <v>1.4991586363636364</v>
      </c>
      <c r="M29" s="189">
        <f>H29*[2]InfraDensité!infra_d_f+I29*[2]InfraDensité!infra_d_r</f>
        <v>0.40197743999999996</v>
      </c>
      <c r="N29" s="196">
        <f>IF(D29="&gt; saturation",M29/(1-0.3)/(1-F29),M29/(1-E29)/(1-F29))</f>
        <v>0.52204862337662328</v>
      </c>
      <c r="O29" s="194">
        <f t="shared" si="5"/>
        <v>3.6890000000000001</v>
      </c>
      <c r="P29" s="191">
        <f t="shared" si="1"/>
        <v>1.9258373716363633</v>
      </c>
      <c r="Q29" s="191"/>
      <c r="R29" s="191">
        <f>IF(OR(D29&gt;0.3,D29="&gt; saturation"),1,1-(0.3-D29)*(H29*[2]Retrait!retrait_v_f+I29*[2]Retrait!retrait_v_r))</f>
        <v>0.99943909090909089</v>
      </c>
      <c r="S29" s="191">
        <f t="shared" si="6"/>
        <v>2.4985977272727271</v>
      </c>
      <c r="T29" s="192">
        <f t="shared" si="7"/>
        <v>1.4991586363636364</v>
      </c>
      <c r="U29" s="283"/>
      <c r="V29" s="283"/>
      <c r="W29" s="283"/>
      <c r="X29" s="283"/>
      <c r="Y29" s="283"/>
      <c r="Z29" s="283"/>
      <c r="AA29" s="283"/>
      <c r="AB29" s="283"/>
      <c r="AC29" s="283"/>
      <c r="AD29" s="283"/>
      <c r="AE29" s="283"/>
      <c r="AF29" s="283"/>
      <c r="AG29" s="283"/>
      <c r="AH29" s="283"/>
      <c r="AI29" s="283"/>
    </row>
    <row r="30" spans="1:35" x14ac:dyDescent="0.3">
      <c r="A30" s="179" t="s">
        <v>222</v>
      </c>
      <c r="B30" s="180" t="s">
        <v>61</v>
      </c>
      <c r="C30" s="197"/>
      <c r="D30" s="284">
        <f t="shared" si="0"/>
        <v>0.29870129870129869</v>
      </c>
      <c r="E30" s="183">
        <f>[2]Pilotage!C43</f>
        <v>0.23</v>
      </c>
      <c r="F30" s="184"/>
      <c r="G30" s="185"/>
      <c r="H30" s="185">
        <v>0.2</v>
      </c>
      <c r="I30" s="186">
        <f t="shared" si="2"/>
        <v>0.8</v>
      </c>
      <c r="J30" s="187" t="s">
        <v>258</v>
      </c>
      <c r="K30" s="187">
        <v>1.0005612238864892</v>
      </c>
      <c r="L30" s="188">
        <f>R30</f>
        <v>0.99943909090909089</v>
      </c>
      <c r="M30" s="189">
        <f>H30*[2]InfraDensité!infra_d_f+I30*[2]InfraDensité!infra_d_r</f>
        <v>0.40197743999999996</v>
      </c>
      <c r="N30" s="196">
        <f t="shared" si="4"/>
        <v>0.52204862337662328</v>
      </c>
      <c r="O30" s="194">
        <f t="shared" si="5"/>
        <v>3.6890000000000001</v>
      </c>
      <c r="P30" s="191">
        <f t="shared" si="1"/>
        <v>1.9258373716363633</v>
      </c>
      <c r="Q30" s="191"/>
      <c r="R30" s="191">
        <f>IF(OR(D30&gt;0.3,D30="&gt; saturation"),1,1-(0.3-D30)*(H30*[2]Retrait!retrait_v_f+I30*[2]Retrait!retrait_v_r))</f>
        <v>0.99943909090909089</v>
      </c>
      <c r="S30" s="191">
        <f t="shared" si="6"/>
        <v>2.4985977272727271</v>
      </c>
      <c r="T30" s="192">
        <f t="shared" si="7"/>
        <v>1.4991586363636364</v>
      </c>
      <c r="U30" s="283"/>
      <c r="V30" s="283"/>
      <c r="W30" s="283"/>
      <c r="X30" s="283"/>
      <c r="Y30" s="283"/>
      <c r="Z30" s="283"/>
      <c r="AA30" s="283"/>
      <c r="AB30" s="283"/>
      <c r="AC30" s="283"/>
      <c r="AD30" s="283"/>
      <c r="AE30" s="283"/>
      <c r="AF30" s="283"/>
      <c r="AG30" s="283"/>
      <c r="AH30" s="283"/>
      <c r="AI30" s="283"/>
    </row>
    <row r="31" spans="1:35" x14ac:dyDescent="0.3">
      <c r="A31" s="179" t="s">
        <v>222</v>
      </c>
      <c r="B31" s="180" t="s">
        <v>61</v>
      </c>
      <c r="C31" s="197"/>
      <c r="D31" s="284">
        <f>IF(E31="&gt; saturation",E31,E31/(1-E31))</f>
        <v>0.29870129870129869</v>
      </c>
      <c r="E31" s="183">
        <f>[2]Pilotage!C42</f>
        <v>0.23</v>
      </c>
      <c r="F31" s="184"/>
      <c r="G31" s="185"/>
      <c r="H31" s="185">
        <v>0.2</v>
      </c>
      <c r="I31" s="186">
        <f>1-H31</f>
        <v>0.8</v>
      </c>
      <c r="J31" s="187" t="s">
        <v>262</v>
      </c>
      <c r="K31" s="187">
        <v>0.66666666666666663</v>
      </c>
      <c r="L31" s="188">
        <f>T31</f>
        <v>1.4991586363636364</v>
      </c>
      <c r="M31" s="189">
        <f>H31*[2]InfraDensité!infra_d_f+I31*[2]InfraDensité!infra_d_r</f>
        <v>0.40197743999999996</v>
      </c>
      <c r="N31" s="196">
        <f>IF(D31="&gt; saturation",M31/(1-0.3)/(1-F31),M31/(1-E31)/(1-F31))</f>
        <v>0.52204862337662328</v>
      </c>
      <c r="O31" s="194">
        <f>IF(D31="&gt; saturation",5*(1-0.3)-0.7*0.3, 5*(1-E31)-0.7*E31)</f>
        <v>3.6890000000000001</v>
      </c>
      <c r="P31" s="191">
        <f>O31*N31</f>
        <v>1.9258373716363633</v>
      </c>
      <c r="Q31" s="191"/>
      <c r="R31" s="191">
        <f>IF(OR(D31&gt;0.3,D31="&gt; saturation"),1,1-(0.3-D31)*(H31*[2]Retrait!retrait_v_f+I31*[2]Retrait!retrait_v_r))</f>
        <v>0.99943909090909089</v>
      </c>
      <c r="S31" s="191">
        <f t="shared" si="6"/>
        <v>2.4985977272727271</v>
      </c>
      <c r="T31" s="192">
        <f t="shared" si="7"/>
        <v>1.4991586363636364</v>
      </c>
      <c r="U31" s="283"/>
      <c r="V31" s="283"/>
      <c r="W31" s="283"/>
      <c r="X31" s="283"/>
      <c r="Y31" s="283"/>
      <c r="Z31" s="283"/>
      <c r="AA31" s="283"/>
      <c r="AB31" s="283"/>
      <c r="AC31" s="283"/>
      <c r="AD31" s="283"/>
      <c r="AE31" s="283"/>
      <c r="AF31" s="283"/>
      <c r="AG31" s="283"/>
      <c r="AH31" s="283"/>
      <c r="AI31" s="283"/>
    </row>
    <row r="32" spans="1:35" x14ac:dyDescent="0.3">
      <c r="A32" s="179" t="s">
        <v>222</v>
      </c>
      <c r="B32" s="180" t="s">
        <v>157</v>
      </c>
      <c r="C32" s="197" t="s">
        <v>263</v>
      </c>
      <c r="D32" s="284">
        <f t="shared" si="0"/>
        <v>0.53846153846153844</v>
      </c>
      <c r="E32" s="183">
        <f>[2]Pilotage!C45</f>
        <v>0.35</v>
      </c>
      <c r="F32" s="184"/>
      <c r="G32" s="185"/>
      <c r="H32" s="185">
        <v>0.2</v>
      </c>
      <c r="I32" s="186">
        <f t="shared" si="2"/>
        <v>0.8</v>
      </c>
      <c r="J32" s="187" t="s">
        <v>258</v>
      </c>
      <c r="K32" s="187">
        <v>1</v>
      </c>
      <c r="L32" s="188">
        <f>R32</f>
        <v>1</v>
      </c>
      <c r="M32" s="189">
        <f>H32*[2]InfraDensité!infra_d_f+I32*[2]InfraDensité!infra_d_r</f>
        <v>0.40197743999999996</v>
      </c>
      <c r="N32" s="198">
        <f t="shared" si="4"/>
        <v>0.61842683076923066</v>
      </c>
      <c r="O32" s="191">
        <f t="shared" si="5"/>
        <v>3.0049999999999999</v>
      </c>
      <c r="P32" s="191">
        <f t="shared" si="1"/>
        <v>1.8583726264615381</v>
      </c>
      <c r="Q32" s="191"/>
      <c r="R32" s="191">
        <f>IF(OR(D32&gt;0.3,D32="&gt; saturation"),1,1-(0.3-D32)*(H32*[2]Retrait!retrait_v_f+I32*[2]Retrait!retrait_v_r))</f>
        <v>1</v>
      </c>
      <c r="S32" s="191">
        <f t="shared" si="6"/>
        <v>2.5</v>
      </c>
      <c r="T32" s="192">
        <f t="shared" si="7"/>
        <v>1.5</v>
      </c>
      <c r="U32" s="283"/>
      <c r="V32" s="283"/>
      <c r="W32" s="283"/>
      <c r="X32" s="283"/>
      <c r="Y32" s="283"/>
      <c r="Z32" s="283"/>
      <c r="AA32" s="283"/>
      <c r="AB32" s="283"/>
      <c r="AC32" s="283"/>
      <c r="AD32" s="283"/>
      <c r="AE32" s="283"/>
      <c r="AF32" s="283"/>
      <c r="AG32" s="283"/>
      <c r="AH32" s="283"/>
      <c r="AI32" s="283"/>
    </row>
    <row r="33" spans="1:35" x14ac:dyDescent="0.3">
      <c r="A33" s="179" t="s">
        <v>222</v>
      </c>
      <c r="B33" s="180" t="s">
        <v>157</v>
      </c>
      <c r="C33" s="197" t="s">
        <v>263</v>
      </c>
      <c r="D33" s="284">
        <f>IF(E33="&gt; saturation",E33,E33/(1-E33))</f>
        <v>0.53846153846153844</v>
      </c>
      <c r="E33" s="183">
        <f>[2]Pilotage!C44</f>
        <v>0.35</v>
      </c>
      <c r="F33" s="184"/>
      <c r="G33" s="185"/>
      <c r="H33" s="185">
        <v>0.2</v>
      </c>
      <c r="I33" s="186">
        <f>1-H33</f>
        <v>0.8</v>
      </c>
      <c r="J33" s="187" t="s">
        <v>264</v>
      </c>
      <c r="K33" s="187">
        <f>1/L33</f>
        <v>0.4</v>
      </c>
      <c r="L33" s="188">
        <f>S33</f>
        <v>2.5</v>
      </c>
      <c r="M33" s="189">
        <f>H33*[2]InfraDensité!infra_d_f+I33*[2]InfraDensité!infra_d_r</f>
        <v>0.40197743999999996</v>
      </c>
      <c r="N33" s="198">
        <f>IF(D33="&gt; saturation",M33/(1-0.3)/(1-F33),M33/(1-E33)/(1-F33))</f>
        <v>0.61842683076923066</v>
      </c>
      <c r="O33" s="191">
        <f>IF(D33="&gt; saturation",5*(1-0.3)-0.7*0.3, 5*(1-E33)-0.7*E33)</f>
        <v>3.0049999999999999</v>
      </c>
      <c r="P33" s="191">
        <f>O33*N33</f>
        <v>1.8583726264615381</v>
      </c>
      <c r="Q33" s="191"/>
      <c r="R33" s="191">
        <f>IF(OR(D33&gt;0.3,D33="&gt; saturation"),1,1-(0.3-D33)*(H33*[2]Retrait!retrait_v_f+I33*[2]Retrait!retrait_v_r))</f>
        <v>1</v>
      </c>
      <c r="S33" s="191">
        <f t="shared" si="6"/>
        <v>2.5</v>
      </c>
      <c r="T33" s="192">
        <f t="shared" si="7"/>
        <v>1.5</v>
      </c>
      <c r="U33" s="283"/>
      <c r="V33" s="283"/>
      <c r="W33" s="283"/>
      <c r="X33" s="283"/>
      <c r="Y33" s="283"/>
      <c r="Z33" s="283"/>
      <c r="AA33" s="283"/>
      <c r="AB33" s="283"/>
      <c r="AC33" s="283"/>
      <c r="AD33" s="283"/>
      <c r="AE33" s="283"/>
      <c r="AF33" s="283"/>
      <c r="AG33" s="283"/>
      <c r="AH33" s="283"/>
      <c r="AI33" s="283"/>
    </row>
    <row r="34" spans="1:35" x14ac:dyDescent="0.3">
      <c r="A34" s="179" t="s">
        <v>222</v>
      </c>
      <c r="B34" s="180" t="s">
        <v>36</v>
      </c>
      <c r="C34" s="181"/>
      <c r="D34" s="284">
        <f t="shared" ref="D34" si="10">IF(E34="&gt; saturation",E34,E34/(1-E34))</f>
        <v>0.66666666666666674</v>
      </c>
      <c r="E34" s="183">
        <f>[2]Pilotage!C46</f>
        <v>0.4</v>
      </c>
      <c r="F34" s="184"/>
      <c r="G34" s="185"/>
      <c r="H34" s="185">
        <v>0.2</v>
      </c>
      <c r="I34" s="186">
        <f t="shared" ref="I34" si="11">1-H34</f>
        <v>0.8</v>
      </c>
      <c r="J34" s="187" t="s">
        <v>259</v>
      </c>
      <c r="K34" s="187">
        <v>1.4926210784366407</v>
      </c>
      <c r="L34" s="188">
        <f>N34</f>
        <v>0.66996239999999996</v>
      </c>
      <c r="M34" s="189">
        <f>H34*[2]InfraDensité!infra_d_f+I34*[2]InfraDensité!infra_d_r</f>
        <v>0.40197743999999996</v>
      </c>
      <c r="N34" s="199">
        <f t="shared" si="4"/>
        <v>0.66996239999999996</v>
      </c>
      <c r="O34" s="191">
        <f t="shared" ref="O34" si="12">IF(D34="&gt; saturation",5*(1-0.3)-0.7*0.3, 5*(1-E34)-0.7*E34)</f>
        <v>2.72</v>
      </c>
      <c r="P34" s="191">
        <f t="shared" ref="P34" si="13">O34*N34</f>
        <v>1.8222977280000001</v>
      </c>
      <c r="Q34" s="191"/>
      <c r="R34" s="191">
        <f>IF(OR(D34&gt;0.3,D34="&gt; saturation"),1,1-(0.3-D34)*(H34*[2]Retrait!retrait_v_f+I34*[2]Retrait!retrait_v_r))</f>
        <v>1</v>
      </c>
      <c r="S34" s="191">
        <f t="shared" si="6"/>
        <v>2.5</v>
      </c>
      <c r="T34" s="192">
        <f t="shared" si="7"/>
        <v>1.5</v>
      </c>
      <c r="U34" s="283"/>
      <c r="V34" s="283"/>
      <c r="W34" s="283"/>
      <c r="X34" s="283"/>
      <c r="Y34" s="283"/>
      <c r="Z34" s="283"/>
      <c r="AA34" s="283"/>
      <c r="AB34" s="283"/>
      <c r="AC34" s="283"/>
      <c r="AD34" s="283"/>
      <c r="AE34" s="283"/>
      <c r="AF34" s="283"/>
      <c r="AG34" s="283"/>
      <c r="AH34" s="283"/>
      <c r="AI34" s="283"/>
    </row>
    <row r="35" spans="1:35" x14ac:dyDescent="0.3">
      <c r="A35" s="179" t="s">
        <v>222</v>
      </c>
      <c r="B35" s="180" t="s">
        <v>36</v>
      </c>
      <c r="C35" s="181"/>
      <c r="D35" s="284">
        <f t="shared" si="0"/>
        <v>0.66666666666666674</v>
      </c>
      <c r="E35" s="183">
        <f>[2]Pilotage!C47</f>
        <v>0.4</v>
      </c>
      <c r="F35" s="184"/>
      <c r="G35" s="185"/>
      <c r="H35" s="185">
        <v>0.2</v>
      </c>
      <c r="I35" s="186">
        <f t="shared" si="2"/>
        <v>0.8</v>
      </c>
      <c r="J35" s="187" t="s">
        <v>260</v>
      </c>
      <c r="K35" s="187">
        <v>1</v>
      </c>
      <c r="L35" s="188">
        <f>R35</f>
        <v>1</v>
      </c>
      <c r="M35" s="189">
        <f>H35*[2]InfraDensité!infra_d_f+I35*[2]InfraDensité!infra_d_r</f>
        <v>0.40197743999999996</v>
      </c>
      <c r="N35" s="199">
        <f t="shared" si="4"/>
        <v>0.66996239999999996</v>
      </c>
      <c r="O35" s="191">
        <f t="shared" si="5"/>
        <v>2.72</v>
      </c>
      <c r="P35" s="191">
        <f t="shared" si="1"/>
        <v>1.8222977280000001</v>
      </c>
      <c r="Q35" s="191"/>
      <c r="R35" s="191">
        <f>IF(OR(D35&gt;0.3,D35="&gt; saturation"),1,1-(0.3-D35)*(H35*[2]Retrait!retrait_v_f+I35*[2]Retrait!retrait_v_r))</f>
        <v>1</v>
      </c>
      <c r="S35" s="191">
        <f t="shared" si="6"/>
        <v>2.5</v>
      </c>
      <c r="T35" s="192">
        <f t="shared" si="7"/>
        <v>1.5</v>
      </c>
      <c r="U35" s="283"/>
      <c r="V35" s="283"/>
      <c r="W35" s="283"/>
      <c r="X35" s="283"/>
      <c r="Y35" s="283"/>
      <c r="Z35" s="283"/>
      <c r="AA35" s="283"/>
      <c r="AB35" s="283"/>
      <c r="AC35" s="283"/>
      <c r="AD35" s="283"/>
      <c r="AE35" s="283"/>
      <c r="AF35" s="283"/>
      <c r="AG35" s="283"/>
      <c r="AH35" s="283"/>
      <c r="AI35" s="283"/>
    </row>
    <row r="36" spans="1:35" x14ac:dyDescent="0.3">
      <c r="A36" s="179" t="s">
        <v>222</v>
      </c>
      <c r="B36" s="180" t="s">
        <v>36</v>
      </c>
      <c r="C36" s="181"/>
      <c r="D36" s="284">
        <f>IF(E36="&gt; saturation",E36,E36/(1-E36))</f>
        <v>0.66666666666666674</v>
      </c>
      <c r="E36" s="183">
        <f>[2]Pilotage!C46</f>
        <v>0.4</v>
      </c>
      <c r="F36" s="184"/>
      <c r="G36" s="185"/>
      <c r="H36" s="185">
        <v>0.2</v>
      </c>
      <c r="I36" s="186">
        <f>1-H36</f>
        <v>0.8</v>
      </c>
      <c r="J36" s="187" t="s">
        <v>264</v>
      </c>
      <c r="K36" s="187">
        <f>1/L36</f>
        <v>0.4</v>
      </c>
      <c r="L36" s="188">
        <f>S36</f>
        <v>2.5</v>
      </c>
      <c r="M36" s="189">
        <f>H36*[2]InfraDensité!infra_d_f+I36*[2]InfraDensité!infra_d_r</f>
        <v>0.40197743999999996</v>
      </c>
      <c r="N36" s="199">
        <f>IF(D36="&gt; saturation",M36/(1-0.3)/(1-F36),M36/(1-E36)/(1-F36))</f>
        <v>0.66996239999999996</v>
      </c>
      <c r="O36" s="191">
        <f>IF(D36="&gt; saturation",5*(1-0.3)-0.7*0.3, 5*(1-E36)-0.7*E36)</f>
        <v>2.72</v>
      </c>
      <c r="P36" s="191">
        <f>O36*N36</f>
        <v>1.8222977280000001</v>
      </c>
      <c r="Q36" s="191"/>
      <c r="R36" s="191">
        <f>IF(OR(D36&gt;0.3,D36="&gt; saturation"),1,1-(0.3-D36)*(H36*[2]Retrait!retrait_v_f+I36*[2]Retrait!retrait_v_r))</f>
        <v>1</v>
      </c>
      <c r="S36" s="191">
        <f t="shared" si="6"/>
        <v>2.5</v>
      </c>
      <c r="T36" s="192">
        <f t="shared" si="7"/>
        <v>1.5</v>
      </c>
      <c r="U36" s="283"/>
      <c r="V36" s="283"/>
      <c r="W36" s="283"/>
      <c r="X36" s="283"/>
      <c r="Y36" s="283"/>
      <c r="Z36" s="283"/>
      <c r="AA36" s="283"/>
      <c r="AB36" s="283"/>
      <c r="AC36" s="283"/>
      <c r="AD36" s="283"/>
      <c r="AE36" s="283"/>
      <c r="AF36" s="283"/>
      <c r="AG36" s="283"/>
      <c r="AH36" s="283"/>
      <c r="AI36" s="283"/>
    </row>
    <row r="37" spans="1:35" x14ac:dyDescent="0.3">
      <c r="A37" s="179" t="s">
        <v>222</v>
      </c>
      <c r="B37" s="180" t="s">
        <v>42</v>
      </c>
      <c r="C37" s="181"/>
      <c r="D37" s="284">
        <f t="shared" si="0"/>
        <v>0.29870129870129869</v>
      </c>
      <c r="E37" s="183">
        <f>[2]Pilotage!C48</f>
        <v>0.23</v>
      </c>
      <c r="F37" s="184"/>
      <c r="G37" s="185"/>
      <c r="H37" s="186">
        <v>1</v>
      </c>
      <c r="I37" s="186">
        <f t="shared" si="2"/>
        <v>0</v>
      </c>
      <c r="J37" s="187" t="s">
        <v>258</v>
      </c>
      <c r="K37" s="187">
        <v>1.0006439208607618</v>
      </c>
      <c r="L37" s="188">
        <f t="shared" ref="L37:L46" si="14">R37</f>
        <v>0.99935649350649347</v>
      </c>
      <c r="M37" s="189">
        <f>H37*[2]InfraDensité!infra_d_f+I37*[2]InfraDensité!infra_d_r</f>
        <v>0.51120719999999997</v>
      </c>
      <c r="N37" s="200">
        <f t="shared" si="4"/>
        <v>0.66390545454545447</v>
      </c>
      <c r="O37" s="191">
        <f t="shared" si="5"/>
        <v>3.6890000000000001</v>
      </c>
      <c r="P37" s="191">
        <f t="shared" si="1"/>
        <v>2.4491472218181816</v>
      </c>
      <c r="Q37" s="191"/>
      <c r="R37" s="191">
        <f>IF(OR(D37&gt;0.3,D37="&gt; saturation"),1,1-(0.3-D37)*(H37*[2]Retrait!retrait_v_f+I37*[2]Retrait!retrait_v_r))</f>
        <v>0.99935649350649347</v>
      </c>
      <c r="S37" s="191">
        <f t="shared" si="6"/>
        <v>2.4983912337662337</v>
      </c>
      <c r="T37" s="192">
        <f t="shared" si="7"/>
        <v>1.4990347402597402</v>
      </c>
      <c r="U37" s="283"/>
      <c r="V37" s="283"/>
      <c r="W37" s="283"/>
      <c r="X37" s="283"/>
      <c r="Y37" s="283"/>
      <c r="Z37" s="283"/>
      <c r="AA37" s="283"/>
      <c r="AB37" s="283"/>
      <c r="AC37" s="283"/>
      <c r="AD37" s="283"/>
      <c r="AE37" s="283"/>
      <c r="AF37" s="283"/>
      <c r="AG37" s="283"/>
      <c r="AH37" s="283"/>
      <c r="AI37" s="283"/>
    </row>
    <row r="38" spans="1:35" x14ac:dyDescent="0.3">
      <c r="A38" s="179" t="s">
        <v>222</v>
      </c>
      <c r="B38" s="180" t="s">
        <v>43</v>
      </c>
      <c r="C38" s="181"/>
      <c r="D38" s="284">
        <f t="shared" si="0"/>
        <v>0.29870129870129869</v>
      </c>
      <c r="E38" s="183">
        <f>[2]Pilotage!C49</f>
        <v>0.23</v>
      </c>
      <c r="F38" s="184"/>
      <c r="G38" s="185"/>
      <c r="H38" s="186">
        <v>1</v>
      </c>
      <c r="I38" s="186">
        <f t="shared" si="2"/>
        <v>0</v>
      </c>
      <c r="J38" s="187" t="s">
        <v>258</v>
      </c>
      <c r="K38" s="187">
        <v>1.0006439208607618</v>
      </c>
      <c r="L38" s="188">
        <f t="shared" si="14"/>
        <v>0.99935649350649347</v>
      </c>
      <c r="M38" s="189">
        <f>H38*[2]InfraDensité!infra_d_f+I38*[2]InfraDensité!infra_d_r</f>
        <v>0.51120719999999997</v>
      </c>
      <c r="N38" s="200">
        <f t="shared" si="4"/>
        <v>0.66390545454545447</v>
      </c>
      <c r="O38" s="191">
        <f t="shared" si="5"/>
        <v>3.6890000000000001</v>
      </c>
      <c r="P38" s="191">
        <f t="shared" si="1"/>
        <v>2.4491472218181816</v>
      </c>
      <c r="Q38" s="191"/>
      <c r="R38" s="191">
        <f>IF(OR(D38&gt;0.3,D38="&gt; saturation"),1,1-(0.3-D38)*(H38*[2]Retrait!retrait_v_f+I38*[2]Retrait!retrait_v_r))</f>
        <v>0.99935649350649347</v>
      </c>
      <c r="S38" s="191">
        <f t="shared" si="6"/>
        <v>2.4983912337662337</v>
      </c>
      <c r="T38" s="192">
        <f t="shared" si="7"/>
        <v>1.4990347402597402</v>
      </c>
      <c r="U38" s="283"/>
      <c r="V38" s="283"/>
      <c r="W38" s="283"/>
      <c r="X38" s="283"/>
      <c r="Y38" s="283"/>
      <c r="Z38" s="283"/>
      <c r="AA38" s="283"/>
      <c r="AB38" s="283"/>
      <c r="AC38" s="283"/>
      <c r="AD38" s="283"/>
      <c r="AE38" s="283"/>
      <c r="AF38" s="283"/>
      <c r="AG38" s="283"/>
      <c r="AH38" s="283"/>
      <c r="AI38" s="283"/>
    </row>
    <row r="39" spans="1:35" s="285" customFormat="1" x14ac:dyDescent="0.3">
      <c r="A39" s="179" t="s">
        <v>222</v>
      </c>
      <c r="B39" s="180" t="s">
        <v>39</v>
      </c>
      <c r="C39" s="201"/>
      <c r="D39" s="284">
        <f t="shared" si="0"/>
        <v>0.29870129870129869</v>
      </c>
      <c r="E39" s="183">
        <f>[2]Pilotage!C49</f>
        <v>0.23</v>
      </c>
      <c r="F39" s="183"/>
      <c r="G39" s="183"/>
      <c r="H39" s="185">
        <v>0.2</v>
      </c>
      <c r="I39" s="186">
        <f t="shared" si="2"/>
        <v>0.8</v>
      </c>
      <c r="J39" s="187" t="s">
        <v>258</v>
      </c>
      <c r="K39" s="187">
        <v>1.0005612238864892</v>
      </c>
      <c r="L39" s="188">
        <f t="shared" si="14"/>
        <v>0.99943909090909089</v>
      </c>
      <c r="M39" s="189">
        <f>H39*[2]InfraDensité!infra_d_f+I39*[2]InfraDensité!infra_d_r</f>
        <v>0.40197743999999996</v>
      </c>
      <c r="N39" s="195">
        <f t="shared" si="4"/>
        <v>0.52204862337662328</v>
      </c>
      <c r="O39" s="191">
        <f t="shared" si="5"/>
        <v>3.6890000000000001</v>
      </c>
      <c r="P39" s="191">
        <f t="shared" si="1"/>
        <v>1.9258373716363633</v>
      </c>
      <c r="Q39" s="191"/>
      <c r="R39" s="191">
        <f>IF(OR(D39&gt;0.3,D39="&gt; saturation"),1,1-(0.3-D39)*(H39*[2]Retrait!retrait_v_f+I39*[2]Retrait!retrait_v_r))</f>
        <v>0.99943909090909089</v>
      </c>
      <c r="S39" s="191">
        <f t="shared" si="6"/>
        <v>2.4985977272727271</v>
      </c>
      <c r="T39" s="192">
        <f t="shared" si="7"/>
        <v>1.4991586363636364</v>
      </c>
      <c r="U39" s="283"/>
      <c r="V39" s="283"/>
      <c r="W39" s="283"/>
      <c r="X39" s="283"/>
      <c r="Y39" s="283"/>
      <c r="Z39" s="283"/>
      <c r="AA39" s="283"/>
      <c r="AB39" s="283"/>
      <c r="AC39" s="283"/>
      <c r="AD39" s="283"/>
      <c r="AE39" s="283"/>
      <c r="AF39" s="283"/>
      <c r="AG39" s="283"/>
      <c r="AH39" s="283"/>
      <c r="AI39" s="283"/>
    </row>
    <row r="40" spans="1:35" s="285" customFormat="1" x14ac:dyDescent="0.3">
      <c r="A40" s="179" t="s">
        <v>222</v>
      </c>
      <c r="B40" s="180" t="s">
        <v>39</v>
      </c>
      <c r="C40" s="201"/>
      <c r="D40" s="284">
        <f t="shared" si="0"/>
        <v>0.29870129870129869</v>
      </c>
      <c r="E40" s="183">
        <f>[2]Pilotage!C49</f>
        <v>0.23</v>
      </c>
      <c r="F40" s="183"/>
      <c r="G40" s="183"/>
      <c r="H40" s="185">
        <v>0.2</v>
      </c>
      <c r="I40" s="186">
        <f t="shared" si="2"/>
        <v>0.8</v>
      </c>
      <c r="J40" s="187" t="s">
        <v>265</v>
      </c>
      <c r="K40" s="187">
        <v>1.0005612238864892</v>
      </c>
      <c r="L40" s="188">
        <f t="shared" si="14"/>
        <v>0.99943909090909089</v>
      </c>
      <c r="M40" s="189">
        <f>H40*[2]InfraDensité!infra_d_f+I40*[2]InfraDensité!infra_d_r</f>
        <v>0.40197743999999996</v>
      </c>
      <c r="N40" s="195">
        <f t="shared" si="4"/>
        <v>0.52204862337662328</v>
      </c>
      <c r="O40" s="191">
        <f t="shared" si="5"/>
        <v>3.6890000000000001</v>
      </c>
      <c r="P40" s="191">
        <f t="shared" si="1"/>
        <v>1.9258373716363633</v>
      </c>
      <c r="Q40" s="191"/>
      <c r="R40" s="191">
        <f>IF(OR(D40&gt;0.3,D40="&gt; saturation"),1,1-(0.3-D40)*(H40*[2]Retrait!retrait_v_f+I40*[2]Retrait!retrait_v_r))</f>
        <v>0.99943909090909089</v>
      </c>
      <c r="S40" s="191">
        <f t="shared" si="6"/>
        <v>2.4985977272727271</v>
      </c>
      <c r="T40" s="192">
        <f t="shared" si="7"/>
        <v>1.4991586363636364</v>
      </c>
      <c r="U40" s="283"/>
      <c r="V40" s="283"/>
      <c r="W40" s="283"/>
      <c r="X40" s="283"/>
      <c r="Y40" s="283"/>
      <c r="Z40" s="283"/>
      <c r="AA40" s="283"/>
      <c r="AB40" s="283"/>
      <c r="AC40" s="283"/>
      <c r="AD40" s="283"/>
      <c r="AE40" s="283"/>
      <c r="AF40" s="283"/>
      <c r="AG40" s="283"/>
      <c r="AH40" s="283"/>
      <c r="AI40" s="283"/>
    </row>
    <row r="41" spans="1:35" s="285" customFormat="1" x14ac:dyDescent="0.3">
      <c r="A41" s="179" t="s">
        <v>222</v>
      </c>
      <c r="B41" s="180" t="s">
        <v>39</v>
      </c>
      <c r="C41" s="201"/>
      <c r="D41" s="284">
        <f t="shared" si="0"/>
        <v>0.29870129870129869</v>
      </c>
      <c r="E41" s="183">
        <f>[2]Pilotage!C50</f>
        <v>0.23</v>
      </c>
      <c r="F41" s="183"/>
      <c r="G41" s="183"/>
      <c r="H41" s="185">
        <v>0.2</v>
      </c>
      <c r="I41" s="186">
        <f t="shared" si="2"/>
        <v>0.8</v>
      </c>
      <c r="J41" s="187" t="s">
        <v>258</v>
      </c>
      <c r="K41" s="187">
        <v>1.0005612238864892</v>
      </c>
      <c r="L41" s="188">
        <f t="shared" si="14"/>
        <v>0.99943909090909089</v>
      </c>
      <c r="M41" s="189">
        <f>H41*[2]InfraDensité!infra_d_f+I41*[2]InfraDensité!infra_d_r</f>
        <v>0.40197743999999996</v>
      </c>
      <c r="N41" s="195">
        <f t="shared" si="4"/>
        <v>0.52204862337662328</v>
      </c>
      <c r="O41" s="191">
        <f t="shared" si="5"/>
        <v>3.6890000000000001</v>
      </c>
      <c r="P41" s="191">
        <f t="shared" si="1"/>
        <v>1.9258373716363633</v>
      </c>
      <c r="Q41" s="191"/>
      <c r="R41" s="191">
        <f>IF(OR(D41&gt;0.3,D41="&gt; saturation"),1,1-(0.3-D41)*(H41*[2]Retrait!retrait_v_f+I41*[2]Retrait!retrait_v_r))</f>
        <v>0.99943909090909089</v>
      </c>
      <c r="S41" s="191">
        <f t="shared" si="6"/>
        <v>2.4985977272727271</v>
      </c>
      <c r="T41" s="192">
        <f t="shared" si="7"/>
        <v>1.4991586363636364</v>
      </c>
      <c r="U41" s="283"/>
      <c r="V41" s="283"/>
      <c r="W41" s="283"/>
      <c r="X41" s="283"/>
      <c r="Y41" s="283"/>
      <c r="Z41" s="283"/>
      <c r="AA41" s="283"/>
      <c r="AB41" s="283"/>
      <c r="AC41" s="283"/>
      <c r="AD41" s="283"/>
      <c r="AE41" s="283"/>
      <c r="AF41" s="283"/>
      <c r="AG41" s="283"/>
      <c r="AH41" s="283"/>
      <c r="AI41" s="283"/>
    </row>
    <row r="42" spans="1:35" x14ac:dyDescent="0.3">
      <c r="A42" s="179" t="s">
        <v>222</v>
      </c>
      <c r="B42" s="180" t="s">
        <v>40</v>
      </c>
      <c r="C42" s="181"/>
      <c r="D42" s="284">
        <f t="shared" si="0"/>
        <v>0.29870129870129869</v>
      </c>
      <c r="E42" s="183">
        <f>[2]Pilotage!C50</f>
        <v>0.23</v>
      </c>
      <c r="F42" s="184"/>
      <c r="G42" s="185"/>
      <c r="H42" s="186">
        <v>1</v>
      </c>
      <c r="I42" s="186">
        <f t="shared" si="2"/>
        <v>0</v>
      </c>
      <c r="J42" s="187" t="s">
        <v>265</v>
      </c>
      <c r="K42" s="187">
        <v>1.0006439208607618</v>
      </c>
      <c r="L42" s="188">
        <f t="shared" si="14"/>
        <v>0.99935649350649347</v>
      </c>
      <c r="M42" s="189">
        <f>H42*[2]InfraDensité!infra_d_f+I42*[2]InfraDensité!infra_d_r</f>
        <v>0.51120719999999997</v>
      </c>
      <c r="N42" s="202">
        <f t="shared" si="4"/>
        <v>0.66390545454545447</v>
      </c>
      <c r="O42" s="191">
        <f t="shared" si="5"/>
        <v>3.6890000000000001</v>
      </c>
      <c r="P42" s="191">
        <f t="shared" si="1"/>
        <v>2.4491472218181816</v>
      </c>
      <c r="Q42" s="191"/>
      <c r="R42" s="191">
        <f>IF(OR(D42&gt;0.3,D42="&gt; saturation"),1,1-(0.3-D42)*(H42*[2]Retrait!retrait_v_f+I42*[2]Retrait!retrait_v_r))</f>
        <v>0.99935649350649347</v>
      </c>
      <c r="S42" s="191">
        <f t="shared" si="6"/>
        <v>2.4983912337662337</v>
      </c>
      <c r="T42" s="192">
        <f t="shared" si="7"/>
        <v>1.4990347402597402</v>
      </c>
      <c r="U42" s="283"/>
      <c r="V42" s="283"/>
      <c r="W42" s="283"/>
      <c r="X42" s="283"/>
      <c r="Y42" s="283"/>
      <c r="Z42" s="283"/>
      <c r="AA42" s="283"/>
      <c r="AB42" s="283"/>
      <c r="AC42" s="283"/>
      <c r="AD42" s="283"/>
      <c r="AE42" s="283"/>
      <c r="AF42" s="283"/>
      <c r="AG42" s="283"/>
      <c r="AH42" s="283"/>
      <c r="AI42" s="283"/>
    </row>
    <row r="43" spans="1:35" x14ac:dyDescent="0.3">
      <c r="A43" s="179" t="s">
        <v>222</v>
      </c>
      <c r="B43" s="180" t="s">
        <v>40</v>
      </c>
      <c r="C43" s="181"/>
      <c r="D43" s="284">
        <f t="shared" si="0"/>
        <v>0.29870129870129869</v>
      </c>
      <c r="E43" s="183">
        <f>[2]Pilotage!C51</f>
        <v>0.23</v>
      </c>
      <c r="F43" s="184"/>
      <c r="G43" s="185"/>
      <c r="H43" s="186">
        <v>1</v>
      </c>
      <c r="I43" s="186">
        <f t="shared" si="2"/>
        <v>0</v>
      </c>
      <c r="J43" s="187" t="s">
        <v>258</v>
      </c>
      <c r="K43" s="187">
        <v>1.0006439208607618</v>
      </c>
      <c r="L43" s="188">
        <f t="shared" si="14"/>
        <v>0.99935649350649347</v>
      </c>
      <c r="M43" s="189">
        <f>H43*[2]InfraDensité!infra_d_f+I43*[2]InfraDensité!infra_d_r</f>
        <v>0.51120719999999997</v>
      </c>
      <c r="N43" s="202">
        <f t="shared" si="4"/>
        <v>0.66390545454545447</v>
      </c>
      <c r="O43" s="191">
        <f t="shared" si="5"/>
        <v>3.6890000000000001</v>
      </c>
      <c r="P43" s="191">
        <f t="shared" si="1"/>
        <v>2.4491472218181816</v>
      </c>
      <c r="Q43" s="191"/>
      <c r="R43" s="191">
        <f>IF(OR(D43&gt;0.3,D43="&gt; saturation"),1,1-(0.3-D43)*(H43*[2]Retrait!retrait_v_f+I43*[2]Retrait!retrait_v_r))</f>
        <v>0.99935649350649347</v>
      </c>
      <c r="S43" s="191">
        <f t="shared" si="6"/>
        <v>2.4983912337662337</v>
      </c>
      <c r="T43" s="192">
        <f t="shared" si="7"/>
        <v>1.4990347402597402</v>
      </c>
      <c r="U43" s="283"/>
      <c r="V43" s="283"/>
      <c r="W43" s="283"/>
      <c r="X43" s="283"/>
      <c r="Y43" s="283"/>
      <c r="Z43" s="283"/>
      <c r="AA43" s="283"/>
      <c r="AB43" s="283"/>
      <c r="AC43" s="283"/>
      <c r="AD43" s="283"/>
      <c r="AE43" s="283"/>
      <c r="AF43" s="283"/>
      <c r="AG43" s="283"/>
      <c r="AH43" s="283"/>
      <c r="AI43" s="283"/>
    </row>
    <row r="44" spans="1:35" x14ac:dyDescent="0.3">
      <c r="A44" s="179" t="s">
        <v>222</v>
      </c>
      <c r="B44" s="180" t="s">
        <v>41</v>
      </c>
      <c r="C44" s="181"/>
      <c r="D44" s="284">
        <f t="shared" si="0"/>
        <v>0.29870129870129869</v>
      </c>
      <c r="E44" s="183">
        <f>[2]Pilotage!C51</f>
        <v>0.23</v>
      </c>
      <c r="F44" s="184"/>
      <c r="G44" s="185"/>
      <c r="H44" s="186">
        <v>0</v>
      </c>
      <c r="I44" s="186">
        <f t="shared" si="2"/>
        <v>1</v>
      </c>
      <c r="J44" s="187" t="s">
        <v>265</v>
      </c>
      <c r="K44" s="187">
        <v>1.0005405517786232</v>
      </c>
      <c r="L44" s="188">
        <f t="shared" si="14"/>
        <v>0.99945974025974027</v>
      </c>
      <c r="M44" s="189">
        <f>H44*[2]InfraDensité!infra_d_f+I44*[2]InfraDensité!infra_d_r</f>
        <v>0.37466999999999995</v>
      </c>
      <c r="N44" s="203">
        <f t="shared" si="4"/>
        <v>0.48658441558441551</v>
      </c>
      <c r="O44" s="191">
        <f t="shared" si="5"/>
        <v>3.6890000000000001</v>
      </c>
      <c r="P44" s="191">
        <f t="shared" si="1"/>
        <v>1.7950099090909089</v>
      </c>
      <c r="Q44" s="191"/>
      <c r="R44" s="191">
        <f>IF(OR(D44&gt;0.3,D44="&gt; saturation"),1,1-(0.3-D44)*(H44*[2]Retrait!retrait_v_f+I44*[2]Retrait!retrait_v_r))</f>
        <v>0.99945974025974027</v>
      </c>
      <c r="S44" s="191">
        <f t="shared" si="6"/>
        <v>2.4986493506493503</v>
      </c>
      <c r="T44" s="192">
        <f t="shared" si="7"/>
        <v>1.4991896103896103</v>
      </c>
      <c r="U44" s="283"/>
      <c r="V44" s="283"/>
      <c r="W44" s="283"/>
      <c r="X44" s="283"/>
      <c r="Y44" s="283"/>
      <c r="Z44" s="283"/>
      <c r="AA44" s="283"/>
      <c r="AB44" s="283"/>
      <c r="AC44" s="283"/>
      <c r="AD44" s="283"/>
      <c r="AE44" s="283"/>
      <c r="AF44" s="283"/>
      <c r="AG44" s="283"/>
      <c r="AH44" s="283"/>
      <c r="AI44" s="283"/>
    </row>
    <row r="45" spans="1:35" x14ac:dyDescent="0.3">
      <c r="A45" s="179" t="s">
        <v>222</v>
      </c>
      <c r="B45" s="180" t="s">
        <v>41</v>
      </c>
      <c r="C45" s="181"/>
      <c r="D45" s="284">
        <f t="shared" si="0"/>
        <v>0.29870129870129869</v>
      </c>
      <c r="E45" s="183">
        <f>[2]Pilotage!C52</f>
        <v>0.23</v>
      </c>
      <c r="F45" s="184"/>
      <c r="G45" s="185"/>
      <c r="H45" s="186">
        <v>0</v>
      </c>
      <c r="I45" s="186">
        <f t="shared" si="2"/>
        <v>1</v>
      </c>
      <c r="J45" s="187" t="s">
        <v>258</v>
      </c>
      <c r="K45" s="187">
        <v>1.0005405517786232</v>
      </c>
      <c r="L45" s="188">
        <f t="shared" si="14"/>
        <v>0.99945974025974027</v>
      </c>
      <c r="M45" s="189">
        <f>H45*[2]InfraDensité!infra_d_f+I45*[2]InfraDensité!infra_d_r</f>
        <v>0.37466999999999995</v>
      </c>
      <c r="N45" s="203">
        <f t="shared" si="4"/>
        <v>0.48658441558441551</v>
      </c>
      <c r="O45" s="191">
        <f t="shared" si="5"/>
        <v>3.6890000000000001</v>
      </c>
      <c r="P45" s="191">
        <f t="shared" si="1"/>
        <v>1.7950099090909089</v>
      </c>
      <c r="Q45" s="191"/>
      <c r="R45" s="191">
        <f>IF(OR(D45&gt;0.3,D45="&gt; saturation"),1,1-(0.3-D45)*(H45*[2]Retrait!retrait_v_f+I45*[2]Retrait!retrait_v_r))</f>
        <v>0.99945974025974027</v>
      </c>
      <c r="S45" s="191">
        <f t="shared" si="6"/>
        <v>2.4986493506493503</v>
      </c>
      <c r="T45" s="192">
        <f t="shared" si="7"/>
        <v>1.4991896103896103</v>
      </c>
      <c r="U45" s="283"/>
      <c r="V45" s="283"/>
      <c r="W45" s="283"/>
      <c r="X45" s="283"/>
      <c r="Y45" s="283"/>
      <c r="Z45" s="283"/>
      <c r="AA45" s="283"/>
      <c r="AB45" s="283"/>
      <c r="AC45" s="283"/>
      <c r="AD45" s="283"/>
      <c r="AE45" s="283"/>
      <c r="AF45" s="283"/>
      <c r="AG45" s="283"/>
      <c r="AH45" s="283"/>
      <c r="AI45" s="283"/>
    </row>
    <row r="46" spans="1:35" x14ac:dyDescent="0.3">
      <c r="A46" s="179" t="s">
        <v>222</v>
      </c>
      <c r="B46" s="180" t="s">
        <v>38</v>
      </c>
      <c r="C46" s="181"/>
      <c r="D46" s="284">
        <f t="shared" si="0"/>
        <v>0.29870129870129869</v>
      </c>
      <c r="E46" s="183">
        <f>[2]Pilotage!C53</f>
        <v>0.23</v>
      </c>
      <c r="F46" s="184"/>
      <c r="G46" s="185"/>
      <c r="H46" s="185">
        <v>0.2</v>
      </c>
      <c r="I46" s="186">
        <f t="shared" si="2"/>
        <v>0.8</v>
      </c>
      <c r="J46" s="187" t="s">
        <v>258</v>
      </c>
      <c r="K46" s="187">
        <v>1.0005612238864892</v>
      </c>
      <c r="L46" s="188">
        <f t="shared" si="14"/>
        <v>0.99943909090909089</v>
      </c>
      <c r="M46" s="189">
        <f>H46*[2]InfraDensité!infra_d_f+I46*[2]InfraDensité!infra_d_r</f>
        <v>0.40197743999999996</v>
      </c>
      <c r="N46" s="196">
        <f t="shared" si="4"/>
        <v>0.52204862337662328</v>
      </c>
      <c r="O46" s="191">
        <f t="shared" si="5"/>
        <v>3.6890000000000001</v>
      </c>
      <c r="P46" s="191">
        <f t="shared" si="1"/>
        <v>1.9258373716363633</v>
      </c>
      <c r="Q46" s="191"/>
      <c r="R46" s="191">
        <f>IF(OR(D46&gt;0.3,D46="&gt; saturation"),1,1-(0.3-D46)*(H46*[2]Retrait!retrait_v_f+I46*[2]Retrait!retrait_v_r))</f>
        <v>0.99943909090909089</v>
      </c>
      <c r="S46" s="191">
        <f t="shared" si="6"/>
        <v>2.4985977272727271</v>
      </c>
      <c r="T46" s="192">
        <f t="shared" si="7"/>
        <v>1.4991586363636364</v>
      </c>
    </row>
    <row r="47" spans="1:35" x14ac:dyDescent="0.3">
      <c r="A47" s="179" t="s">
        <v>222</v>
      </c>
      <c r="B47" s="180" t="s">
        <v>25</v>
      </c>
      <c r="C47" s="181"/>
      <c r="D47" s="284">
        <f t="shared" si="0"/>
        <v>0.4285714285714286</v>
      </c>
      <c r="E47" s="183">
        <f>[2]Pilotage!C54</f>
        <v>0.3</v>
      </c>
      <c r="F47" s="184"/>
      <c r="G47" s="185"/>
      <c r="H47" s="185">
        <v>0.2</v>
      </c>
      <c r="I47" s="186">
        <f t="shared" si="2"/>
        <v>0.8</v>
      </c>
      <c r="J47" s="204" t="s">
        <v>259</v>
      </c>
      <c r="K47" s="187">
        <v>1.7413912581760809</v>
      </c>
      <c r="L47" s="188">
        <f t="shared" ref="L47:L53" si="15">N47</f>
        <v>0.57425348571428569</v>
      </c>
      <c r="M47" s="189">
        <f>H47*[2]InfraDensité!infra_d_f+I47*[2]InfraDensité!infra_d_r</f>
        <v>0.40197743999999996</v>
      </c>
      <c r="N47" s="190">
        <f t="shared" si="4"/>
        <v>0.57425348571428569</v>
      </c>
      <c r="O47" s="191">
        <f t="shared" si="5"/>
        <v>3.29</v>
      </c>
      <c r="P47" s="191">
        <f t="shared" si="1"/>
        <v>1.889293968</v>
      </c>
      <c r="Q47" s="191"/>
      <c r="R47" s="191">
        <f>IF(OR(D47&gt;0.3,D47="&gt; saturation"),1,1-(0.3-D47)*(H47*[2]Retrait!retrait_v_f+I47*[2]Retrait!retrait_v_r))</f>
        <v>1</v>
      </c>
      <c r="S47" s="191">
        <f t="shared" si="6"/>
        <v>2.5</v>
      </c>
      <c r="T47" s="192">
        <f t="shared" si="7"/>
        <v>1.5</v>
      </c>
    </row>
    <row r="48" spans="1:35" x14ac:dyDescent="0.3">
      <c r="A48" s="179" t="s">
        <v>222</v>
      </c>
      <c r="B48" s="180" t="s">
        <v>33</v>
      </c>
      <c r="C48" s="181"/>
      <c r="D48" s="284">
        <f t="shared" si="0"/>
        <v>0.4285714285714286</v>
      </c>
      <c r="E48" s="183">
        <f>[2]Pilotage!C55</f>
        <v>0.3</v>
      </c>
      <c r="F48" s="184"/>
      <c r="G48" s="185"/>
      <c r="H48" s="185">
        <v>0.2</v>
      </c>
      <c r="I48" s="186">
        <f t="shared" si="2"/>
        <v>0.8</v>
      </c>
      <c r="J48" s="204" t="s">
        <v>259</v>
      </c>
      <c r="K48" s="187">
        <v>1.7413912581760809</v>
      </c>
      <c r="L48" s="188">
        <f t="shared" si="15"/>
        <v>0.57425348571428569</v>
      </c>
      <c r="M48" s="189">
        <f>H48*[2]InfraDensité!infra_d_f+I48*[2]InfraDensité!infra_d_r</f>
        <v>0.40197743999999996</v>
      </c>
      <c r="N48" s="190">
        <f t="shared" si="4"/>
        <v>0.57425348571428569</v>
      </c>
      <c r="O48" s="191">
        <f t="shared" si="5"/>
        <v>3.29</v>
      </c>
      <c r="P48" s="191">
        <f t="shared" si="1"/>
        <v>1.889293968</v>
      </c>
      <c r="Q48" s="191"/>
      <c r="R48" s="191">
        <f>IF(OR(D48&gt;0.3,D48="&gt; saturation"),1,1-(0.3-D48)*(H48*[2]Retrait!retrait_v_f+I48*[2]Retrait!retrait_v_r))</f>
        <v>1</v>
      </c>
      <c r="S48" s="191">
        <f t="shared" si="6"/>
        <v>2.5</v>
      </c>
      <c r="T48" s="192">
        <f t="shared" si="7"/>
        <v>1.5</v>
      </c>
    </row>
    <row r="49" spans="1:20" x14ac:dyDescent="0.3">
      <c r="A49" s="179" t="s">
        <v>222</v>
      </c>
      <c r="B49" s="180" t="s">
        <v>44</v>
      </c>
      <c r="C49" s="181"/>
      <c r="D49" s="284">
        <f t="shared" si="0"/>
        <v>7.0000000288900008E-2</v>
      </c>
      <c r="E49" s="183">
        <f>[2]Pilotage!C56</f>
        <v>6.5420561000000002E-2</v>
      </c>
      <c r="F49" s="184"/>
      <c r="G49" s="185"/>
      <c r="H49" s="185">
        <v>0.2</v>
      </c>
      <c r="I49" s="186">
        <f t="shared" si="2"/>
        <v>0.8</v>
      </c>
      <c r="J49" s="204" t="s">
        <v>259</v>
      </c>
      <c r="K49" s="187">
        <v>2.3249549502081512</v>
      </c>
      <c r="L49" s="188">
        <f t="shared" si="15"/>
        <v>0.43011586091613124</v>
      </c>
      <c r="M49" s="189">
        <f>H49*[2]InfraDensité!infra_d_f+I49*[2]InfraDensité!infra_d_r</f>
        <v>0.40197743999999996</v>
      </c>
      <c r="N49" s="205">
        <f t="shared" si="4"/>
        <v>0.43011586091613124</v>
      </c>
      <c r="O49" s="191">
        <f t="shared" si="5"/>
        <v>4.6271028022999996</v>
      </c>
      <c r="P49" s="191">
        <f t="shared" si="1"/>
        <v>1.9901903053587078</v>
      </c>
      <c r="Q49" s="191"/>
      <c r="R49" s="191">
        <f>IF(OR(D49&gt;0.3,D49="&gt; saturation"),1,1-(0.3-D49)*(H49*[2]Retrait!retrait_v_f+I49*[2]Retrait!retrait_v_r))</f>
        <v>0.90066300012477596</v>
      </c>
      <c r="S49" s="191">
        <f t="shared" si="6"/>
        <v>2.2516575003119397</v>
      </c>
      <c r="T49" s="192">
        <f t="shared" si="7"/>
        <v>1.3509945001871639</v>
      </c>
    </row>
    <row r="50" spans="1:20" x14ac:dyDescent="0.3">
      <c r="A50" s="179" t="s">
        <v>222</v>
      </c>
      <c r="B50" s="180" t="s">
        <v>60</v>
      </c>
      <c r="C50" s="181"/>
      <c r="D50" s="284">
        <f t="shared" si="0"/>
        <v>0.53846153846153844</v>
      </c>
      <c r="E50" s="183">
        <f>[2]Pilotage!C57</f>
        <v>0.35</v>
      </c>
      <c r="F50" s="184"/>
      <c r="G50" s="185"/>
      <c r="H50" s="185">
        <v>0.2</v>
      </c>
      <c r="I50" s="186">
        <f t="shared" si="2"/>
        <v>0.8</v>
      </c>
      <c r="J50" s="204" t="s">
        <v>259</v>
      </c>
      <c r="K50" s="187">
        <v>1.617006168306361</v>
      </c>
      <c r="L50" s="188">
        <f t="shared" si="15"/>
        <v>0.61842683076923066</v>
      </c>
      <c r="M50" s="189">
        <f>H50*[2]InfraDensité!infra_d_f+I50*[2]InfraDensité!infra_d_r</f>
        <v>0.40197743999999996</v>
      </c>
      <c r="N50" s="198">
        <f t="shared" si="4"/>
        <v>0.61842683076923066</v>
      </c>
      <c r="O50" s="191">
        <f t="shared" si="5"/>
        <v>3.0049999999999999</v>
      </c>
      <c r="P50" s="191">
        <f t="shared" si="1"/>
        <v>1.8583726264615381</v>
      </c>
      <c r="Q50" s="191"/>
      <c r="R50" s="191">
        <f>IF(OR(D50&gt;0.3,D50="&gt; saturation"),1,1-(0.3-D50)*(H50*[2]Retrait!retrait_v_f+I50*[2]Retrait!retrait_v_r))</f>
        <v>1</v>
      </c>
      <c r="S50" s="191">
        <f t="shared" si="6"/>
        <v>2.5</v>
      </c>
      <c r="T50" s="192">
        <f t="shared" si="7"/>
        <v>1.5</v>
      </c>
    </row>
    <row r="51" spans="1:20" x14ac:dyDescent="0.3">
      <c r="A51" s="179" t="s">
        <v>222</v>
      </c>
      <c r="B51" s="180" t="s">
        <v>24</v>
      </c>
      <c r="C51" s="181"/>
      <c r="D51" s="284">
        <f t="shared" si="0"/>
        <v>0.53846153846153844</v>
      </c>
      <c r="E51" s="183">
        <f>[2]Pilotage!C58</f>
        <v>0.35</v>
      </c>
      <c r="F51" s="184"/>
      <c r="G51" s="185"/>
      <c r="H51" s="185">
        <v>0.2</v>
      </c>
      <c r="I51" s="186">
        <f t="shared" si="2"/>
        <v>0.8</v>
      </c>
      <c r="J51" s="204" t="s">
        <v>259</v>
      </c>
      <c r="K51" s="187">
        <v>1.617006168306361</v>
      </c>
      <c r="L51" s="188">
        <f t="shared" si="15"/>
        <v>0.61842683076923066</v>
      </c>
      <c r="M51" s="189">
        <f>H51*[2]InfraDensité!infra_d_f+I51*[2]InfraDensité!infra_d_r</f>
        <v>0.40197743999999996</v>
      </c>
      <c r="N51" s="198">
        <f t="shared" si="4"/>
        <v>0.61842683076923066</v>
      </c>
      <c r="O51" s="191">
        <f t="shared" si="5"/>
        <v>3.0049999999999999</v>
      </c>
      <c r="P51" s="191">
        <f t="shared" si="1"/>
        <v>1.8583726264615381</v>
      </c>
      <c r="Q51" s="191"/>
      <c r="R51" s="191">
        <f>IF(OR(D51&gt;0.3,D51="&gt; saturation"),1,1-(0.3-D51)*(H51*[2]Retrait!retrait_v_f+I51*[2]Retrait!retrait_v_r))</f>
        <v>1</v>
      </c>
      <c r="S51" s="191">
        <f t="shared" si="6"/>
        <v>2.5</v>
      </c>
      <c r="T51" s="192">
        <f t="shared" si="7"/>
        <v>1.5</v>
      </c>
    </row>
    <row r="52" spans="1:20" x14ac:dyDescent="0.3">
      <c r="A52" s="179" t="s">
        <v>222</v>
      </c>
      <c r="B52" s="180" t="s">
        <v>266</v>
      </c>
      <c r="C52" s="181" t="s">
        <v>267</v>
      </c>
      <c r="D52" s="284">
        <f t="shared" si="0"/>
        <v>0.4285714285714286</v>
      </c>
      <c r="E52" s="183">
        <f>[2]Pilotage!C59</f>
        <v>0.3</v>
      </c>
      <c r="F52" s="184"/>
      <c r="G52" s="185"/>
      <c r="H52" s="185">
        <v>0.2</v>
      </c>
      <c r="I52" s="186">
        <f t="shared" si="2"/>
        <v>0.8</v>
      </c>
      <c r="J52" s="204" t="s">
        <v>259</v>
      </c>
      <c r="K52" s="187">
        <v>1.7413912581760809</v>
      </c>
      <c r="L52" s="188">
        <f t="shared" si="15"/>
        <v>0.57425348571428569</v>
      </c>
      <c r="M52" s="189">
        <f>H52*[2]InfraDensité!infra_d_f+I52*[2]InfraDensité!infra_d_r</f>
        <v>0.40197743999999996</v>
      </c>
      <c r="N52" s="190">
        <f t="shared" si="4"/>
        <v>0.57425348571428569</v>
      </c>
      <c r="O52" s="191">
        <f t="shared" si="5"/>
        <v>3.29</v>
      </c>
      <c r="P52" s="191">
        <f t="shared" si="1"/>
        <v>1.889293968</v>
      </c>
      <c r="Q52" s="191"/>
      <c r="R52" s="191">
        <f>IF(OR(D52&gt;0.3,D52="&gt; saturation"),1,1-(0.3-D52)*(H52*[2]Retrait!retrait_v_f+I52*[2]Retrait!retrait_v_r))</f>
        <v>1</v>
      </c>
      <c r="S52" s="191">
        <f t="shared" si="6"/>
        <v>2.5</v>
      </c>
      <c r="T52" s="192">
        <f t="shared" si="7"/>
        <v>1.5</v>
      </c>
    </row>
    <row r="53" spans="1:20" x14ac:dyDescent="0.3">
      <c r="A53" s="179" t="s">
        <v>222</v>
      </c>
      <c r="B53" s="180" t="s">
        <v>45</v>
      </c>
      <c r="C53" s="181"/>
      <c r="D53" s="284">
        <f t="shared" si="0"/>
        <v>0.4285714285714286</v>
      </c>
      <c r="E53" s="183">
        <f>[2]Pilotage!C59</f>
        <v>0.3</v>
      </c>
      <c r="F53" s="184"/>
      <c r="G53" s="185"/>
      <c r="H53" s="185">
        <v>0.2</v>
      </c>
      <c r="I53" s="186">
        <f t="shared" si="2"/>
        <v>0.8</v>
      </c>
      <c r="J53" s="204" t="s">
        <v>259</v>
      </c>
      <c r="K53" s="187">
        <v>1.7413912581760809</v>
      </c>
      <c r="L53" s="188">
        <f t="shared" si="15"/>
        <v>0.57425348571428569</v>
      </c>
      <c r="M53" s="189">
        <f>H53*[2]InfraDensité!infra_d_f+I53*[2]InfraDensité!infra_d_r</f>
        <v>0.40197743999999996</v>
      </c>
      <c r="N53" s="190">
        <f t="shared" si="4"/>
        <v>0.57425348571428569</v>
      </c>
      <c r="O53" s="191">
        <f t="shared" si="5"/>
        <v>3.29</v>
      </c>
      <c r="P53" s="191">
        <f t="shared" si="1"/>
        <v>1.889293968</v>
      </c>
      <c r="Q53" s="191"/>
      <c r="R53" s="191">
        <f>IF(OR(D53&gt;0.3,D53="&gt; saturation"),1,1-(0.3-D53)*(H53*[2]Retrait!retrait_v_f+I53*[2]Retrait!retrait_v_r))</f>
        <v>1</v>
      </c>
      <c r="S53" s="191">
        <f t="shared" si="6"/>
        <v>2.5</v>
      </c>
      <c r="T53" s="192">
        <f t="shared" si="7"/>
        <v>1.5</v>
      </c>
    </row>
    <row r="54" spans="1:20" x14ac:dyDescent="0.3">
      <c r="A54" s="179" t="s">
        <v>222</v>
      </c>
      <c r="B54" s="180" t="s">
        <v>45</v>
      </c>
      <c r="C54" s="181"/>
      <c r="D54" s="284">
        <f t="shared" si="0"/>
        <v>0.25</v>
      </c>
      <c r="E54" s="183">
        <f>[2]Pilotage!C60</f>
        <v>0.2</v>
      </c>
      <c r="F54" s="184"/>
      <c r="G54" s="185"/>
      <c r="H54" s="185">
        <v>0.2</v>
      </c>
      <c r="I54" s="186">
        <f t="shared" si="2"/>
        <v>0.8</v>
      </c>
      <c r="J54" s="204" t="s">
        <v>258</v>
      </c>
      <c r="K54" s="187">
        <v>1.0220716370010374</v>
      </c>
      <c r="L54" s="188">
        <f>R54</f>
        <v>0.97840499999999997</v>
      </c>
      <c r="M54" s="189">
        <f>H54*[2]InfraDensité!infra_d_f+I54*[2]InfraDensité!infra_d_r</f>
        <v>0.40197743999999996</v>
      </c>
      <c r="N54" s="194">
        <f t="shared" si="4"/>
        <v>0.50247179999999991</v>
      </c>
      <c r="O54" s="191">
        <f t="shared" si="5"/>
        <v>3.86</v>
      </c>
      <c r="P54" s="191">
        <f t="shared" si="1"/>
        <v>1.9395411479999995</v>
      </c>
      <c r="Q54" s="191"/>
      <c r="R54" s="191">
        <f>IF(OR(D54&gt;0.3,D54="&gt; saturation"),1,1-(0.3-D54)*(H54*[2]Retrait!retrait_v_f+I54*[2]Retrait!retrait_v_r))</f>
        <v>0.97840499999999997</v>
      </c>
      <c r="S54" s="191">
        <f t="shared" si="6"/>
        <v>2.4460124999999997</v>
      </c>
      <c r="T54" s="192">
        <f t="shared" si="7"/>
        <v>1.4676075</v>
      </c>
    </row>
    <row r="55" spans="1:20" x14ac:dyDescent="0.3">
      <c r="A55" s="179" t="s">
        <v>222</v>
      </c>
      <c r="B55" s="180" t="s">
        <v>47</v>
      </c>
      <c r="C55" s="181"/>
      <c r="D55" s="284">
        <f t="shared" si="0"/>
        <v>7.0000000288900008E-2</v>
      </c>
      <c r="E55" s="183">
        <f>[2]Pilotage!C61</f>
        <v>6.5420561000000002E-2</v>
      </c>
      <c r="F55" s="184"/>
      <c r="G55" s="185"/>
      <c r="H55" s="185">
        <v>0.2</v>
      </c>
      <c r="I55" s="186">
        <f t="shared" si="2"/>
        <v>0.8</v>
      </c>
      <c r="J55" s="187" t="s">
        <v>258</v>
      </c>
      <c r="K55" s="187">
        <v>1.1102931949702186</v>
      </c>
      <c r="L55" s="188">
        <f>R55</f>
        <v>0.90066300012477596</v>
      </c>
      <c r="M55" s="189">
        <f>H55*[2]InfraDensité!infra_d_f+I55*[2]InfraDensité!infra_d_r</f>
        <v>0.40197743999999996</v>
      </c>
      <c r="N55" s="194">
        <f t="shared" si="4"/>
        <v>0.43011586091613124</v>
      </c>
      <c r="O55" s="191">
        <f t="shared" si="5"/>
        <v>4.6271028022999996</v>
      </c>
      <c r="P55" s="191">
        <f t="shared" si="1"/>
        <v>1.9901903053587078</v>
      </c>
      <c r="Q55" s="191"/>
      <c r="R55" s="191">
        <f>1-(0.3-D55)*(H55*[2]Retrait!retrait_v_f+I55*[2]Retrait!retrait_v_r)</f>
        <v>0.90066300012477596</v>
      </c>
      <c r="S55" s="191">
        <f t="shared" si="6"/>
        <v>2.2516575003119397</v>
      </c>
      <c r="T55" s="192">
        <f t="shared" si="7"/>
        <v>1.3509945001871639</v>
      </c>
    </row>
    <row r="56" spans="1:20" x14ac:dyDescent="0.3">
      <c r="A56" s="179" t="s">
        <v>222</v>
      </c>
      <c r="B56" s="180" t="s">
        <v>48</v>
      </c>
      <c r="C56" s="181"/>
      <c r="D56" s="284">
        <f t="shared" si="0"/>
        <v>7.0000000288900008E-2</v>
      </c>
      <c r="E56" s="183">
        <f>[2]Pilotage!C62</f>
        <v>6.5420561000000002E-2</v>
      </c>
      <c r="F56" s="206">
        <v>7.6999999999999999E-2</v>
      </c>
      <c r="G56" s="206"/>
      <c r="H56" s="185">
        <v>0.2</v>
      </c>
      <c r="I56" s="186">
        <f t="shared" si="2"/>
        <v>0.8</v>
      </c>
      <c r="J56" s="187" t="s">
        <v>258</v>
      </c>
      <c r="K56" s="187">
        <v>1.0248006189575118</v>
      </c>
      <c r="L56" s="188">
        <f t="shared" ref="L56:L61" si="16">R56</f>
        <v>0.97579956676573776</v>
      </c>
      <c r="M56" s="189">
        <f>H56*[2]InfraDensité!infra_d_f+I56*[2]InfraDensité!infra_d_r</f>
        <v>0.40197743999999996</v>
      </c>
      <c r="N56" s="194">
        <f t="shared" si="4"/>
        <v>0.46599768246601431</v>
      </c>
      <c r="O56" s="191">
        <f t="shared" si="5"/>
        <v>4.6271028022999996</v>
      </c>
      <c r="P56" s="191">
        <f t="shared" si="1"/>
        <v>2.1562191824038002</v>
      </c>
      <c r="Q56" s="191"/>
      <c r="R56" s="191">
        <f>(1-(0.3-D56)*(H56*[2]Retrait!retrait_v_f+I56*[2]Retrait!retrait_v_r))/(1-F56)</f>
        <v>0.97579956676573776</v>
      </c>
      <c r="S56" s="191">
        <f t="shared" si="6"/>
        <v>2.4394989169143444</v>
      </c>
      <c r="T56" s="192">
        <f t="shared" si="7"/>
        <v>1.4636993501486066</v>
      </c>
    </row>
    <row r="57" spans="1:20" x14ac:dyDescent="0.3">
      <c r="A57" s="179" t="s">
        <v>222</v>
      </c>
      <c r="B57" s="180" t="s">
        <v>49</v>
      </c>
      <c r="C57" s="181"/>
      <c r="D57" s="284">
        <f t="shared" si="0"/>
        <v>7.0000000288900008E-2</v>
      </c>
      <c r="E57" s="183">
        <f>[2]Pilotage!C63</f>
        <v>6.5420561000000002E-2</v>
      </c>
      <c r="F57" s="207">
        <f>0.65*F58+0.2*F61+0.1*F59+0.05*F60</f>
        <v>3.9E-2</v>
      </c>
      <c r="G57" s="199">
        <f>0.65*G58+0.2*G61+0.1*G59+0.05*G60</f>
        <v>0.71350000000000002</v>
      </c>
      <c r="H57" s="185">
        <v>0.2</v>
      </c>
      <c r="I57" s="186">
        <f t="shared" si="2"/>
        <v>0.8</v>
      </c>
      <c r="J57" s="187" t="s">
        <v>258</v>
      </c>
      <c r="K57" s="187">
        <v>1.5625882812963106</v>
      </c>
      <c r="L57" s="188">
        <f t="shared" si="16"/>
        <v>0.63996384202395795</v>
      </c>
      <c r="M57" s="189">
        <f>H57*[2]InfraDensité!infra_d_f+I57*[2]InfraDensité!infra_d_r</f>
        <v>0.40197743999999996</v>
      </c>
      <c r="N57" s="194">
        <f t="shared" si="4"/>
        <v>0.44757113518848207</v>
      </c>
      <c r="O57" s="191">
        <f t="shared" si="5"/>
        <v>4.6271028022999996</v>
      </c>
      <c r="P57" s="191">
        <f t="shared" si="1"/>
        <v>2.0709576538592174</v>
      </c>
      <c r="Q57" s="191"/>
      <c r="R57" s="191">
        <f>0.65*R58+0.2*R61+0.1*R59+0.05*R60</f>
        <v>0.63996384202395795</v>
      </c>
      <c r="S57" s="191">
        <f t="shared" si="6"/>
        <v>1.5999096050598949</v>
      </c>
      <c r="T57" s="192">
        <f t="shared" si="7"/>
        <v>0.95994576303593693</v>
      </c>
    </row>
    <row r="58" spans="1:20" x14ac:dyDescent="0.3">
      <c r="A58" s="179" t="s">
        <v>222</v>
      </c>
      <c r="B58" s="208" t="s">
        <v>50</v>
      </c>
      <c r="C58" s="181"/>
      <c r="D58" s="284">
        <f t="shared" si="0"/>
        <v>7.0000000288900008E-2</v>
      </c>
      <c r="E58" s="183">
        <f>[2]Pilotage!C64</f>
        <v>6.5420561000000002E-2</v>
      </c>
      <c r="F58" s="206">
        <v>0.06</v>
      </c>
      <c r="G58" s="209">
        <v>0.65</v>
      </c>
      <c r="H58" s="185">
        <v>0.2</v>
      </c>
      <c r="I58" s="186">
        <f t="shared" si="2"/>
        <v>0.8</v>
      </c>
      <c r="J58" s="187" t="s">
        <v>258</v>
      </c>
      <c r="K58" s="187">
        <v>1.4205474745771804</v>
      </c>
      <c r="L58" s="188">
        <f t="shared" si="16"/>
        <v>0.70395394585291526</v>
      </c>
      <c r="M58" s="189">
        <f>H58*[2]InfraDensité!infra_d_f+I58*[2]InfraDensité!infra_d_r</f>
        <v>0.40197743999999996</v>
      </c>
      <c r="N58" s="194">
        <f t="shared" si="4"/>
        <v>0.45757006480439494</v>
      </c>
      <c r="O58" s="191">
        <f t="shared" si="5"/>
        <v>4.6271028022999996</v>
      </c>
      <c r="P58" s="191">
        <f t="shared" si="1"/>
        <v>2.1172237291050084</v>
      </c>
      <c r="Q58" s="191"/>
      <c r="R58" s="191">
        <f>N58/G58</f>
        <v>0.70395394585291526</v>
      </c>
      <c r="S58" s="191">
        <f t="shared" si="6"/>
        <v>1.759884864632288</v>
      </c>
      <c r="T58" s="192">
        <f t="shared" si="7"/>
        <v>1.0559309187793728</v>
      </c>
    </row>
    <row r="59" spans="1:20" x14ac:dyDescent="0.3">
      <c r="A59" s="179" t="s">
        <v>222</v>
      </c>
      <c r="B59" s="208" t="s">
        <v>53</v>
      </c>
      <c r="C59" s="181"/>
      <c r="D59" s="284">
        <f t="shared" si="0"/>
        <v>7.0000000288900008E-2</v>
      </c>
      <c r="E59" s="183">
        <f>[2]Pilotage!C65</f>
        <v>6.5420561000000002E-2</v>
      </c>
      <c r="F59" s="206"/>
      <c r="G59" s="209">
        <v>0.85</v>
      </c>
      <c r="H59" s="185">
        <v>0.2</v>
      </c>
      <c r="I59" s="186">
        <f t="shared" si="2"/>
        <v>0.8</v>
      </c>
      <c r="J59" s="187" t="s">
        <v>258</v>
      </c>
      <c r="K59" s="187">
        <v>1.9762117076769286</v>
      </c>
      <c r="L59" s="188">
        <f t="shared" si="16"/>
        <v>0.50601865990133088</v>
      </c>
      <c r="M59" s="189">
        <f>H59*[2]InfraDensité!infra_d_f+I59*[2]InfraDensité!infra_d_r</f>
        <v>0.40197743999999996</v>
      </c>
      <c r="N59" s="205">
        <f t="shared" si="4"/>
        <v>0.43011586091613124</v>
      </c>
      <c r="O59" s="191">
        <f t="shared" si="5"/>
        <v>4.6271028022999996</v>
      </c>
      <c r="P59" s="191">
        <f t="shared" si="1"/>
        <v>1.9901903053587078</v>
      </c>
      <c r="Q59" s="191"/>
      <c r="R59" s="191">
        <f>N59/G59</f>
        <v>0.50601865990133088</v>
      </c>
      <c r="S59" s="191">
        <f t="shared" si="6"/>
        <v>1.265046649753327</v>
      </c>
      <c r="T59" s="192">
        <f t="shared" si="7"/>
        <v>0.75902798985199627</v>
      </c>
    </row>
    <row r="60" spans="1:20" x14ac:dyDescent="0.3">
      <c r="A60" s="179" t="s">
        <v>222</v>
      </c>
      <c r="B60" s="208" t="s">
        <v>51</v>
      </c>
      <c r="C60" s="181"/>
      <c r="D60" s="284">
        <f t="shared" si="0"/>
        <v>7.0000000288900008E-2</v>
      </c>
      <c r="E60" s="183">
        <f>[2]Pilotage!C66</f>
        <v>6.5420561000000002E-2</v>
      </c>
      <c r="F60" s="206"/>
      <c r="G60" s="209">
        <v>1</v>
      </c>
      <c r="H60" s="185">
        <v>0.2</v>
      </c>
      <c r="I60" s="186">
        <f t="shared" si="2"/>
        <v>0.8</v>
      </c>
      <c r="J60" s="187" t="s">
        <v>258</v>
      </c>
      <c r="K60" s="187">
        <v>2.3249549502081512</v>
      </c>
      <c r="L60" s="188">
        <f t="shared" si="16"/>
        <v>0.43011586091613124</v>
      </c>
      <c r="M60" s="189">
        <f>H60*[2]InfraDensité!infra_d_f+I60*[2]InfraDensité!infra_d_r</f>
        <v>0.40197743999999996</v>
      </c>
      <c r="N60" s="205">
        <f t="shared" si="4"/>
        <v>0.43011586091613124</v>
      </c>
      <c r="O60" s="191">
        <f t="shared" si="5"/>
        <v>4.6271028022999996</v>
      </c>
      <c r="P60" s="191">
        <f t="shared" si="1"/>
        <v>1.9901903053587078</v>
      </c>
      <c r="Q60" s="191"/>
      <c r="R60" s="191">
        <f>N60/G60</f>
        <v>0.43011586091613124</v>
      </c>
      <c r="S60" s="191">
        <f t="shared" si="6"/>
        <v>1.0752896522903281</v>
      </c>
      <c r="T60" s="192">
        <f t="shared" si="7"/>
        <v>0.64517379137419684</v>
      </c>
    </row>
    <row r="61" spans="1:20" x14ac:dyDescent="0.3">
      <c r="A61" s="179" t="s">
        <v>222</v>
      </c>
      <c r="B61" s="208" t="s">
        <v>52</v>
      </c>
      <c r="C61" s="181"/>
      <c r="D61" s="284">
        <f t="shared" si="0"/>
        <v>7.0000000288900008E-2</v>
      </c>
      <c r="E61" s="183">
        <f>[2]Pilotage!C67</f>
        <v>6.5420561000000002E-2</v>
      </c>
      <c r="F61" s="206"/>
      <c r="G61" s="209">
        <v>0.78</v>
      </c>
      <c r="H61" s="185">
        <v>0.2</v>
      </c>
      <c r="I61" s="186">
        <f t="shared" si="2"/>
        <v>0.8</v>
      </c>
      <c r="J61" s="187" t="s">
        <v>258</v>
      </c>
      <c r="K61" s="187">
        <v>1.8134648611623581</v>
      </c>
      <c r="L61" s="188">
        <f t="shared" si="16"/>
        <v>0.55143059091811697</v>
      </c>
      <c r="M61" s="189">
        <f>H61*[2]InfraDensité!infra_d_f+I61*[2]InfraDensité!infra_d_r</f>
        <v>0.40197743999999996</v>
      </c>
      <c r="N61" s="205">
        <f t="shared" si="4"/>
        <v>0.43011586091613124</v>
      </c>
      <c r="O61" s="191">
        <f t="shared" si="5"/>
        <v>4.6271028022999996</v>
      </c>
      <c r="P61" s="191">
        <f t="shared" si="1"/>
        <v>1.9901903053587078</v>
      </c>
      <c r="Q61" s="191"/>
      <c r="R61" s="191">
        <f>N61/G61</f>
        <v>0.55143059091811697</v>
      </c>
      <c r="S61" s="191">
        <f t="shared" si="6"/>
        <v>1.3785764772952924</v>
      </c>
      <c r="T61" s="192">
        <f t="shared" si="7"/>
        <v>0.82714588637717545</v>
      </c>
    </row>
    <row r="62" spans="1:20" x14ac:dyDescent="0.3">
      <c r="A62" s="179" t="s">
        <v>222</v>
      </c>
      <c r="B62" s="208" t="s">
        <v>46</v>
      </c>
      <c r="C62" s="181"/>
      <c r="D62" s="284">
        <f t="shared" si="0"/>
        <v>7.0000000288900008E-2</v>
      </c>
      <c r="E62" s="183">
        <f>[2]Pilotage!C68</f>
        <v>6.5420561000000002E-2</v>
      </c>
      <c r="F62" s="207">
        <f>F57</f>
        <v>3.9E-2</v>
      </c>
      <c r="G62" s="210">
        <f>G57</f>
        <v>0.71350000000000002</v>
      </c>
      <c r="H62" s="185">
        <v>0.2</v>
      </c>
      <c r="I62" s="186">
        <f t="shared" si="2"/>
        <v>0.8</v>
      </c>
      <c r="J62" s="204" t="s">
        <v>259</v>
      </c>
      <c r="K62" s="187">
        <v>2.2342817071500329</v>
      </c>
      <c r="L62" s="188">
        <f>N62</f>
        <v>0.44757113518848207</v>
      </c>
      <c r="M62" s="189">
        <f>H62*[2]InfraDensité!infra_d_f+I62*[2]InfraDensité!infra_d_r</f>
        <v>0.40197743999999996</v>
      </c>
      <c r="N62" s="194">
        <f t="shared" si="4"/>
        <v>0.44757113518848207</v>
      </c>
      <c r="O62" s="191">
        <f t="shared" si="5"/>
        <v>4.6271028022999996</v>
      </c>
      <c r="P62" s="191">
        <f t="shared" si="1"/>
        <v>2.0709576538592174</v>
      </c>
      <c r="Q62" s="191"/>
      <c r="R62" s="191">
        <f>R57</f>
        <v>0.63996384202395795</v>
      </c>
      <c r="S62" s="191">
        <f t="shared" si="6"/>
        <v>1.5999096050598949</v>
      </c>
      <c r="T62" s="192">
        <f t="shared" si="7"/>
        <v>0.95994576303593693</v>
      </c>
    </row>
    <row r="63" spans="1:20" x14ac:dyDescent="0.3">
      <c r="A63" s="179" t="s">
        <v>222</v>
      </c>
      <c r="B63" s="208" t="s">
        <v>54</v>
      </c>
      <c r="C63" s="181"/>
      <c r="D63" s="284">
        <f t="shared" si="0"/>
        <v>0.11111111111111112</v>
      </c>
      <c r="E63" s="183">
        <f>[2]Pilotage!C69</f>
        <v>0.1</v>
      </c>
      <c r="F63" s="206"/>
      <c r="G63" s="209"/>
      <c r="H63" s="185">
        <v>0.2</v>
      </c>
      <c r="I63" s="186">
        <f t="shared" si="2"/>
        <v>0.8</v>
      </c>
      <c r="J63" s="204" t="s">
        <v>259</v>
      </c>
      <c r="K63" s="187">
        <v>2.238931617654961</v>
      </c>
      <c r="L63" s="188">
        <f t="shared" ref="L63:L69" si="17">N63</f>
        <v>0.44664159999999997</v>
      </c>
      <c r="M63" s="189">
        <f>H63*[2]InfraDensité!infra_d_f+I63*[2]InfraDensité!infra_d_r</f>
        <v>0.40197743999999996</v>
      </c>
      <c r="N63" s="194">
        <f t="shared" si="4"/>
        <v>0.44664159999999997</v>
      </c>
      <c r="O63" s="191">
        <f t="shared" si="5"/>
        <v>4.43</v>
      </c>
      <c r="P63" s="191">
        <f t="shared" si="1"/>
        <v>1.9786222879999997</v>
      </c>
      <c r="Q63" s="191"/>
      <c r="R63" s="191">
        <f>1/N63*[2]Pilotage!B$86</f>
        <v>0.62690085294338915</v>
      </c>
      <c r="S63" s="191">
        <f t="shared" si="6"/>
        <v>1.5672521323584727</v>
      </c>
      <c r="T63" s="192">
        <f t="shared" si="7"/>
        <v>0.94035127941508367</v>
      </c>
    </row>
    <row r="64" spans="1:20" x14ac:dyDescent="0.3">
      <c r="A64" s="179" t="s">
        <v>222</v>
      </c>
      <c r="B64" s="180" t="s">
        <v>56</v>
      </c>
      <c r="C64" s="181"/>
      <c r="D64" s="284">
        <f t="shared" si="0"/>
        <v>0.11111111111111112</v>
      </c>
      <c r="E64" s="183">
        <f>[2]Pilotage!C70</f>
        <v>0.1</v>
      </c>
      <c r="F64" s="184"/>
      <c r="G64" s="185"/>
      <c r="H64" s="185">
        <v>0.2</v>
      </c>
      <c r="I64" s="186">
        <f t="shared" si="2"/>
        <v>0.8</v>
      </c>
      <c r="J64" s="204" t="s">
        <v>259</v>
      </c>
      <c r="K64" s="187">
        <v>2.238931617654961</v>
      </c>
      <c r="L64" s="188">
        <f t="shared" si="17"/>
        <v>0.44664159999999997</v>
      </c>
      <c r="M64" s="189">
        <f>H64*[2]InfraDensité!infra_d_f+I64*[2]InfraDensité!infra_d_r</f>
        <v>0.40197743999999996</v>
      </c>
      <c r="N64" s="194">
        <f t="shared" si="4"/>
        <v>0.44664159999999997</v>
      </c>
      <c r="O64" s="191">
        <f t="shared" si="5"/>
        <v>4.43</v>
      </c>
      <c r="P64" s="191">
        <f t="shared" si="1"/>
        <v>1.9786222879999997</v>
      </c>
      <c r="Q64" s="191"/>
      <c r="R64" s="191">
        <f>1/N64*[2]Pilotage!B$86</f>
        <v>0.62690085294338915</v>
      </c>
      <c r="S64" s="191">
        <f t="shared" si="6"/>
        <v>1.5672521323584727</v>
      </c>
      <c r="T64" s="192">
        <f t="shared" si="7"/>
        <v>0.94035127941508367</v>
      </c>
    </row>
    <row r="65" spans="1:20" x14ac:dyDescent="0.3">
      <c r="A65" s="179" t="s">
        <v>222</v>
      </c>
      <c r="B65" s="180" t="s">
        <v>55</v>
      </c>
      <c r="C65" s="181"/>
      <c r="D65" s="284">
        <f t="shared" si="0"/>
        <v>0.11111111111111112</v>
      </c>
      <c r="E65" s="183">
        <f>[2]Pilotage!C71</f>
        <v>0.1</v>
      </c>
      <c r="F65" s="184"/>
      <c r="G65" s="185"/>
      <c r="H65" s="185">
        <v>0.2</v>
      </c>
      <c r="I65" s="186">
        <f t="shared" si="2"/>
        <v>0.8</v>
      </c>
      <c r="J65" s="204" t="s">
        <v>259</v>
      </c>
      <c r="K65" s="187">
        <v>2.238931617654961</v>
      </c>
      <c r="L65" s="188">
        <f t="shared" si="17"/>
        <v>0.44664159999999997</v>
      </c>
      <c r="M65" s="189">
        <f>H65*[2]InfraDensité!infra_d_f+I65*[2]InfraDensité!infra_d_r</f>
        <v>0.40197743999999996</v>
      </c>
      <c r="N65" s="194">
        <f t="shared" si="4"/>
        <v>0.44664159999999997</v>
      </c>
      <c r="O65" s="191">
        <f t="shared" si="5"/>
        <v>4.43</v>
      </c>
      <c r="P65" s="191">
        <f t="shared" si="1"/>
        <v>1.9786222879999997</v>
      </c>
      <c r="Q65" s="191"/>
      <c r="R65" s="191">
        <f>1/N65*[2]Pilotage!B$86</f>
        <v>0.62690085294338915</v>
      </c>
      <c r="S65" s="191">
        <f t="shared" si="6"/>
        <v>1.5672521323584727</v>
      </c>
      <c r="T65" s="192">
        <f t="shared" si="7"/>
        <v>0.94035127941508367</v>
      </c>
    </row>
    <row r="66" spans="1:20" x14ac:dyDescent="0.3">
      <c r="A66" s="179" t="s">
        <v>222</v>
      </c>
      <c r="B66" s="180" t="s">
        <v>57</v>
      </c>
      <c r="C66" s="181"/>
      <c r="D66" s="284">
        <f t="shared" si="0"/>
        <v>0.11111111111111112</v>
      </c>
      <c r="E66" s="183">
        <f>[2]Pilotage!C72</f>
        <v>0.1</v>
      </c>
      <c r="F66" s="184"/>
      <c r="G66" s="185"/>
      <c r="H66" s="185">
        <v>0.2</v>
      </c>
      <c r="I66" s="186">
        <f t="shared" si="2"/>
        <v>0.8</v>
      </c>
      <c r="J66" s="204" t="s">
        <v>259</v>
      </c>
      <c r="K66" s="187">
        <v>2.238931617654961</v>
      </c>
      <c r="L66" s="188">
        <f t="shared" si="17"/>
        <v>0.44664159999999997</v>
      </c>
      <c r="M66" s="189">
        <f>H66*[2]InfraDensité!infra_d_f+I66*[2]InfraDensité!infra_d_r</f>
        <v>0.40197743999999996</v>
      </c>
      <c r="N66" s="194">
        <f t="shared" si="4"/>
        <v>0.44664159999999997</v>
      </c>
      <c r="O66" s="191">
        <f t="shared" si="5"/>
        <v>4.43</v>
      </c>
      <c r="P66" s="191">
        <f t="shared" si="1"/>
        <v>1.9786222879999997</v>
      </c>
      <c r="Q66" s="191"/>
      <c r="R66" s="191">
        <f>1/N66*[2]Pilotage!B$86</f>
        <v>0.62690085294338915</v>
      </c>
      <c r="S66" s="191">
        <f t="shared" si="6"/>
        <v>1.5672521323584727</v>
      </c>
      <c r="T66" s="192">
        <f t="shared" si="7"/>
        <v>0.94035127941508367</v>
      </c>
    </row>
    <row r="67" spans="1:20" x14ac:dyDescent="0.3">
      <c r="A67" s="179" t="s">
        <v>222</v>
      </c>
      <c r="B67" s="180" t="s">
        <v>58</v>
      </c>
      <c r="C67" s="181"/>
      <c r="D67" s="284">
        <f t="shared" si="0"/>
        <v>7.0000000288900008E-2</v>
      </c>
      <c r="E67" s="183">
        <f>[2]Pilotage!C73</f>
        <v>6.5420561000000002E-2</v>
      </c>
      <c r="F67" s="183">
        <v>0.1</v>
      </c>
      <c r="G67" s="183"/>
      <c r="H67" s="185">
        <v>0.2</v>
      </c>
      <c r="I67" s="186">
        <f t="shared" si="2"/>
        <v>0.8</v>
      </c>
      <c r="J67" s="204" t="s">
        <v>259</v>
      </c>
      <c r="K67" s="187">
        <v>2.0924594551873361</v>
      </c>
      <c r="L67" s="188">
        <f t="shared" si="17"/>
        <v>0.47790651212903468</v>
      </c>
      <c r="M67" s="189">
        <f>H67*[2]InfraDensité!infra_d_f+I67*[2]InfraDensité!infra_d_r</f>
        <v>0.40197743999999996</v>
      </c>
      <c r="N67" s="194">
        <f t="shared" si="4"/>
        <v>0.47790651212903468</v>
      </c>
      <c r="O67" s="191">
        <f t="shared" si="5"/>
        <v>4.6271028022999996</v>
      </c>
      <c r="P67" s="191">
        <f t="shared" si="1"/>
        <v>2.2113225615096752</v>
      </c>
      <c r="Q67" s="191"/>
      <c r="R67" s="191">
        <f>1/N67*[2]Pilotage!B$86</f>
        <v>0.58588864745245417</v>
      </c>
      <c r="S67" s="191">
        <f t="shared" si="6"/>
        <v>1.4647216186311354</v>
      </c>
      <c r="T67" s="192">
        <f t="shared" si="7"/>
        <v>0.87883297117868131</v>
      </c>
    </row>
    <row r="68" spans="1:20" x14ac:dyDescent="0.3">
      <c r="A68" s="179" t="s">
        <v>222</v>
      </c>
      <c r="B68" s="180" t="s">
        <v>59</v>
      </c>
      <c r="C68" s="181"/>
      <c r="D68" s="284">
        <f t="shared" si="0"/>
        <v>7.0000000288900008E-2</v>
      </c>
      <c r="E68" s="183">
        <f>[2]Pilotage!C74</f>
        <v>6.5420561000000002E-2</v>
      </c>
      <c r="F68" s="183">
        <v>0.1</v>
      </c>
      <c r="G68" s="183"/>
      <c r="H68" s="185">
        <v>0.2</v>
      </c>
      <c r="I68" s="186">
        <f t="shared" si="2"/>
        <v>0.8</v>
      </c>
      <c r="J68" s="204" t="s">
        <v>259</v>
      </c>
      <c r="K68" s="187">
        <v>2.0924594551873361</v>
      </c>
      <c r="L68" s="188">
        <f t="shared" si="17"/>
        <v>0.47790651212903468</v>
      </c>
      <c r="M68" s="189">
        <f>H68*[2]InfraDensité!infra_d_f+I68*[2]InfraDensité!infra_d_r</f>
        <v>0.40197743999999996</v>
      </c>
      <c r="N68" s="194">
        <f t="shared" ref="N68:N69" si="18">IF(D68="&gt; saturation",M68/(1-0.3)/(1-F68),M68/(1-E68)/(1-F68))</f>
        <v>0.47790651212903468</v>
      </c>
      <c r="O68" s="191">
        <f t="shared" si="5"/>
        <v>4.6271028022999996</v>
      </c>
      <c r="P68" s="191">
        <f t="shared" si="1"/>
        <v>2.2113225615096752</v>
      </c>
      <c r="Q68" s="191"/>
      <c r="R68" s="191">
        <f>1/N68*[2]Pilotage!B$86</f>
        <v>0.58588864745245417</v>
      </c>
      <c r="S68" s="191">
        <f t="shared" ref="S68:S77" si="19">R68/0.4</f>
        <v>1.4647216186311354</v>
      </c>
      <c r="T68" s="192">
        <f t="shared" ref="T68:T77" si="20">R68*1.5</f>
        <v>0.87883297117868131</v>
      </c>
    </row>
    <row r="69" spans="1:20" x14ac:dyDescent="0.3">
      <c r="A69" s="179" t="s">
        <v>222</v>
      </c>
      <c r="B69" s="180" t="s">
        <v>37</v>
      </c>
      <c r="C69" s="211"/>
      <c r="D69" s="286">
        <f t="shared" si="0"/>
        <v>0.25</v>
      </c>
      <c r="E69" s="213">
        <f>[2]Pilotage!C75</f>
        <v>0.2</v>
      </c>
      <c r="F69" s="214"/>
      <c r="G69" s="215"/>
      <c r="H69" s="215">
        <v>0.2</v>
      </c>
      <c r="I69" s="216">
        <f t="shared" si="2"/>
        <v>0.8</v>
      </c>
      <c r="J69" s="217" t="s">
        <v>259</v>
      </c>
      <c r="K69" s="218">
        <v>1.9901614379155212</v>
      </c>
      <c r="L69" s="219">
        <f t="shared" si="17"/>
        <v>0.50247179999999991</v>
      </c>
      <c r="M69" s="220">
        <f>H69*[2]InfraDensité!infra_d_f+I69*[2]InfraDensité!infra_d_r</f>
        <v>0.40197743999999996</v>
      </c>
      <c r="N69" s="194">
        <f t="shared" si="18"/>
        <v>0.50247179999999991</v>
      </c>
      <c r="O69" s="191">
        <f t="shared" si="5"/>
        <v>3.86</v>
      </c>
      <c r="P69" s="191">
        <f t="shared" si="1"/>
        <v>1.9395411479999995</v>
      </c>
      <c r="Q69" s="191"/>
      <c r="R69" s="191">
        <f>1-(0.3-D69)*(H69*[2]Retrait!retrait_v_f+I69*[2]Retrait!retrait_v_r)</f>
        <v>0.97840499999999997</v>
      </c>
      <c r="S69" s="191">
        <f t="shared" si="19"/>
        <v>2.4460124999999997</v>
      </c>
      <c r="T69" s="192">
        <f t="shared" si="20"/>
        <v>1.4676075</v>
      </c>
    </row>
    <row r="70" spans="1:20" ht="14.1" customHeight="1" x14ac:dyDescent="0.3">
      <c r="A70" s="221" t="s">
        <v>268</v>
      </c>
      <c r="B70" s="222" t="s">
        <v>17</v>
      </c>
      <c r="C70" s="181" t="s">
        <v>269</v>
      </c>
      <c r="D70" s="223">
        <v>0.66700000000000004</v>
      </c>
      <c r="E70" s="183">
        <f>[2]Pilotage!C76</f>
        <v>0.4</v>
      </c>
      <c r="F70" s="184"/>
      <c r="G70" s="184"/>
      <c r="H70" s="186">
        <v>0.2</v>
      </c>
      <c r="I70" s="186">
        <v>0.8</v>
      </c>
      <c r="J70" s="204" t="s">
        <v>259</v>
      </c>
      <c r="K70" s="187">
        <v>1.4926210784366407</v>
      </c>
      <c r="L70" s="188">
        <f>N70</f>
        <v>0.66996239999999996</v>
      </c>
      <c r="M70" s="189">
        <f>H70*[2]InfraDensité!infra_d_f+I70*[2]InfraDensité!infra_d_r</f>
        <v>0.40197743999999996</v>
      </c>
      <c r="N70" s="191">
        <f>IF(D70="&gt; saturation",M70/(1-0.4)/(1-F70),M70/(1-E70)/(1-F70))</f>
        <v>0.66996239999999996</v>
      </c>
      <c r="O70" s="224">
        <f t="shared" ref="O70:O73" si="21">5*(1-E70)-0.7*E70</f>
        <v>2.72</v>
      </c>
      <c r="P70" s="224">
        <f t="shared" ref="P70:P73" si="22">O70*N70</f>
        <v>1.8222977280000001</v>
      </c>
      <c r="Q70" s="225"/>
      <c r="R70" s="224">
        <v>1</v>
      </c>
      <c r="S70" s="191">
        <f t="shared" si="19"/>
        <v>2.5</v>
      </c>
      <c r="T70" s="192">
        <f t="shared" si="20"/>
        <v>1.5</v>
      </c>
    </row>
    <row r="71" spans="1:20" x14ac:dyDescent="0.3">
      <c r="A71" s="179" t="s">
        <v>268</v>
      </c>
      <c r="B71" s="180" t="s">
        <v>38</v>
      </c>
      <c r="C71" s="181" t="s">
        <v>269</v>
      </c>
      <c r="D71" s="201">
        <f>E71/(1-E71)</f>
        <v>0.17647058823529413</v>
      </c>
      <c r="E71" s="183">
        <f>[2]Pilotage!C77</f>
        <v>0.15</v>
      </c>
      <c r="F71" s="184"/>
      <c r="G71" s="185"/>
      <c r="H71" s="186">
        <v>0.2</v>
      </c>
      <c r="I71" s="185">
        <v>0.8</v>
      </c>
      <c r="J71" s="204" t="s">
        <v>259</v>
      </c>
      <c r="K71" s="187">
        <v>2.1145465277852411</v>
      </c>
      <c r="L71" s="188">
        <f t="shared" ref="L71:L77" si="23">N71</f>
        <v>0.47291463529411759</v>
      </c>
      <c r="M71" s="189">
        <f>H71*[2]InfraDensité!infra_d_f+I71*[2]InfraDensité!infra_d_r</f>
        <v>0.40197743999999996</v>
      </c>
      <c r="N71" s="191">
        <f t="shared" ref="N71:N77" si="24">IF(D71="&gt; saturation",M71/(1-0.4)/(1-F71),M71/(1-E71)/(1-F71))</f>
        <v>0.47291463529411759</v>
      </c>
      <c r="O71" s="191">
        <f t="shared" si="21"/>
        <v>4.1449999999999996</v>
      </c>
      <c r="P71" s="191">
        <f t="shared" si="22"/>
        <v>1.9602311632941172</v>
      </c>
      <c r="Q71" s="226"/>
      <c r="R71" s="191">
        <f>1-(0.3-D71)*(H71*[2]Retrait!retrait_v_f+I71*[2]Retrait!retrait_v_r)</f>
        <v>0.94664764705882354</v>
      </c>
      <c r="S71" s="191">
        <f t="shared" si="19"/>
        <v>2.3666191176470588</v>
      </c>
      <c r="T71" s="192">
        <f t="shared" si="20"/>
        <v>1.4199714705882354</v>
      </c>
    </row>
    <row r="72" spans="1:20" x14ac:dyDescent="0.3">
      <c r="A72" s="179" t="s">
        <v>268</v>
      </c>
      <c r="B72" s="180" t="s">
        <v>45</v>
      </c>
      <c r="C72" s="181" t="s">
        <v>269</v>
      </c>
      <c r="D72" s="201">
        <v>0.25</v>
      </c>
      <c r="E72" s="183">
        <f>[2]Pilotage!C78</f>
        <v>0.2</v>
      </c>
      <c r="F72" s="184"/>
      <c r="G72" s="185"/>
      <c r="H72" s="185">
        <v>0.2</v>
      </c>
      <c r="I72" s="185">
        <v>0.8</v>
      </c>
      <c r="J72" s="204" t="s">
        <v>259</v>
      </c>
      <c r="K72" s="187">
        <v>1.9901614379155212</v>
      </c>
      <c r="L72" s="188">
        <f t="shared" si="23"/>
        <v>0.50247179999999991</v>
      </c>
      <c r="M72" s="189">
        <f>H72*[2]InfraDensité!infra_d_f+I72*[2]InfraDensité!infra_d_r</f>
        <v>0.40197743999999996</v>
      </c>
      <c r="N72" s="191">
        <f t="shared" si="24"/>
        <v>0.50247179999999991</v>
      </c>
      <c r="O72" s="191">
        <f t="shared" si="21"/>
        <v>3.86</v>
      </c>
      <c r="P72" s="191">
        <f t="shared" si="22"/>
        <v>1.9395411479999995</v>
      </c>
      <c r="Q72" s="227"/>
      <c r="R72" s="191">
        <f>1-(0.3-D72)*(H72*[2]Retrait!retrait_v_f+I72*[2]Retrait!retrait_v_r)</f>
        <v>0.97840499999999997</v>
      </c>
      <c r="S72" s="191">
        <f t="shared" si="19"/>
        <v>2.4460124999999997</v>
      </c>
      <c r="T72" s="192">
        <f t="shared" si="20"/>
        <v>1.4676075</v>
      </c>
    </row>
    <row r="73" spans="1:20" x14ac:dyDescent="0.3">
      <c r="A73" s="179" t="s">
        <v>268</v>
      </c>
      <c r="B73" s="180" t="s">
        <v>24</v>
      </c>
      <c r="C73" s="181" t="s">
        <v>269</v>
      </c>
      <c r="D73" s="201">
        <v>0.55000000000000004</v>
      </c>
      <c r="E73" s="183">
        <f>[2]Pilotage!C79</f>
        <v>0.35</v>
      </c>
      <c r="F73" s="184"/>
      <c r="G73" s="185"/>
      <c r="H73" s="185">
        <v>0.2</v>
      </c>
      <c r="I73" s="185">
        <v>0.8</v>
      </c>
      <c r="J73" s="204" t="s">
        <v>259</v>
      </c>
      <c r="K73" s="187">
        <v>1.617006168306361</v>
      </c>
      <c r="L73" s="188">
        <f t="shared" si="23"/>
        <v>0.61842683076923066</v>
      </c>
      <c r="M73" s="189">
        <f>H73*[2]InfraDensité!infra_d_f+I73*[2]InfraDensité!infra_d_r</f>
        <v>0.40197743999999996</v>
      </c>
      <c r="N73" s="191">
        <f t="shared" si="24"/>
        <v>0.61842683076923066</v>
      </c>
      <c r="O73" s="191">
        <f t="shared" si="21"/>
        <v>3.0049999999999999</v>
      </c>
      <c r="P73" s="191">
        <f t="shared" si="22"/>
        <v>1.8583726264615381</v>
      </c>
      <c r="Q73" s="227"/>
      <c r="R73" s="228"/>
      <c r="S73" s="191">
        <f t="shared" si="19"/>
        <v>0</v>
      </c>
      <c r="T73" s="192">
        <f t="shared" si="20"/>
        <v>0</v>
      </c>
    </row>
    <row r="74" spans="1:20" x14ac:dyDescent="0.3">
      <c r="A74" s="179" t="s">
        <v>268</v>
      </c>
      <c r="B74" s="208" t="s">
        <v>46</v>
      </c>
      <c r="C74" s="181" t="s">
        <v>269</v>
      </c>
      <c r="D74" s="201">
        <v>7.0000000000000007E-2</v>
      </c>
      <c r="E74" s="183">
        <f>[2]Pilotage!C80</f>
        <v>6.5420561000000002E-2</v>
      </c>
      <c r="F74" s="207">
        <f>F57</f>
        <v>3.9E-2</v>
      </c>
      <c r="G74" s="210">
        <f>G57</f>
        <v>0.71350000000000002</v>
      </c>
      <c r="H74" s="185">
        <v>0.2</v>
      </c>
      <c r="I74" s="185">
        <v>0.8</v>
      </c>
      <c r="J74" s="204" t="s">
        <v>259</v>
      </c>
      <c r="K74" s="187">
        <v>1.5625882812963106</v>
      </c>
      <c r="L74" s="188">
        <f t="shared" si="23"/>
        <v>0.44757113518848207</v>
      </c>
      <c r="M74" s="189">
        <f>H74*[2]InfraDensité!infra_d_f+I74*[2]InfraDensité!infra_d_r</f>
        <v>0.40197743999999996</v>
      </c>
      <c r="N74" s="191">
        <f t="shared" si="24"/>
        <v>0.44757113518848207</v>
      </c>
      <c r="O74" s="191">
        <f>O57</f>
        <v>4.6271028022999996</v>
      </c>
      <c r="P74" s="191">
        <f>P57</f>
        <v>2.0709576538592174</v>
      </c>
      <c r="Q74" s="227"/>
      <c r="R74" s="191">
        <f>R57</f>
        <v>0.63996384202395795</v>
      </c>
      <c r="S74" s="191">
        <f t="shared" si="19"/>
        <v>1.5999096050598949</v>
      </c>
      <c r="T74" s="192">
        <f t="shared" si="20"/>
        <v>0.95994576303593693</v>
      </c>
    </row>
    <row r="75" spans="1:20" x14ac:dyDescent="0.3">
      <c r="A75" s="179" t="s">
        <v>268</v>
      </c>
      <c r="B75" s="208" t="s">
        <v>54</v>
      </c>
      <c r="C75" s="181" t="s">
        <v>269</v>
      </c>
      <c r="D75" s="201">
        <v>0.111</v>
      </c>
      <c r="E75" s="183">
        <f>[2]Pilotage!C81</f>
        <v>0.1</v>
      </c>
      <c r="F75" s="206"/>
      <c r="G75" s="209"/>
      <c r="H75" s="185">
        <v>0.2</v>
      </c>
      <c r="I75" s="185">
        <v>0.8</v>
      </c>
      <c r="J75" s="204" t="s">
        <v>259</v>
      </c>
      <c r="K75" s="187">
        <v>2.238931617654961</v>
      </c>
      <c r="L75" s="188">
        <f t="shared" si="23"/>
        <v>0.44664159999999997</v>
      </c>
      <c r="M75" s="189">
        <f>H75*[2]InfraDensité!infra_d_f+I75*[2]InfraDensité!infra_d_r</f>
        <v>0.40197743999999996</v>
      </c>
      <c r="N75" s="191">
        <f t="shared" si="24"/>
        <v>0.44664159999999997</v>
      </c>
      <c r="O75" s="191">
        <f>5*(1-E75)-0.7*E75</f>
        <v>4.43</v>
      </c>
      <c r="P75" s="191">
        <f>O75*N75</f>
        <v>1.9786222879999997</v>
      </c>
      <c r="Q75" s="227"/>
      <c r="R75" s="229"/>
      <c r="S75" s="191">
        <f t="shared" si="19"/>
        <v>0</v>
      </c>
      <c r="T75" s="192">
        <f t="shared" si="20"/>
        <v>0</v>
      </c>
    </row>
    <row r="76" spans="1:20" x14ac:dyDescent="0.3">
      <c r="A76" s="179" t="s">
        <v>268</v>
      </c>
      <c r="B76" s="180" t="s">
        <v>58</v>
      </c>
      <c r="C76" s="181" t="s">
        <v>269</v>
      </c>
      <c r="D76" s="201">
        <v>7.0000000000000007E-2</v>
      </c>
      <c r="E76" s="183">
        <f>[2]Pilotage!C82</f>
        <v>6.5420561000000002E-2</v>
      </c>
      <c r="F76" s="183">
        <v>0.1</v>
      </c>
      <c r="G76" s="183"/>
      <c r="H76" s="185">
        <v>0.2</v>
      </c>
      <c r="I76" s="185">
        <v>0.8</v>
      </c>
      <c r="J76" s="204" t="s">
        <v>259</v>
      </c>
      <c r="K76" s="187">
        <v>2.0924594551873361</v>
      </c>
      <c r="L76" s="188">
        <f t="shared" si="23"/>
        <v>0.47790651212903468</v>
      </c>
      <c r="M76" s="189">
        <f>H76*[2]InfraDensité!infra_d_f+I76*[2]InfraDensité!infra_d_r</f>
        <v>0.40197743999999996</v>
      </c>
      <c r="N76" s="191">
        <f t="shared" si="24"/>
        <v>0.47790651212903468</v>
      </c>
      <c r="O76" s="191">
        <f>5*(1-E76)-0.7*E76</f>
        <v>4.6271028022999996</v>
      </c>
      <c r="P76" s="191">
        <f>O76*N76</f>
        <v>2.2113225615096752</v>
      </c>
      <c r="Q76" s="227"/>
      <c r="R76" s="229"/>
      <c r="S76" s="191">
        <f t="shared" si="19"/>
        <v>0</v>
      </c>
      <c r="T76" s="192">
        <f t="shared" si="20"/>
        <v>0</v>
      </c>
    </row>
    <row r="77" spans="1:20" x14ac:dyDescent="0.3">
      <c r="A77" s="230" t="s">
        <v>268</v>
      </c>
      <c r="B77" s="231" t="s">
        <v>59</v>
      </c>
      <c r="C77" s="211" t="s">
        <v>269</v>
      </c>
      <c r="D77" s="232">
        <v>7.0000000000000007E-2</v>
      </c>
      <c r="E77" s="183">
        <f>[2]Pilotage!C83</f>
        <v>6.5420561000000002E-2</v>
      </c>
      <c r="F77" s="213">
        <v>0.1</v>
      </c>
      <c r="G77" s="213"/>
      <c r="H77" s="215">
        <v>0.2</v>
      </c>
      <c r="I77" s="215">
        <v>0.8</v>
      </c>
      <c r="J77" s="204" t="s">
        <v>259</v>
      </c>
      <c r="K77" s="218">
        <v>2.0924594551873361</v>
      </c>
      <c r="L77" s="188">
        <f t="shared" si="23"/>
        <v>0.47790651212903468</v>
      </c>
      <c r="M77" s="220">
        <f>H77*[2]InfraDensité!infra_d_f+I77*[2]InfraDensité!infra_d_r</f>
        <v>0.40197743999999996</v>
      </c>
      <c r="N77" s="191">
        <f t="shared" si="24"/>
        <v>0.47790651212903468</v>
      </c>
      <c r="O77" s="233">
        <f>5*(1-E77)-0.7*E77</f>
        <v>4.6271028022999996</v>
      </c>
      <c r="P77" s="233">
        <f>O77*N77</f>
        <v>2.2113225615096752</v>
      </c>
      <c r="Q77" s="234"/>
      <c r="R77" s="235"/>
      <c r="S77" s="191">
        <f t="shared" si="19"/>
        <v>0</v>
      </c>
      <c r="T77" s="192">
        <f t="shared" si="20"/>
        <v>0</v>
      </c>
    </row>
    <row r="78" spans="1:20" x14ac:dyDescent="0.3">
      <c r="A78" s="201" t="s">
        <v>268</v>
      </c>
      <c r="B78" s="180" t="s">
        <v>36</v>
      </c>
      <c r="C78" s="201"/>
      <c r="D78" s="201"/>
      <c r="E78" s="201"/>
      <c r="F78" s="201"/>
      <c r="G78" s="201"/>
      <c r="H78" s="201"/>
      <c r="I78" s="201"/>
      <c r="J78" s="201"/>
      <c r="K78" s="201"/>
      <c r="L78" s="201"/>
      <c r="M78" s="201"/>
      <c r="N78" s="201"/>
      <c r="O78" s="201"/>
      <c r="P78" s="201"/>
      <c r="Q78" s="201"/>
      <c r="R78" s="201"/>
      <c r="S78" s="201"/>
      <c r="T78" s="191"/>
    </row>
    <row r="79" spans="1:20" x14ac:dyDescent="0.3">
      <c r="A79" s="201"/>
      <c r="B79" s="201"/>
      <c r="C79" s="201"/>
      <c r="D79" s="201"/>
      <c r="E79" s="201"/>
      <c r="F79" s="201"/>
      <c r="G79" s="201"/>
      <c r="H79" s="201"/>
      <c r="I79" s="201"/>
      <c r="J79" s="201"/>
      <c r="K79" s="201"/>
      <c r="L79" s="201"/>
      <c r="M79" s="201"/>
      <c r="N79" s="201"/>
      <c r="O79" s="201"/>
      <c r="P79" s="201"/>
      <c r="Q79" s="201"/>
      <c r="R79" s="201"/>
      <c r="S79" s="201"/>
      <c r="T79" s="191"/>
    </row>
    <row r="80" spans="1:20" x14ac:dyDescent="0.3">
      <c r="A80" s="201"/>
      <c r="B80" s="201"/>
      <c r="C80" s="201"/>
      <c r="D80" s="201"/>
      <c r="E80" s="201"/>
      <c r="F80" s="201"/>
      <c r="G80" s="201"/>
      <c r="H80" s="201"/>
      <c r="I80" s="201"/>
      <c r="J80" s="201"/>
      <c r="K80" s="201"/>
      <c r="L80" s="201"/>
      <c r="M80" s="201"/>
      <c r="N80" s="201"/>
      <c r="O80" s="201"/>
      <c r="P80" s="201"/>
      <c r="Q80" s="201"/>
      <c r="R80" s="201"/>
      <c r="S80" s="201"/>
      <c r="T80" s="191"/>
    </row>
    <row r="81" spans="1:20" ht="24.75" x14ac:dyDescent="0.3">
      <c r="A81" s="236" t="s">
        <v>270</v>
      </c>
      <c r="B81" s="237" t="s">
        <v>26</v>
      </c>
      <c r="H81" s="239">
        <v>0.28000000000000003</v>
      </c>
      <c r="I81" s="201">
        <v>0.72</v>
      </c>
      <c r="J81" s="204" t="s">
        <v>271</v>
      </c>
      <c r="L81" s="189">
        <v>0.43740590400000001</v>
      </c>
      <c r="M81" s="189">
        <f>H81*[2]InfraDensité!infra_d_f+I81*[2]InfraDensité!infra_d_r</f>
        <v>0.41290041599999994</v>
      </c>
      <c r="R81" s="197"/>
      <c r="T81" s="191"/>
    </row>
    <row r="82" spans="1:20" ht="24.75" x14ac:dyDescent="0.35">
      <c r="A82" s="236" t="s">
        <v>270</v>
      </c>
      <c r="B82" s="241" t="s">
        <v>27</v>
      </c>
      <c r="H82" s="239">
        <v>1</v>
      </c>
      <c r="J82" s="204" t="s">
        <v>271</v>
      </c>
      <c r="L82" s="189">
        <v>0.57488039999999996</v>
      </c>
      <c r="M82" s="189">
        <f>H82*[2]InfraDensité!infra_d_f+I82*[2]InfraDensité!infra_d_r</f>
        <v>0.51120719999999997</v>
      </c>
      <c r="R82" s="197"/>
      <c r="T82" s="191"/>
    </row>
    <row r="83" spans="1:20" ht="24.75" x14ac:dyDescent="0.35">
      <c r="A83" s="236" t="s">
        <v>270</v>
      </c>
      <c r="B83" s="241" t="s">
        <v>28</v>
      </c>
      <c r="I83" s="201">
        <v>1</v>
      </c>
      <c r="J83" s="204" t="s">
        <v>271</v>
      </c>
      <c r="L83" s="189">
        <v>0.3839436</v>
      </c>
      <c r="M83" s="189">
        <f>H83*[2]InfraDensité!infra_d_f+I83*[2]InfraDensité!infra_d_r</f>
        <v>0.37466999999999995</v>
      </c>
      <c r="R83" s="197"/>
      <c r="T83" s="191"/>
    </row>
    <row r="84" spans="1:20" ht="24.75" x14ac:dyDescent="0.3">
      <c r="A84" s="236" t="s">
        <v>270</v>
      </c>
      <c r="B84" s="237" t="s">
        <v>29</v>
      </c>
      <c r="H84" s="239">
        <v>0.1</v>
      </c>
      <c r="I84" s="201">
        <v>0.9</v>
      </c>
      <c r="J84" s="204" t="s">
        <v>271</v>
      </c>
      <c r="L84" s="189">
        <v>0.45840895199999998</v>
      </c>
      <c r="M84" s="189">
        <f>H84*[2]InfraDensité!infra_d_f+I84*[2]InfraDensité!infra_d_r</f>
        <v>0.38832371999999998</v>
      </c>
      <c r="R84" s="197"/>
      <c r="T84" s="191"/>
    </row>
    <row r="85" spans="1:20" ht="24.75" x14ac:dyDescent="0.35">
      <c r="A85" s="236" t="s">
        <v>270</v>
      </c>
      <c r="B85" s="241" t="s">
        <v>30</v>
      </c>
      <c r="H85" s="239">
        <v>0.1</v>
      </c>
      <c r="I85" s="201">
        <v>0.9</v>
      </c>
      <c r="J85" s="204" t="s">
        <v>271</v>
      </c>
      <c r="L85" s="189">
        <v>0.45840895199999998</v>
      </c>
      <c r="M85" s="189">
        <f>H85*[2]InfraDensité!infra_d_f+I85*[2]InfraDensité!infra_d_r</f>
        <v>0.38832371999999998</v>
      </c>
      <c r="R85" s="197"/>
      <c r="T85" s="191"/>
    </row>
    <row r="86" spans="1:20" ht="24.75" x14ac:dyDescent="0.3">
      <c r="A86" s="236" t="s">
        <v>270</v>
      </c>
      <c r="B86" s="237" t="s">
        <v>31</v>
      </c>
      <c r="H86" s="239">
        <v>1</v>
      </c>
      <c r="J86" s="204" t="s">
        <v>271</v>
      </c>
      <c r="L86" s="189">
        <v>0.57488039999999996</v>
      </c>
      <c r="M86" s="189">
        <f>H86*[2]InfraDensité!infra_d_f+I86*[2]InfraDensité!infra_d_r</f>
        <v>0.51120719999999997</v>
      </c>
      <c r="R86" s="197"/>
      <c r="T86" s="191"/>
    </row>
    <row r="87" spans="1:20" ht="24.75" x14ac:dyDescent="0.3">
      <c r="A87" s="236" t="s">
        <v>270</v>
      </c>
      <c r="B87" s="237" t="s">
        <v>32</v>
      </c>
      <c r="I87" s="201">
        <v>1</v>
      </c>
      <c r="J87" s="204" t="s">
        <v>271</v>
      </c>
      <c r="L87" s="189">
        <v>0.3839436</v>
      </c>
      <c r="M87" s="189">
        <f>H87*[2]InfraDensité!infra_d_f+I87*[2]InfraDensité!infra_d_r</f>
        <v>0.37466999999999995</v>
      </c>
      <c r="R87" s="197"/>
      <c r="T87" s="191"/>
    </row>
    <row r="88" spans="1:20" ht="24.75" x14ac:dyDescent="0.3">
      <c r="A88" s="236" t="s">
        <v>270</v>
      </c>
      <c r="B88" s="237" t="s">
        <v>34</v>
      </c>
      <c r="H88" s="239">
        <v>1</v>
      </c>
      <c r="J88" s="204" t="s">
        <v>271</v>
      </c>
      <c r="L88" s="189">
        <v>0.57488039999999996</v>
      </c>
      <c r="M88" s="189">
        <f>H88*[2]InfraDensité!infra_d_f+I88*[2]InfraDensité!infra_d_r</f>
        <v>0.51120719999999997</v>
      </c>
      <c r="R88" s="197"/>
    </row>
    <row r="89" spans="1:20" ht="24.75" x14ac:dyDescent="0.3">
      <c r="A89" s="236" t="s">
        <v>270</v>
      </c>
      <c r="B89" s="237" t="s">
        <v>35</v>
      </c>
      <c r="I89" s="201">
        <v>1</v>
      </c>
      <c r="J89" s="204" t="s">
        <v>271</v>
      </c>
      <c r="L89" s="189">
        <v>0.3839436</v>
      </c>
      <c r="M89" s="189">
        <f>H89*[2]InfraDensité!infra_d_f+I89*[2]InfraDensité!infra_d_r</f>
        <v>0.37466999999999995</v>
      </c>
      <c r="R89" s="197"/>
    </row>
    <row r="90" spans="1:20" ht="24.75" x14ac:dyDescent="0.3">
      <c r="A90" s="236" t="s">
        <v>270</v>
      </c>
      <c r="B90" s="237" t="s">
        <v>39</v>
      </c>
      <c r="H90" s="239">
        <v>0.1</v>
      </c>
      <c r="I90" s="201">
        <v>0.9</v>
      </c>
      <c r="J90" s="204" t="s">
        <v>271</v>
      </c>
      <c r="L90" s="189">
        <v>0.43549653599999999</v>
      </c>
      <c r="M90" s="189">
        <f>H90*[2]InfraDensité!infra_d_f+I90*[2]InfraDensité!infra_d_r</f>
        <v>0.38832371999999998</v>
      </c>
      <c r="R90" s="197"/>
    </row>
    <row r="91" spans="1:20" ht="24.75" x14ac:dyDescent="0.3">
      <c r="A91" s="236" t="s">
        <v>270</v>
      </c>
      <c r="B91" s="242" t="s">
        <v>272</v>
      </c>
      <c r="H91" s="239">
        <v>1</v>
      </c>
      <c r="J91" s="204" t="s">
        <v>271</v>
      </c>
      <c r="L91" s="189">
        <v>0.57488039999999996</v>
      </c>
      <c r="M91" s="189">
        <f>H91*[2]InfraDensité!infra_d_f+I91*[2]InfraDensité!infra_d_r</f>
        <v>0.51120719999999997</v>
      </c>
      <c r="R91" s="197"/>
    </row>
    <row r="92" spans="1:20" ht="24.75" x14ac:dyDescent="0.3">
      <c r="A92" s="236" t="s">
        <v>270</v>
      </c>
      <c r="B92" s="242" t="s">
        <v>273</v>
      </c>
      <c r="I92" s="201">
        <v>1</v>
      </c>
      <c r="J92" s="204" t="s">
        <v>271</v>
      </c>
      <c r="L92" s="189">
        <v>0.3839436</v>
      </c>
      <c r="M92" s="189">
        <f>H92*[2]InfraDensité!infra_d_f+I92*[2]InfraDensité!infra_d_r</f>
        <v>0.37466999999999995</v>
      </c>
      <c r="R92" s="197"/>
    </row>
    <row r="93" spans="1:20" ht="24.75" x14ac:dyDescent="0.3">
      <c r="A93" s="236" t="s">
        <v>270</v>
      </c>
      <c r="B93" s="242" t="s">
        <v>159</v>
      </c>
      <c r="H93" s="239">
        <v>0.8</v>
      </c>
      <c r="I93" s="201">
        <v>0.2</v>
      </c>
      <c r="J93" s="204" t="s">
        <v>271</v>
      </c>
      <c r="L93" s="189">
        <v>0.52332746399999996</v>
      </c>
      <c r="M93" s="189">
        <f>H93*[2]InfraDensité!infra_d_f+I93*[2]InfraDensité!infra_d_r</f>
        <v>0.48389976000000001</v>
      </c>
      <c r="R93" s="197"/>
    </row>
    <row r="94" spans="1:20" ht="24.75" x14ac:dyDescent="0.3">
      <c r="A94" s="236" t="s">
        <v>270</v>
      </c>
      <c r="B94" s="242" t="s">
        <v>160</v>
      </c>
      <c r="H94" s="239">
        <v>0.8</v>
      </c>
      <c r="I94" s="201">
        <v>0.2</v>
      </c>
      <c r="J94" s="204" t="s">
        <v>271</v>
      </c>
      <c r="L94" s="189">
        <v>0.52332746399999996</v>
      </c>
      <c r="M94" s="189">
        <f>H94*[2]InfraDensité!infra_d_f+I94*[2]InfraDensité!infra_d_r</f>
        <v>0.48389976000000001</v>
      </c>
      <c r="R94" s="197"/>
    </row>
    <row r="95" spans="1:20" ht="24.75" x14ac:dyDescent="0.35">
      <c r="A95" s="236" t="s">
        <v>270</v>
      </c>
      <c r="B95" s="243" t="s">
        <v>62</v>
      </c>
      <c r="H95" s="239">
        <v>1</v>
      </c>
      <c r="J95" s="204" t="s">
        <v>271</v>
      </c>
      <c r="L95" s="189">
        <v>0.57488039999999996</v>
      </c>
      <c r="M95" s="189">
        <f>H95*[2]InfraDensité!infra_d_f+I95*[2]InfraDensité!infra_d_r</f>
        <v>0.51120719999999997</v>
      </c>
      <c r="R95" s="197"/>
    </row>
    <row r="96" spans="1:20" ht="24.75" x14ac:dyDescent="0.3">
      <c r="A96" s="236" t="s">
        <v>270</v>
      </c>
      <c r="B96" s="242" t="s">
        <v>63</v>
      </c>
      <c r="H96" s="239">
        <v>1</v>
      </c>
      <c r="J96" s="204" t="s">
        <v>271</v>
      </c>
      <c r="L96" s="189">
        <v>0.57488039999999996</v>
      </c>
      <c r="M96" s="189">
        <f>H96*[2]InfraDensité!infra_d_f+I96*[2]InfraDensité!infra_d_r</f>
        <v>0.51120719999999997</v>
      </c>
      <c r="R96" s="197"/>
    </row>
    <row r="97" spans="1:18" ht="24.75" x14ac:dyDescent="0.35">
      <c r="A97" s="236" t="s">
        <v>270</v>
      </c>
      <c r="B97" s="243" t="s">
        <v>64</v>
      </c>
      <c r="I97" s="201">
        <v>1</v>
      </c>
      <c r="J97" s="204" t="s">
        <v>271</v>
      </c>
      <c r="L97" s="189">
        <v>0.3839436</v>
      </c>
      <c r="M97" s="189">
        <f>H97*[2]InfraDensité!infra_d_f+I97*[2]InfraDensité!infra_d_r</f>
        <v>0.37466999999999995</v>
      </c>
      <c r="R97" s="197"/>
    </row>
    <row r="98" spans="1:18" ht="24.75" x14ac:dyDescent="0.3">
      <c r="A98" s="236" t="s">
        <v>270</v>
      </c>
      <c r="B98" s="244" t="s">
        <v>65</v>
      </c>
      <c r="C98" s="245"/>
      <c r="D98" s="245"/>
      <c r="E98" s="245"/>
      <c r="F98" s="245"/>
      <c r="G98" s="246"/>
      <c r="H98" s="246"/>
      <c r="I98" s="232">
        <v>1</v>
      </c>
      <c r="J98" s="204" t="s">
        <v>271</v>
      </c>
      <c r="K98" s="245"/>
      <c r="L98" s="220">
        <v>0.3839436</v>
      </c>
      <c r="M98" s="189">
        <f>H98*[2]InfraDensité!infra_d_f+I98*[2]InfraDensité!infra_d_r</f>
        <v>0.37466999999999995</v>
      </c>
      <c r="N98" s="245"/>
      <c r="O98" s="247"/>
      <c r="P98" s="247"/>
      <c r="Q98" s="247"/>
      <c r="R98" s="248"/>
    </row>
  </sheetData>
  <mergeCells count="1">
    <mergeCell ref="A2:B2"/>
  </mergeCells>
  <conditionalFormatting sqref="B3:C38 F4:G25 G26 G29 B39:B41">
    <cfRule type="cellIs" dxfId="1" priority="2" stopIfTrue="1" operator="equal">
      <formula>"NULL"</formula>
    </cfRule>
  </conditionalFormatting>
  <conditionalFormatting sqref="B42:C80">
    <cfRule type="cellIs" dxfId="0" priority="1" stopIfTrue="1" operator="equal">
      <formula>"NULL"</formula>
    </cfRule>
  </conditionalFormatting>
  <pageMargins left="0.75" right="0.75" top="1" bottom="1" header="0.5" footer="0.5"/>
  <pageSetup paperSize="9" scale="45" fitToWidth="0"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J118"/>
  <sheetViews>
    <sheetView workbookViewId="0">
      <pane ySplit="1" topLeftCell="A77" activePane="bottomLeft" state="frozen"/>
      <selection pane="bottomLeft" activeCell="D91" sqref="D91"/>
    </sheetView>
  </sheetViews>
  <sheetFormatPr baseColWidth="10" defaultColWidth="9" defaultRowHeight="12.4" outlineLevelRow="4" x14ac:dyDescent="0.3"/>
  <cols>
    <col min="1" max="1" width="28" customWidth="1"/>
    <col min="2" max="2" width="43" customWidth="1"/>
    <col min="3" max="3" width="7.87890625" bestFit="1" customWidth="1"/>
    <col min="4" max="5" width="8.76171875" bestFit="1" customWidth="1"/>
    <col min="6" max="6" width="35" bestFit="1" customWidth="1"/>
    <col min="7" max="7" width="14.3515625" bestFit="1" customWidth="1"/>
    <col min="9" max="9" width="14.3515625" bestFit="1" customWidth="1"/>
    <col min="10" max="10" width="23.64453125" bestFit="1" customWidth="1"/>
  </cols>
  <sheetData>
    <row r="1" spans="1:10" ht="37.15" x14ac:dyDescent="0.3">
      <c r="A1" s="42" t="s">
        <v>9</v>
      </c>
      <c r="B1" s="42" t="s">
        <v>10</v>
      </c>
      <c r="C1" s="42" t="s">
        <v>115</v>
      </c>
      <c r="D1" s="42" t="s">
        <v>118</v>
      </c>
      <c r="E1" s="42" t="s">
        <v>119</v>
      </c>
      <c r="F1" s="42" t="s">
        <v>109</v>
      </c>
      <c r="G1" s="42" t="s">
        <v>112</v>
      </c>
      <c r="H1" s="85" t="s">
        <v>197</v>
      </c>
    </row>
    <row r="2" spans="1:10" x14ac:dyDescent="0.3">
      <c r="A2" s="26">
        <v>1</v>
      </c>
      <c r="B2" s="27" t="s">
        <v>11</v>
      </c>
      <c r="C2" s="27" t="s">
        <v>120</v>
      </c>
      <c r="D2" s="27"/>
      <c r="E2" s="27"/>
      <c r="F2" s="27" t="s">
        <v>125</v>
      </c>
      <c r="G2" s="27" t="s">
        <v>121</v>
      </c>
      <c r="H2" s="43">
        <v>1</v>
      </c>
    </row>
    <row r="3" spans="1:10" x14ac:dyDescent="0.3">
      <c r="A3" s="35">
        <v>1</v>
      </c>
      <c r="B3" s="35" t="s">
        <v>12</v>
      </c>
      <c r="C3" s="35">
        <v>1</v>
      </c>
      <c r="D3" s="35"/>
      <c r="E3" s="35"/>
      <c r="F3" s="35" t="s">
        <v>125</v>
      </c>
      <c r="G3" s="35" t="s">
        <v>121</v>
      </c>
      <c r="H3" s="43">
        <v>1</v>
      </c>
      <c r="I3" t="s">
        <v>121</v>
      </c>
      <c r="J3" s="17" t="s">
        <v>124</v>
      </c>
    </row>
    <row r="4" spans="1:10" outlineLevel="1" x14ac:dyDescent="0.3">
      <c r="A4" s="36">
        <v>2</v>
      </c>
      <c r="B4" s="5" t="s">
        <v>13</v>
      </c>
      <c r="C4" s="5">
        <v>2</v>
      </c>
      <c r="D4" s="5"/>
      <c r="E4" s="5"/>
      <c r="F4" s="5" t="s">
        <v>125</v>
      </c>
      <c r="G4" s="5" t="s">
        <v>122</v>
      </c>
      <c r="H4" s="43">
        <v>1</v>
      </c>
      <c r="I4" t="s">
        <v>122</v>
      </c>
      <c r="J4" s="18" t="s">
        <v>21</v>
      </c>
    </row>
    <row r="5" spans="1:10" outlineLevel="2" x14ac:dyDescent="0.3">
      <c r="A5" s="29">
        <v>3</v>
      </c>
      <c r="B5" s="64" t="s">
        <v>14</v>
      </c>
      <c r="C5" s="6">
        <v>3</v>
      </c>
      <c r="D5" s="6"/>
      <c r="E5" s="6"/>
      <c r="F5" s="6" t="s">
        <v>125</v>
      </c>
      <c r="G5" s="6" t="s">
        <v>122</v>
      </c>
      <c r="H5" s="43">
        <v>1</v>
      </c>
      <c r="I5" t="s">
        <v>123</v>
      </c>
      <c r="J5" s="18" t="s">
        <v>18</v>
      </c>
    </row>
    <row r="6" spans="1:10" outlineLevel="2" x14ac:dyDescent="0.3">
      <c r="A6" s="37">
        <v>3</v>
      </c>
      <c r="B6" s="7" t="s">
        <v>15</v>
      </c>
      <c r="C6" s="6">
        <v>3</v>
      </c>
      <c r="D6" s="6"/>
      <c r="E6" s="6"/>
      <c r="F6" s="6" t="s">
        <v>125</v>
      </c>
      <c r="G6" s="6" t="s">
        <v>122</v>
      </c>
      <c r="H6" s="43">
        <v>1</v>
      </c>
      <c r="J6" s="18" t="s">
        <v>25</v>
      </c>
    </row>
    <row r="7" spans="1:10" outlineLevel="1" x14ac:dyDescent="0.3">
      <c r="A7" s="38">
        <v>2</v>
      </c>
      <c r="B7" s="39" t="s">
        <v>16</v>
      </c>
      <c r="C7" s="39" t="s">
        <v>126</v>
      </c>
      <c r="D7" s="39"/>
      <c r="E7" s="39"/>
      <c r="F7" s="39" t="s">
        <v>125</v>
      </c>
      <c r="G7" s="39" t="s">
        <v>123</v>
      </c>
      <c r="H7" s="43">
        <v>1</v>
      </c>
      <c r="J7" s="18" t="s">
        <v>125</v>
      </c>
    </row>
    <row r="8" spans="1:10" x14ac:dyDescent="0.3">
      <c r="A8" s="26">
        <v>1</v>
      </c>
      <c r="B8" s="27" t="s">
        <v>127</v>
      </c>
      <c r="C8" s="27">
        <v>1</v>
      </c>
      <c r="D8" s="27">
        <v>1</v>
      </c>
      <c r="E8" s="27"/>
      <c r="F8" s="27" t="s">
        <v>128</v>
      </c>
      <c r="G8" s="27" t="s">
        <v>121</v>
      </c>
      <c r="H8" s="43">
        <v>1</v>
      </c>
    </row>
    <row r="9" spans="1:10" outlineLevel="1" x14ac:dyDescent="0.3">
      <c r="A9" s="36">
        <v>2</v>
      </c>
      <c r="B9" s="5" t="s">
        <v>18</v>
      </c>
      <c r="C9" s="5">
        <v>1</v>
      </c>
      <c r="D9" s="5" t="s">
        <v>126</v>
      </c>
      <c r="E9" s="5"/>
      <c r="F9" s="5" t="s">
        <v>18</v>
      </c>
      <c r="G9" s="5" t="s">
        <v>121</v>
      </c>
      <c r="H9" s="43">
        <v>1</v>
      </c>
    </row>
    <row r="10" spans="1:10" outlineLevel="2" x14ac:dyDescent="0.3">
      <c r="A10" s="29">
        <v>3</v>
      </c>
      <c r="B10" s="6" t="s">
        <v>19</v>
      </c>
      <c r="C10" s="6" t="s">
        <v>126</v>
      </c>
      <c r="D10" s="6" t="s">
        <v>126</v>
      </c>
      <c r="E10" s="6"/>
      <c r="F10" s="6" t="s">
        <v>18</v>
      </c>
      <c r="G10" s="6" t="s">
        <v>122</v>
      </c>
      <c r="H10" s="43">
        <v>1</v>
      </c>
      <c r="I10">
        <v>0</v>
      </c>
      <c r="J10">
        <v>0</v>
      </c>
    </row>
    <row r="11" spans="1:10" outlineLevel="2" x14ac:dyDescent="0.3">
      <c r="A11" s="37">
        <v>3</v>
      </c>
      <c r="B11" s="7" t="s">
        <v>20</v>
      </c>
      <c r="C11" s="6" t="s">
        <v>126</v>
      </c>
      <c r="D11" s="6" t="s">
        <v>126</v>
      </c>
      <c r="E11" s="6"/>
      <c r="F11" s="6" t="s">
        <v>18</v>
      </c>
      <c r="G11" s="6" t="s">
        <v>123</v>
      </c>
      <c r="H11" s="43">
        <v>1</v>
      </c>
      <c r="I11">
        <v>1</v>
      </c>
      <c r="J11">
        <v>1</v>
      </c>
    </row>
    <row r="12" spans="1:10" outlineLevel="1" x14ac:dyDescent="0.3">
      <c r="A12" s="36">
        <v>2</v>
      </c>
      <c r="B12" s="5" t="s">
        <v>21</v>
      </c>
      <c r="C12" s="5">
        <v>1</v>
      </c>
      <c r="D12" s="5" t="s">
        <v>126</v>
      </c>
      <c r="E12" s="5"/>
      <c r="F12" s="5" t="s">
        <v>21</v>
      </c>
      <c r="G12" s="5" t="s">
        <v>121</v>
      </c>
      <c r="H12" s="43">
        <v>1</v>
      </c>
      <c r="I12">
        <v>2</v>
      </c>
      <c r="J12">
        <v>2</v>
      </c>
    </row>
    <row r="13" spans="1:10" outlineLevel="2" x14ac:dyDescent="0.3">
      <c r="A13" s="29">
        <v>3</v>
      </c>
      <c r="B13" s="6" t="s">
        <v>22</v>
      </c>
      <c r="C13" s="6" t="s">
        <v>126</v>
      </c>
      <c r="D13" s="6" t="s">
        <v>126</v>
      </c>
      <c r="E13" s="6"/>
      <c r="F13" s="6" t="s">
        <v>21</v>
      </c>
      <c r="G13" s="6" t="s">
        <v>122</v>
      </c>
      <c r="H13" s="43">
        <v>1</v>
      </c>
      <c r="I13">
        <v>3</v>
      </c>
      <c r="J13">
        <v>3</v>
      </c>
    </row>
    <row r="14" spans="1:10" outlineLevel="2" x14ac:dyDescent="0.3">
      <c r="A14" s="37">
        <v>3</v>
      </c>
      <c r="B14" s="7" t="s">
        <v>23</v>
      </c>
      <c r="C14" s="6" t="s">
        <v>126</v>
      </c>
      <c r="D14" s="6" t="s">
        <v>126</v>
      </c>
      <c r="E14" s="6"/>
      <c r="F14" s="6" t="s">
        <v>21</v>
      </c>
      <c r="G14" s="6" t="s">
        <v>123</v>
      </c>
      <c r="H14" s="43">
        <v>1</v>
      </c>
      <c r="I14" s="19" t="s">
        <v>120</v>
      </c>
      <c r="J14" s="19" t="s">
        <v>117</v>
      </c>
    </row>
    <row r="15" spans="1:10" outlineLevel="1" x14ac:dyDescent="0.3">
      <c r="A15" s="36">
        <v>2</v>
      </c>
      <c r="B15" s="5" t="s">
        <v>158</v>
      </c>
      <c r="C15" s="5">
        <v>1</v>
      </c>
      <c r="D15" s="5" t="s">
        <v>126</v>
      </c>
      <c r="E15" s="5"/>
      <c r="F15" s="5" t="s">
        <v>124</v>
      </c>
      <c r="G15" s="5" t="s">
        <v>121</v>
      </c>
      <c r="H15" s="43">
        <v>1</v>
      </c>
      <c r="I15" s="20" t="s">
        <v>126</v>
      </c>
      <c r="J15" s="70" t="s">
        <v>126</v>
      </c>
    </row>
    <row r="16" spans="1:10" outlineLevel="1" x14ac:dyDescent="0.3">
      <c r="A16" s="29">
        <v>3</v>
      </c>
      <c r="B16" s="6" t="s">
        <v>161</v>
      </c>
      <c r="C16" s="6" t="s">
        <v>126</v>
      </c>
      <c r="D16" s="6" t="s">
        <v>126</v>
      </c>
      <c r="E16" s="6"/>
      <c r="F16" s="6" t="s">
        <v>124</v>
      </c>
      <c r="G16" s="6" t="s">
        <v>122</v>
      </c>
      <c r="H16" s="43">
        <v>1</v>
      </c>
      <c r="I16" s="20"/>
    </row>
    <row r="17" spans="1:9" outlineLevel="1" x14ac:dyDescent="0.3">
      <c r="A17" s="29">
        <v>3</v>
      </c>
      <c r="B17" s="6" t="s">
        <v>162</v>
      </c>
      <c r="C17" s="6" t="s">
        <v>126</v>
      </c>
      <c r="D17" s="6" t="s">
        <v>126</v>
      </c>
      <c r="E17" s="6"/>
      <c r="F17" s="6" t="s">
        <v>124</v>
      </c>
      <c r="G17" s="6" t="s">
        <v>123</v>
      </c>
      <c r="H17" s="43">
        <v>1</v>
      </c>
      <c r="I17" s="20"/>
    </row>
    <row r="18" spans="1:9" outlineLevel="1" x14ac:dyDescent="0.3">
      <c r="A18" s="36">
        <v>2</v>
      </c>
      <c r="B18" s="5" t="s">
        <v>36</v>
      </c>
      <c r="C18" s="5">
        <v>1</v>
      </c>
      <c r="D18" s="5" t="s">
        <v>126</v>
      </c>
      <c r="E18" s="5"/>
      <c r="F18" s="5" t="s">
        <v>124</v>
      </c>
      <c r="G18" s="5" t="s">
        <v>121</v>
      </c>
      <c r="H18" s="43">
        <v>1</v>
      </c>
    </row>
    <row r="19" spans="1:9" outlineLevel="1" x14ac:dyDescent="0.3">
      <c r="A19" s="29">
        <v>3</v>
      </c>
      <c r="B19" s="6" t="s">
        <v>129</v>
      </c>
      <c r="C19" s="6" t="s">
        <v>126</v>
      </c>
      <c r="D19" s="6" t="s">
        <v>126</v>
      </c>
      <c r="E19" s="6"/>
      <c r="F19" s="6" t="s">
        <v>124</v>
      </c>
      <c r="G19" s="6" t="s">
        <v>122</v>
      </c>
      <c r="H19" s="43">
        <v>1</v>
      </c>
    </row>
    <row r="20" spans="1:9" outlineLevel="1" x14ac:dyDescent="0.3">
      <c r="A20" s="29">
        <v>3</v>
      </c>
      <c r="B20" s="6" t="s">
        <v>130</v>
      </c>
      <c r="C20" s="6" t="s">
        <v>126</v>
      </c>
      <c r="D20" s="6" t="s">
        <v>126</v>
      </c>
      <c r="E20" s="6"/>
      <c r="F20" s="6" t="s">
        <v>124</v>
      </c>
      <c r="G20" s="6" t="s">
        <v>123</v>
      </c>
      <c r="H20" s="43">
        <v>1</v>
      </c>
    </row>
    <row r="21" spans="1:9" x14ac:dyDescent="0.3">
      <c r="A21" s="35">
        <v>1</v>
      </c>
      <c r="B21" s="4" t="s">
        <v>127</v>
      </c>
      <c r="C21" s="4">
        <v>1</v>
      </c>
      <c r="D21" s="4">
        <v>1</v>
      </c>
      <c r="E21" s="4"/>
      <c r="F21" s="4" t="s">
        <v>128</v>
      </c>
      <c r="G21" s="4" t="s">
        <v>121</v>
      </c>
      <c r="H21" s="43">
        <v>1</v>
      </c>
    </row>
    <row r="22" spans="1:9" outlineLevel="1" x14ac:dyDescent="0.3">
      <c r="A22" s="5">
        <v>2</v>
      </c>
      <c r="B22" s="5" t="s">
        <v>131</v>
      </c>
      <c r="C22" s="5">
        <v>2</v>
      </c>
      <c r="D22" s="5">
        <v>1</v>
      </c>
      <c r="E22" s="5"/>
      <c r="F22" s="5" t="s">
        <v>128</v>
      </c>
      <c r="G22" s="5" t="s">
        <v>122</v>
      </c>
      <c r="H22" s="43">
        <v>1</v>
      </c>
    </row>
    <row r="23" spans="1:9" outlineLevel="1" x14ac:dyDescent="0.3">
      <c r="A23" s="29">
        <v>3</v>
      </c>
      <c r="B23" s="6" t="s">
        <v>161</v>
      </c>
      <c r="C23" s="6" t="s">
        <v>126</v>
      </c>
      <c r="D23" s="6" t="s">
        <v>126</v>
      </c>
      <c r="E23" s="6"/>
      <c r="F23" s="6" t="s">
        <v>124</v>
      </c>
      <c r="G23" s="6" t="s">
        <v>122</v>
      </c>
      <c r="H23" s="43">
        <v>1</v>
      </c>
    </row>
    <row r="24" spans="1:9" x14ac:dyDescent="0.3">
      <c r="A24" s="29">
        <v>3</v>
      </c>
      <c r="B24" s="6" t="s">
        <v>19</v>
      </c>
      <c r="C24" s="6" t="s">
        <v>126</v>
      </c>
      <c r="D24" s="6" t="s">
        <v>126</v>
      </c>
      <c r="E24" s="6"/>
      <c r="F24" s="6" t="s">
        <v>18</v>
      </c>
      <c r="G24" s="6" t="s">
        <v>122</v>
      </c>
      <c r="H24" s="43">
        <v>1</v>
      </c>
    </row>
    <row r="25" spans="1:9" outlineLevel="1" x14ac:dyDescent="0.3">
      <c r="A25" s="29">
        <v>3</v>
      </c>
      <c r="B25" s="6" t="s">
        <v>22</v>
      </c>
      <c r="C25" s="6" t="s">
        <v>126</v>
      </c>
      <c r="D25" s="6" t="s">
        <v>126</v>
      </c>
      <c r="E25" s="6"/>
      <c r="F25" s="6" t="s">
        <v>21</v>
      </c>
      <c r="G25" s="6" t="s">
        <v>122</v>
      </c>
      <c r="H25" s="43">
        <v>1</v>
      </c>
    </row>
    <row r="26" spans="1:9" outlineLevel="1" x14ac:dyDescent="0.3">
      <c r="A26" s="29">
        <v>3</v>
      </c>
      <c r="B26" s="6" t="s">
        <v>129</v>
      </c>
      <c r="C26" s="6" t="s">
        <v>126</v>
      </c>
      <c r="D26" s="6" t="s">
        <v>126</v>
      </c>
      <c r="E26" s="6"/>
      <c r="F26" s="6" t="s">
        <v>124</v>
      </c>
      <c r="G26" s="6" t="s">
        <v>122</v>
      </c>
      <c r="H26" s="43">
        <v>1</v>
      </c>
    </row>
    <row r="27" spans="1:9" x14ac:dyDescent="0.3">
      <c r="A27" s="5">
        <v>2</v>
      </c>
      <c r="B27" s="5" t="s">
        <v>132</v>
      </c>
      <c r="C27" s="5">
        <v>2</v>
      </c>
      <c r="D27" s="5">
        <v>1</v>
      </c>
      <c r="E27" s="5"/>
      <c r="F27" s="5" t="s">
        <v>128</v>
      </c>
      <c r="G27" s="5" t="s">
        <v>123</v>
      </c>
      <c r="H27" s="43">
        <v>1</v>
      </c>
    </row>
    <row r="28" spans="1:9" x14ac:dyDescent="0.3">
      <c r="A28" s="29">
        <v>3</v>
      </c>
      <c r="B28" s="6" t="s">
        <v>162</v>
      </c>
      <c r="C28" s="6" t="s">
        <v>126</v>
      </c>
      <c r="D28" s="6" t="s">
        <v>126</v>
      </c>
      <c r="E28" s="6"/>
      <c r="F28" s="6" t="s">
        <v>124</v>
      </c>
      <c r="G28" s="6" t="s">
        <v>123</v>
      </c>
      <c r="H28" s="43">
        <v>1</v>
      </c>
    </row>
    <row r="29" spans="1:9" x14ac:dyDescent="0.3">
      <c r="A29" s="29">
        <v>3</v>
      </c>
      <c r="B29" s="6" t="s">
        <v>20</v>
      </c>
      <c r="C29" s="6" t="s">
        <v>126</v>
      </c>
      <c r="D29" s="6" t="s">
        <v>126</v>
      </c>
      <c r="E29" s="6"/>
      <c r="F29" s="6" t="s">
        <v>18</v>
      </c>
      <c r="G29" s="6" t="s">
        <v>123</v>
      </c>
      <c r="H29" s="43">
        <v>1</v>
      </c>
    </row>
    <row r="30" spans="1:9" outlineLevel="3" x14ac:dyDescent="0.3">
      <c r="A30" s="29">
        <v>3</v>
      </c>
      <c r="B30" s="6" t="s">
        <v>23</v>
      </c>
      <c r="C30" s="6" t="s">
        <v>126</v>
      </c>
      <c r="D30" s="6" t="s">
        <v>126</v>
      </c>
      <c r="E30" s="6"/>
      <c r="F30" s="6" t="s">
        <v>21</v>
      </c>
      <c r="G30" s="6" t="s">
        <v>123</v>
      </c>
      <c r="H30" s="43">
        <v>1</v>
      </c>
    </row>
    <row r="31" spans="1:9" outlineLevel="3" x14ac:dyDescent="0.3">
      <c r="A31" s="40">
        <v>3</v>
      </c>
      <c r="B31" s="41" t="s">
        <v>130</v>
      </c>
      <c r="C31" s="6" t="s">
        <v>126</v>
      </c>
      <c r="D31" s="6" t="s">
        <v>126</v>
      </c>
      <c r="E31" s="6"/>
      <c r="F31" s="6" t="s">
        <v>124</v>
      </c>
      <c r="G31" s="6" t="s">
        <v>121</v>
      </c>
      <c r="H31" s="43">
        <v>1</v>
      </c>
    </row>
    <row r="32" spans="1:9" x14ac:dyDescent="0.3">
      <c r="A32" s="26">
        <v>1</v>
      </c>
      <c r="B32" s="26" t="s">
        <v>61</v>
      </c>
      <c r="C32" s="26">
        <v>0</v>
      </c>
      <c r="D32" s="26">
        <v>0</v>
      </c>
      <c r="E32" s="26"/>
      <c r="F32" s="26" t="s">
        <v>124</v>
      </c>
      <c r="G32" s="26" t="s">
        <v>121</v>
      </c>
      <c r="H32" s="43">
        <v>1</v>
      </c>
    </row>
    <row r="33" spans="1:8" x14ac:dyDescent="0.3">
      <c r="A33" s="41">
        <v>2</v>
      </c>
      <c r="B33" s="41" t="s">
        <v>163</v>
      </c>
      <c r="C33" s="41">
        <v>1</v>
      </c>
      <c r="D33" s="41">
        <v>1</v>
      </c>
      <c r="E33" s="41"/>
      <c r="F33" s="29" t="s">
        <v>124</v>
      </c>
      <c r="G33" s="41"/>
      <c r="H33" s="43">
        <v>1</v>
      </c>
    </row>
    <row r="34" spans="1:8" x14ac:dyDescent="0.3">
      <c r="A34" s="29">
        <v>3</v>
      </c>
      <c r="B34" s="65" t="s">
        <v>159</v>
      </c>
      <c r="C34" s="29">
        <v>1</v>
      </c>
      <c r="D34" s="29">
        <v>2</v>
      </c>
      <c r="E34" s="29"/>
      <c r="F34" s="29" t="s">
        <v>124</v>
      </c>
      <c r="G34" s="29" t="s">
        <v>121</v>
      </c>
      <c r="H34" s="43">
        <v>1</v>
      </c>
    </row>
    <row r="35" spans="1:8" x14ac:dyDescent="0.3">
      <c r="A35" s="29">
        <v>3</v>
      </c>
      <c r="B35" s="65" t="s">
        <v>160</v>
      </c>
      <c r="C35" s="29">
        <v>1</v>
      </c>
      <c r="D35" s="29">
        <v>2</v>
      </c>
      <c r="E35" s="29"/>
      <c r="F35" s="29" t="s">
        <v>124</v>
      </c>
      <c r="G35" s="29" t="s">
        <v>121</v>
      </c>
      <c r="H35" s="43">
        <v>1</v>
      </c>
    </row>
    <row r="36" spans="1:8" x14ac:dyDescent="0.3">
      <c r="A36" s="29">
        <v>2</v>
      </c>
      <c r="B36" s="29" t="s">
        <v>158</v>
      </c>
      <c r="C36" s="29"/>
      <c r="D36" s="29" t="s">
        <v>126</v>
      </c>
      <c r="E36" s="29"/>
      <c r="F36" s="29" t="s">
        <v>124</v>
      </c>
      <c r="G36" s="29" t="s">
        <v>121</v>
      </c>
      <c r="H36" s="43">
        <v>1</v>
      </c>
    </row>
    <row r="37" spans="1:8" x14ac:dyDescent="0.3">
      <c r="A37" s="26">
        <v>1</v>
      </c>
      <c r="B37" s="27" t="s">
        <v>164</v>
      </c>
      <c r="C37" s="44">
        <v>1</v>
      </c>
      <c r="D37" s="44"/>
      <c r="E37" s="44">
        <v>1</v>
      </c>
      <c r="F37" s="27" t="s">
        <v>18</v>
      </c>
      <c r="G37" s="27" t="s">
        <v>121</v>
      </c>
      <c r="H37" s="43">
        <v>1</v>
      </c>
    </row>
    <row r="38" spans="1:8" x14ac:dyDescent="0.3">
      <c r="A38" s="29">
        <v>2</v>
      </c>
      <c r="B38" s="6" t="s">
        <v>39</v>
      </c>
      <c r="C38" s="22">
        <v>1</v>
      </c>
      <c r="D38" s="22"/>
      <c r="E38" s="22" t="s">
        <v>126</v>
      </c>
      <c r="F38" s="6" t="s">
        <v>18</v>
      </c>
      <c r="G38" s="6" t="s">
        <v>121</v>
      </c>
      <c r="H38" s="43">
        <v>1</v>
      </c>
    </row>
    <row r="39" spans="1:8" outlineLevel="2" x14ac:dyDescent="0.3">
      <c r="A39" s="33">
        <v>3</v>
      </c>
      <c r="B39" s="10" t="s">
        <v>40</v>
      </c>
      <c r="C39" s="23" t="s">
        <v>126</v>
      </c>
      <c r="D39" s="23"/>
      <c r="E39" s="23" t="s">
        <v>126</v>
      </c>
      <c r="F39" s="10" t="s">
        <v>18</v>
      </c>
      <c r="G39" s="10" t="s">
        <v>122</v>
      </c>
      <c r="H39" s="43">
        <v>1</v>
      </c>
    </row>
    <row r="40" spans="1:8" outlineLevel="2" x14ac:dyDescent="0.3">
      <c r="A40" s="34">
        <v>3</v>
      </c>
      <c r="B40" s="11" t="s">
        <v>41</v>
      </c>
      <c r="C40" s="24" t="s">
        <v>126</v>
      </c>
      <c r="D40" s="24"/>
      <c r="E40" s="24" t="s">
        <v>126</v>
      </c>
      <c r="F40" s="11" t="s">
        <v>18</v>
      </c>
      <c r="G40" s="11" t="s">
        <v>123</v>
      </c>
      <c r="H40" s="43">
        <v>1</v>
      </c>
    </row>
    <row r="41" spans="1:8" x14ac:dyDescent="0.3">
      <c r="A41" s="29">
        <v>2</v>
      </c>
      <c r="B41" s="6" t="s">
        <v>42</v>
      </c>
      <c r="C41" s="22" t="s">
        <v>120</v>
      </c>
      <c r="D41" s="22"/>
      <c r="E41" s="22" t="s">
        <v>126</v>
      </c>
      <c r="F41" s="6" t="s">
        <v>18</v>
      </c>
      <c r="G41" s="6" t="s">
        <v>121</v>
      </c>
      <c r="H41" s="43">
        <v>1</v>
      </c>
    </row>
    <row r="42" spans="1:8" x14ac:dyDescent="0.3">
      <c r="A42" s="29">
        <v>2</v>
      </c>
      <c r="B42" s="6" t="s">
        <v>43</v>
      </c>
      <c r="C42" s="22" t="s">
        <v>120</v>
      </c>
      <c r="D42" s="22"/>
      <c r="E42" s="22" t="s">
        <v>126</v>
      </c>
      <c r="F42" s="6" t="s">
        <v>18</v>
      </c>
      <c r="G42" s="6" t="s">
        <v>121</v>
      </c>
      <c r="H42" s="43">
        <v>1</v>
      </c>
    </row>
    <row r="43" spans="1:8" x14ac:dyDescent="0.3">
      <c r="A43" s="29">
        <v>2</v>
      </c>
      <c r="B43" s="6" t="s">
        <v>47</v>
      </c>
      <c r="C43" s="22">
        <v>1</v>
      </c>
      <c r="D43" s="22"/>
      <c r="E43" s="22" t="s">
        <v>126</v>
      </c>
      <c r="F43" s="6" t="s">
        <v>18</v>
      </c>
      <c r="G43" s="6" t="s">
        <v>121</v>
      </c>
      <c r="H43" s="43">
        <v>1</v>
      </c>
    </row>
    <row r="44" spans="1:8" outlineLevel="2" x14ac:dyDescent="0.3">
      <c r="A44" s="33">
        <v>3</v>
      </c>
      <c r="B44" s="10" t="s">
        <v>133</v>
      </c>
      <c r="C44" s="24" t="s">
        <v>126</v>
      </c>
      <c r="D44" s="23"/>
      <c r="E44" s="23" t="s">
        <v>126</v>
      </c>
      <c r="F44" s="10" t="s">
        <v>18</v>
      </c>
      <c r="G44" s="10" t="s">
        <v>122</v>
      </c>
      <c r="H44" s="43">
        <v>1</v>
      </c>
    </row>
    <row r="45" spans="1:8" outlineLevel="2" x14ac:dyDescent="0.3">
      <c r="A45" s="34">
        <v>3</v>
      </c>
      <c r="B45" s="11" t="s">
        <v>134</v>
      </c>
      <c r="C45" s="24" t="s">
        <v>126</v>
      </c>
      <c r="D45" s="24"/>
      <c r="E45" s="24" t="s">
        <v>126</v>
      </c>
      <c r="F45" s="11" t="s">
        <v>18</v>
      </c>
      <c r="G45" s="11" t="s">
        <v>123</v>
      </c>
      <c r="H45" s="43">
        <v>1</v>
      </c>
    </row>
    <row r="46" spans="1:8" x14ac:dyDescent="0.3">
      <c r="A46" s="26">
        <v>1</v>
      </c>
      <c r="B46" s="27" t="s">
        <v>167</v>
      </c>
      <c r="C46" s="44">
        <v>1</v>
      </c>
      <c r="D46" s="44"/>
      <c r="E46" s="44">
        <v>1</v>
      </c>
      <c r="F46" s="27" t="s">
        <v>21</v>
      </c>
      <c r="G46" s="27" t="s">
        <v>121</v>
      </c>
      <c r="H46" s="43">
        <v>1</v>
      </c>
    </row>
    <row r="47" spans="1:8" x14ac:dyDescent="0.3">
      <c r="A47" s="29">
        <v>2</v>
      </c>
      <c r="B47" s="6" t="s">
        <v>54</v>
      </c>
      <c r="C47" s="22">
        <v>1</v>
      </c>
      <c r="D47" s="22"/>
      <c r="E47" s="22" t="s">
        <v>142</v>
      </c>
      <c r="F47" s="6" t="s">
        <v>21</v>
      </c>
      <c r="G47" s="6" t="s">
        <v>121</v>
      </c>
      <c r="H47" s="43">
        <v>1</v>
      </c>
    </row>
    <row r="48" spans="1:8" outlineLevel="2" x14ac:dyDescent="0.3">
      <c r="A48" s="33">
        <v>3</v>
      </c>
      <c r="B48" s="10" t="s">
        <v>135</v>
      </c>
      <c r="C48" s="24" t="s">
        <v>126</v>
      </c>
      <c r="D48" s="23"/>
      <c r="E48" s="23" t="s">
        <v>142</v>
      </c>
      <c r="F48" s="10" t="s">
        <v>18</v>
      </c>
      <c r="G48" s="10" t="s">
        <v>122</v>
      </c>
      <c r="H48" s="43">
        <v>1</v>
      </c>
    </row>
    <row r="49" spans="1:8" outlineLevel="2" x14ac:dyDescent="0.3">
      <c r="A49" s="34">
        <v>3</v>
      </c>
      <c r="B49" s="11" t="s">
        <v>136</v>
      </c>
      <c r="C49" s="24" t="s">
        <v>126</v>
      </c>
      <c r="D49" s="24"/>
      <c r="E49" s="24" t="s">
        <v>142</v>
      </c>
      <c r="F49" s="11" t="s">
        <v>18</v>
      </c>
      <c r="G49" s="11" t="s">
        <v>123</v>
      </c>
      <c r="H49" s="43">
        <v>1</v>
      </c>
    </row>
    <row r="50" spans="1:8" x14ac:dyDescent="0.3">
      <c r="A50" s="29">
        <v>2</v>
      </c>
      <c r="B50" s="6" t="s">
        <v>49</v>
      </c>
      <c r="C50" s="22">
        <v>1</v>
      </c>
      <c r="D50" s="22"/>
      <c r="E50" s="47" t="s">
        <v>142</v>
      </c>
      <c r="F50" s="6" t="s">
        <v>21</v>
      </c>
      <c r="G50" s="6" t="s">
        <v>121</v>
      </c>
      <c r="H50" s="43">
        <v>1</v>
      </c>
    </row>
    <row r="51" spans="1:8" outlineLevel="2" x14ac:dyDescent="0.3">
      <c r="A51" s="33">
        <v>3</v>
      </c>
      <c r="B51" s="10" t="s">
        <v>137</v>
      </c>
      <c r="C51" s="24" t="s">
        <v>126</v>
      </c>
      <c r="D51" s="23"/>
      <c r="E51" s="23" t="s">
        <v>126</v>
      </c>
      <c r="F51" s="10" t="s">
        <v>18</v>
      </c>
      <c r="G51" s="10" t="s">
        <v>122</v>
      </c>
      <c r="H51" s="43">
        <v>1</v>
      </c>
    </row>
    <row r="52" spans="1:8" outlineLevel="2" x14ac:dyDescent="0.3">
      <c r="A52" s="34">
        <v>3</v>
      </c>
      <c r="B52" s="11" t="s">
        <v>138</v>
      </c>
      <c r="C52" s="24" t="s">
        <v>126</v>
      </c>
      <c r="D52" s="24"/>
      <c r="E52" s="24" t="s">
        <v>126</v>
      </c>
      <c r="F52" s="11" t="s">
        <v>18</v>
      </c>
      <c r="G52" s="11" t="s">
        <v>123</v>
      </c>
      <c r="H52" s="43">
        <v>1</v>
      </c>
    </row>
    <row r="53" spans="1:8" x14ac:dyDescent="0.3">
      <c r="A53" s="35">
        <v>1</v>
      </c>
      <c r="B53" s="4" t="s">
        <v>49</v>
      </c>
      <c r="C53" s="21">
        <v>1</v>
      </c>
      <c r="D53" s="21"/>
      <c r="E53" s="21">
        <v>2</v>
      </c>
      <c r="F53" s="4" t="s">
        <v>21</v>
      </c>
      <c r="G53" s="4" t="s">
        <v>121</v>
      </c>
      <c r="H53" s="43">
        <v>1</v>
      </c>
    </row>
    <row r="54" spans="1:8" outlineLevel="1" x14ac:dyDescent="0.3">
      <c r="A54" s="29">
        <v>2</v>
      </c>
      <c r="B54" s="6" t="s">
        <v>50</v>
      </c>
      <c r="C54" s="22">
        <v>1</v>
      </c>
      <c r="D54" s="22"/>
      <c r="E54" s="22" t="s">
        <v>141</v>
      </c>
      <c r="F54" s="6" t="s">
        <v>21</v>
      </c>
      <c r="G54" s="6" t="s">
        <v>121</v>
      </c>
      <c r="H54" s="43">
        <v>1</v>
      </c>
    </row>
    <row r="55" spans="1:8" outlineLevel="1" x14ac:dyDescent="0.3">
      <c r="A55" s="37">
        <v>2</v>
      </c>
      <c r="B55" s="7" t="s">
        <v>51</v>
      </c>
      <c r="C55" s="25">
        <v>1</v>
      </c>
      <c r="D55" s="25"/>
      <c r="E55" s="25" t="s">
        <v>141</v>
      </c>
      <c r="F55" s="7" t="s">
        <v>21</v>
      </c>
      <c r="G55" s="7" t="s">
        <v>121</v>
      </c>
      <c r="H55" s="43">
        <v>1</v>
      </c>
    </row>
    <row r="56" spans="1:8" outlineLevel="1" x14ac:dyDescent="0.3">
      <c r="A56" s="37">
        <v>2</v>
      </c>
      <c r="B56" s="7" t="s">
        <v>52</v>
      </c>
      <c r="C56" s="25">
        <v>1</v>
      </c>
      <c r="D56" s="25"/>
      <c r="E56" s="25" t="s">
        <v>141</v>
      </c>
      <c r="F56" s="7" t="s">
        <v>21</v>
      </c>
      <c r="G56" s="7" t="s">
        <v>121</v>
      </c>
      <c r="H56" s="43">
        <v>1</v>
      </c>
    </row>
    <row r="57" spans="1:8" outlineLevel="1" x14ac:dyDescent="0.3">
      <c r="A57" s="37">
        <v>2</v>
      </c>
      <c r="B57" s="7" t="s">
        <v>53</v>
      </c>
      <c r="C57" s="25">
        <v>1</v>
      </c>
      <c r="D57" s="25"/>
      <c r="E57" s="25" t="s">
        <v>141</v>
      </c>
      <c r="F57" s="7" t="s">
        <v>21</v>
      </c>
      <c r="G57" s="7" t="s">
        <v>121</v>
      </c>
      <c r="H57" s="43">
        <v>1</v>
      </c>
    </row>
    <row r="58" spans="1:8" x14ac:dyDescent="0.3">
      <c r="A58" s="35">
        <v>1</v>
      </c>
      <c r="B58" s="4" t="s">
        <v>164</v>
      </c>
      <c r="C58" s="21">
        <v>1</v>
      </c>
      <c r="D58" s="21"/>
      <c r="E58" s="21">
        <v>1</v>
      </c>
      <c r="F58" s="4" t="s">
        <v>18</v>
      </c>
      <c r="G58" s="4" t="s">
        <v>121</v>
      </c>
      <c r="H58" s="43">
        <v>1</v>
      </c>
    </row>
    <row r="59" spans="1:8" x14ac:dyDescent="0.3">
      <c r="A59" s="29">
        <v>2</v>
      </c>
      <c r="B59" s="6" t="s">
        <v>165</v>
      </c>
      <c r="C59" s="22">
        <v>2</v>
      </c>
      <c r="D59" s="22"/>
      <c r="E59" s="22">
        <v>1</v>
      </c>
      <c r="F59" s="6" t="s">
        <v>18</v>
      </c>
      <c r="G59" s="6" t="s">
        <v>122</v>
      </c>
      <c r="H59" s="43">
        <v>1</v>
      </c>
    </row>
    <row r="60" spans="1:8" outlineLevel="2" x14ac:dyDescent="0.3">
      <c r="A60" s="33">
        <v>3</v>
      </c>
      <c r="B60" s="10" t="s">
        <v>40</v>
      </c>
      <c r="C60" s="23">
        <v>2</v>
      </c>
      <c r="D60" s="23"/>
      <c r="E60" s="23" t="s">
        <v>126</v>
      </c>
      <c r="F60" s="10" t="s">
        <v>18</v>
      </c>
      <c r="G60" s="10" t="s">
        <v>122</v>
      </c>
      <c r="H60" s="43">
        <v>1</v>
      </c>
    </row>
    <row r="61" spans="1:8" outlineLevel="2" x14ac:dyDescent="0.3">
      <c r="A61" s="34">
        <v>3</v>
      </c>
      <c r="B61" s="11" t="s">
        <v>42</v>
      </c>
      <c r="C61" s="24">
        <v>2</v>
      </c>
      <c r="D61" s="24"/>
      <c r="E61" s="24" t="s">
        <v>126</v>
      </c>
      <c r="F61" s="11" t="s">
        <v>18</v>
      </c>
      <c r="G61" s="11" t="s">
        <v>121</v>
      </c>
      <c r="H61" s="43">
        <v>1</v>
      </c>
    </row>
    <row r="62" spans="1:8" outlineLevel="2" x14ac:dyDescent="0.3">
      <c r="A62" s="34">
        <v>3</v>
      </c>
      <c r="B62" s="11" t="s">
        <v>43</v>
      </c>
      <c r="C62" s="24">
        <v>2</v>
      </c>
      <c r="D62" s="24"/>
      <c r="E62" s="24" t="s">
        <v>126</v>
      </c>
      <c r="F62" s="11" t="s">
        <v>18</v>
      </c>
      <c r="G62" s="11" t="s">
        <v>121</v>
      </c>
      <c r="H62" s="43">
        <v>1</v>
      </c>
    </row>
    <row r="63" spans="1:8" outlineLevel="2" x14ac:dyDescent="0.3">
      <c r="A63" s="34">
        <v>3</v>
      </c>
      <c r="B63" s="11" t="s">
        <v>133</v>
      </c>
      <c r="C63" s="24">
        <v>2</v>
      </c>
      <c r="D63" s="24"/>
      <c r="E63" s="24" t="s">
        <v>126</v>
      </c>
      <c r="F63" s="11" t="s">
        <v>18</v>
      </c>
      <c r="G63" s="11" t="s">
        <v>121</v>
      </c>
      <c r="H63" s="43">
        <v>1</v>
      </c>
    </row>
    <row r="64" spans="1:8" x14ac:dyDescent="0.3">
      <c r="A64" s="29">
        <v>2</v>
      </c>
      <c r="B64" s="6" t="s">
        <v>166</v>
      </c>
      <c r="C64" s="22">
        <v>2</v>
      </c>
      <c r="D64" s="22"/>
      <c r="E64" s="22">
        <v>1</v>
      </c>
      <c r="F64" s="6" t="s">
        <v>18</v>
      </c>
      <c r="G64" s="6" t="s">
        <v>123</v>
      </c>
      <c r="H64" s="43">
        <v>1</v>
      </c>
    </row>
    <row r="65" spans="1:8" outlineLevel="2" x14ac:dyDescent="0.3">
      <c r="A65" s="33">
        <v>3</v>
      </c>
      <c r="B65" s="10" t="s">
        <v>41</v>
      </c>
      <c r="C65" s="23">
        <v>2</v>
      </c>
      <c r="D65" s="23"/>
      <c r="E65" s="23" t="s">
        <v>126</v>
      </c>
      <c r="F65" s="10" t="s">
        <v>18</v>
      </c>
      <c r="G65" s="10" t="s">
        <v>123</v>
      </c>
      <c r="H65" s="43">
        <v>1</v>
      </c>
    </row>
    <row r="66" spans="1:8" outlineLevel="2" x14ac:dyDescent="0.3">
      <c r="A66" s="34">
        <v>3</v>
      </c>
      <c r="B66" s="11" t="s">
        <v>134</v>
      </c>
      <c r="C66" s="24">
        <v>2</v>
      </c>
      <c r="D66" s="24"/>
      <c r="E66" s="24" t="s">
        <v>126</v>
      </c>
      <c r="F66" s="11" t="s">
        <v>18</v>
      </c>
      <c r="G66" s="11" t="s">
        <v>121</v>
      </c>
      <c r="H66" s="43">
        <v>1</v>
      </c>
    </row>
    <row r="67" spans="1:8" x14ac:dyDescent="0.3">
      <c r="A67" s="35">
        <v>1</v>
      </c>
      <c r="B67" s="4" t="s">
        <v>167</v>
      </c>
      <c r="C67" s="21">
        <v>1</v>
      </c>
      <c r="D67" s="21"/>
      <c r="E67" s="21">
        <v>1</v>
      </c>
      <c r="F67" s="4" t="s">
        <v>18</v>
      </c>
      <c r="G67" s="4" t="s">
        <v>121</v>
      </c>
      <c r="H67" s="43">
        <v>1</v>
      </c>
    </row>
    <row r="68" spans="1:8" x14ac:dyDescent="0.3">
      <c r="A68" s="29">
        <v>2</v>
      </c>
      <c r="B68" s="6" t="s">
        <v>168</v>
      </c>
      <c r="C68" s="22">
        <v>2</v>
      </c>
      <c r="D68" s="22"/>
      <c r="E68" s="22">
        <v>1</v>
      </c>
      <c r="F68" s="6" t="s">
        <v>18</v>
      </c>
      <c r="G68" s="6" t="s">
        <v>122</v>
      </c>
      <c r="H68" s="43">
        <v>1</v>
      </c>
    </row>
    <row r="69" spans="1:8" outlineLevel="2" x14ac:dyDescent="0.3">
      <c r="A69" s="34">
        <v>3</v>
      </c>
      <c r="B69" s="11" t="s">
        <v>137</v>
      </c>
      <c r="C69" s="24">
        <v>2</v>
      </c>
      <c r="D69" s="24"/>
      <c r="E69" s="24" t="s">
        <v>126</v>
      </c>
      <c r="F69" s="11" t="s">
        <v>21</v>
      </c>
      <c r="G69" s="11" t="s">
        <v>121</v>
      </c>
      <c r="H69" s="43">
        <v>1</v>
      </c>
    </row>
    <row r="70" spans="1:8" outlineLevel="2" x14ac:dyDescent="0.3">
      <c r="A70" s="34">
        <v>3</v>
      </c>
      <c r="B70" s="11" t="s">
        <v>136</v>
      </c>
      <c r="C70" s="24">
        <v>2</v>
      </c>
      <c r="D70" s="24"/>
      <c r="E70" s="24" t="s">
        <v>126</v>
      </c>
      <c r="F70" s="11" t="s">
        <v>21</v>
      </c>
      <c r="G70" s="11" t="s">
        <v>121</v>
      </c>
      <c r="H70" s="43">
        <v>1</v>
      </c>
    </row>
    <row r="71" spans="1:8" x14ac:dyDescent="0.3">
      <c r="A71" s="29">
        <v>2</v>
      </c>
      <c r="B71" s="6" t="s">
        <v>169</v>
      </c>
      <c r="C71" s="22">
        <v>2</v>
      </c>
      <c r="D71" s="22"/>
      <c r="E71" s="22">
        <v>1</v>
      </c>
      <c r="F71" s="6" t="s">
        <v>18</v>
      </c>
      <c r="G71" s="6" t="s">
        <v>123</v>
      </c>
      <c r="H71" s="43">
        <v>1</v>
      </c>
    </row>
    <row r="72" spans="1:8" outlineLevel="2" x14ac:dyDescent="0.3">
      <c r="A72" s="34">
        <v>3</v>
      </c>
      <c r="B72" s="11" t="s">
        <v>138</v>
      </c>
      <c r="C72" s="24">
        <v>2</v>
      </c>
      <c r="D72" s="24"/>
      <c r="E72" s="24" t="s">
        <v>126</v>
      </c>
      <c r="F72" s="11" t="s">
        <v>21</v>
      </c>
      <c r="G72" s="11" t="s">
        <v>121</v>
      </c>
      <c r="H72" s="43">
        <v>1</v>
      </c>
    </row>
    <row r="73" spans="1:8" outlineLevel="2" x14ac:dyDescent="0.3">
      <c r="A73" s="34">
        <v>3</v>
      </c>
      <c r="B73" s="11" t="s">
        <v>135</v>
      </c>
      <c r="C73" s="24">
        <v>2</v>
      </c>
      <c r="D73" s="24"/>
      <c r="E73" s="24" t="s">
        <v>126</v>
      </c>
      <c r="F73" s="11" t="s">
        <v>21</v>
      </c>
      <c r="G73" s="11" t="s">
        <v>121</v>
      </c>
      <c r="H73" s="43">
        <v>1</v>
      </c>
    </row>
    <row r="74" spans="1:8" x14ac:dyDescent="0.3">
      <c r="A74" s="35">
        <v>1</v>
      </c>
      <c r="B74" s="4" t="s">
        <v>54</v>
      </c>
      <c r="C74" s="4">
        <v>1</v>
      </c>
      <c r="D74" s="4"/>
      <c r="E74" s="4" t="s">
        <v>142</v>
      </c>
      <c r="F74" s="4" t="s">
        <v>21</v>
      </c>
      <c r="G74" s="4" t="s">
        <v>121</v>
      </c>
      <c r="H74" s="43">
        <v>1</v>
      </c>
    </row>
    <row r="75" spans="1:8" x14ac:dyDescent="0.3">
      <c r="A75" s="36">
        <v>2</v>
      </c>
      <c r="B75" s="5" t="s">
        <v>55</v>
      </c>
      <c r="C75" s="5">
        <v>1</v>
      </c>
      <c r="D75" s="5"/>
      <c r="E75" s="5">
        <v>3</v>
      </c>
      <c r="F75" s="5" t="s">
        <v>21</v>
      </c>
      <c r="G75" s="5" t="s">
        <v>121</v>
      </c>
      <c r="H75" s="43">
        <v>1</v>
      </c>
    </row>
    <row r="76" spans="1:8" outlineLevel="1" x14ac:dyDescent="0.3">
      <c r="A76" s="45">
        <v>2</v>
      </c>
      <c r="B76" s="46" t="s">
        <v>56</v>
      </c>
      <c r="C76" s="5">
        <v>1</v>
      </c>
      <c r="D76" s="5"/>
      <c r="E76" s="5">
        <v>3</v>
      </c>
      <c r="F76" s="5" t="s">
        <v>21</v>
      </c>
      <c r="G76" s="5" t="s">
        <v>121</v>
      </c>
      <c r="H76" s="43">
        <v>1</v>
      </c>
    </row>
    <row r="77" spans="1:8" x14ac:dyDescent="0.3">
      <c r="A77" s="4">
        <v>1</v>
      </c>
      <c r="B77" s="4" t="s">
        <v>139</v>
      </c>
      <c r="C77" s="21"/>
      <c r="D77" s="21"/>
      <c r="E77" s="21">
        <v>1</v>
      </c>
      <c r="F77" s="4" t="s">
        <v>18</v>
      </c>
      <c r="G77" s="4" t="s">
        <v>121</v>
      </c>
      <c r="H77" s="43">
        <v>1</v>
      </c>
    </row>
    <row r="78" spans="1:8" outlineLevel="1" x14ac:dyDescent="0.3">
      <c r="A78" s="6">
        <v>2</v>
      </c>
      <c r="B78" s="6" t="s">
        <v>140</v>
      </c>
      <c r="C78" s="22"/>
      <c r="D78" s="22"/>
      <c r="E78" s="22" t="s">
        <v>126</v>
      </c>
      <c r="F78" s="6" t="s">
        <v>18</v>
      </c>
      <c r="G78" s="6" t="s">
        <v>121</v>
      </c>
      <c r="H78" s="43">
        <v>1</v>
      </c>
    </row>
    <row r="79" spans="1:8" outlineLevel="1" x14ac:dyDescent="0.3">
      <c r="A79" s="7">
        <v>2</v>
      </c>
      <c r="B79" s="7" t="s">
        <v>48</v>
      </c>
      <c r="C79" s="25"/>
      <c r="D79" s="25"/>
      <c r="E79" s="25" t="s">
        <v>126</v>
      </c>
      <c r="F79" s="7" t="s">
        <v>18</v>
      </c>
      <c r="G79" s="7" t="s">
        <v>121</v>
      </c>
      <c r="H79" s="43">
        <v>1</v>
      </c>
    </row>
    <row r="80" spans="1:8" outlineLevel="1" x14ac:dyDescent="0.3">
      <c r="A80" s="7">
        <v>2</v>
      </c>
      <c r="B80" s="7" t="s">
        <v>45</v>
      </c>
      <c r="C80" s="25"/>
      <c r="D80" s="25"/>
      <c r="E80" s="25" t="s">
        <v>126</v>
      </c>
      <c r="F80" s="7" t="s">
        <v>18</v>
      </c>
      <c r="G80" s="7" t="s">
        <v>121</v>
      </c>
      <c r="H80" s="43">
        <v>1</v>
      </c>
    </row>
    <row r="81" spans="1:8" outlineLevel="1" x14ac:dyDescent="0.3">
      <c r="A81" s="4">
        <v>1</v>
      </c>
      <c r="B81" s="4" t="s">
        <v>44</v>
      </c>
      <c r="C81" s="4"/>
      <c r="D81" s="4"/>
      <c r="E81" s="4"/>
      <c r="F81" s="4" t="s">
        <v>124</v>
      </c>
      <c r="G81" s="4" t="s">
        <v>121</v>
      </c>
      <c r="H81" s="43">
        <v>1</v>
      </c>
    </row>
    <row r="82" spans="1:8" outlineLevel="1" x14ac:dyDescent="0.3">
      <c r="A82" s="4">
        <v>1</v>
      </c>
      <c r="B82" s="4" t="s">
        <v>58</v>
      </c>
      <c r="C82" s="4"/>
      <c r="D82" s="4"/>
      <c r="E82" s="4"/>
      <c r="F82" s="4" t="s">
        <v>21</v>
      </c>
      <c r="G82" s="4" t="s">
        <v>121</v>
      </c>
      <c r="H82" s="43">
        <v>1</v>
      </c>
    </row>
    <row r="83" spans="1:8" outlineLevel="1" x14ac:dyDescent="0.3">
      <c r="A83" s="26">
        <v>1</v>
      </c>
      <c r="B83" s="27" t="s">
        <v>25</v>
      </c>
      <c r="C83" s="27">
        <v>1</v>
      </c>
      <c r="D83" s="27"/>
      <c r="E83" s="27">
        <v>1</v>
      </c>
      <c r="F83" s="27" t="s">
        <v>25</v>
      </c>
      <c r="G83" s="27" t="s">
        <v>121</v>
      </c>
      <c r="H83" s="43">
        <v>1</v>
      </c>
    </row>
    <row r="84" spans="1:8" outlineLevel="1" x14ac:dyDescent="0.3">
      <c r="A84" s="29">
        <v>2</v>
      </c>
      <c r="B84" s="6" t="s">
        <v>26</v>
      </c>
      <c r="C84" s="6">
        <v>1</v>
      </c>
      <c r="D84" s="6"/>
      <c r="E84" s="6" t="s">
        <v>126</v>
      </c>
      <c r="F84" s="6" t="s">
        <v>25</v>
      </c>
      <c r="G84" s="6" t="s">
        <v>121</v>
      </c>
      <c r="H84" s="43">
        <v>1</v>
      </c>
    </row>
    <row r="85" spans="1:8" outlineLevel="1" x14ac:dyDescent="0.3">
      <c r="A85" s="31">
        <v>3</v>
      </c>
      <c r="B85" s="8" t="s">
        <v>27</v>
      </c>
      <c r="C85" s="8" t="s">
        <v>126</v>
      </c>
      <c r="D85" s="8"/>
      <c r="E85" s="8" t="s">
        <v>126</v>
      </c>
      <c r="F85" s="8" t="s">
        <v>25</v>
      </c>
      <c r="G85" s="8" t="s">
        <v>122</v>
      </c>
      <c r="H85" s="43">
        <v>1</v>
      </c>
    </row>
    <row r="86" spans="1:8" x14ac:dyDescent="0.3">
      <c r="A86" s="32">
        <v>3</v>
      </c>
      <c r="B86" s="9" t="s">
        <v>28</v>
      </c>
      <c r="C86" s="8" t="s">
        <v>126</v>
      </c>
      <c r="D86" s="8"/>
      <c r="E86" s="8" t="s">
        <v>126</v>
      </c>
      <c r="F86" s="8" t="s">
        <v>25</v>
      </c>
      <c r="G86" s="8" t="s">
        <v>123</v>
      </c>
      <c r="H86" s="43">
        <v>1</v>
      </c>
    </row>
    <row r="87" spans="1:8" outlineLevel="1" x14ac:dyDescent="0.3">
      <c r="A87" s="29">
        <v>2</v>
      </c>
      <c r="B87" s="6" t="s">
        <v>29</v>
      </c>
      <c r="C87" s="6">
        <v>1</v>
      </c>
      <c r="D87" s="6"/>
      <c r="E87" s="6" t="s">
        <v>142</v>
      </c>
      <c r="F87" s="6" t="s">
        <v>25</v>
      </c>
      <c r="G87" s="6" t="s">
        <v>121</v>
      </c>
      <c r="H87" s="43">
        <v>1</v>
      </c>
    </row>
    <row r="88" spans="1:8" outlineLevel="2" x14ac:dyDescent="0.3">
      <c r="A88" s="31">
        <v>3</v>
      </c>
      <c r="B88" s="8" t="s">
        <v>30</v>
      </c>
      <c r="C88" s="8">
        <v>1</v>
      </c>
      <c r="D88" s="8"/>
      <c r="E88" s="8" t="s">
        <v>141</v>
      </c>
      <c r="F88" s="8" t="s">
        <v>25</v>
      </c>
      <c r="G88" s="8" t="s">
        <v>121</v>
      </c>
      <c r="H88" s="43">
        <v>1</v>
      </c>
    </row>
    <row r="89" spans="1:8" outlineLevel="2" x14ac:dyDescent="0.3">
      <c r="A89" s="33">
        <v>4</v>
      </c>
      <c r="B89" s="10" t="s">
        <v>31</v>
      </c>
      <c r="C89" s="30" t="s">
        <v>126</v>
      </c>
      <c r="E89" s="10" t="s">
        <v>141</v>
      </c>
      <c r="F89" s="10" t="s">
        <v>25</v>
      </c>
      <c r="G89" s="10" t="s">
        <v>122</v>
      </c>
      <c r="H89" s="43">
        <v>1</v>
      </c>
    </row>
    <row r="90" spans="1:8" outlineLevel="1" x14ac:dyDescent="0.3">
      <c r="A90" s="34">
        <v>4</v>
      </c>
      <c r="B90" s="11" t="s">
        <v>32</v>
      </c>
      <c r="C90" s="30" t="s">
        <v>126</v>
      </c>
      <c r="E90" s="10" t="s">
        <v>141</v>
      </c>
      <c r="F90" s="10" t="s">
        <v>25</v>
      </c>
      <c r="G90" s="10" t="s">
        <v>123</v>
      </c>
      <c r="H90" s="43">
        <v>1</v>
      </c>
    </row>
    <row r="91" spans="1:8" outlineLevel="1" x14ac:dyDescent="0.3">
      <c r="A91" s="12">
        <v>3</v>
      </c>
      <c r="B91" s="12" t="s">
        <v>33</v>
      </c>
      <c r="C91" s="12">
        <v>1</v>
      </c>
      <c r="D91" s="12"/>
      <c r="E91" s="12" t="s">
        <v>141</v>
      </c>
      <c r="F91" s="12" t="s">
        <v>25</v>
      </c>
      <c r="G91" s="12" t="s">
        <v>121</v>
      </c>
      <c r="H91" s="43">
        <v>1</v>
      </c>
    </row>
    <row r="92" spans="1:8" outlineLevel="4" x14ac:dyDescent="0.3">
      <c r="A92" s="34">
        <v>4</v>
      </c>
      <c r="B92" s="34" t="s">
        <v>34</v>
      </c>
      <c r="C92" s="34" t="s">
        <v>126</v>
      </c>
      <c r="D92" s="34"/>
      <c r="E92" s="34" t="s">
        <v>141</v>
      </c>
      <c r="F92" s="34" t="s">
        <v>25</v>
      </c>
      <c r="G92" s="34" t="s">
        <v>122</v>
      </c>
      <c r="H92" s="43">
        <v>1</v>
      </c>
    </row>
    <row r="93" spans="1:8" outlineLevel="4" x14ac:dyDescent="0.3">
      <c r="A93" s="34">
        <v>4</v>
      </c>
      <c r="B93" s="34" t="s">
        <v>35</v>
      </c>
      <c r="C93" s="34" t="s">
        <v>126</v>
      </c>
      <c r="D93" s="34"/>
      <c r="E93" s="34" t="s">
        <v>141</v>
      </c>
      <c r="F93" s="34" t="s">
        <v>25</v>
      </c>
      <c r="G93" s="34" t="s">
        <v>123</v>
      </c>
      <c r="H93" s="43">
        <v>1</v>
      </c>
    </row>
    <row r="94" spans="1:8" outlineLevel="1" x14ac:dyDescent="0.3">
      <c r="A94" s="26">
        <v>1</v>
      </c>
      <c r="B94" s="26" t="s">
        <v>37</v>
      </c>
      <c r="C94" s="26" t="s">
        <v>120</v>
      </c>
      <c r="D94" s="26"/>
      <c r="E94" s="26"/>
      <c r="F94" s="29" t="s">
        <v>124</v>
      </c>
      <c r="G94" s="26" t="s">
        <v>121</v>
      </c>
      <c r="H94" s="43">
        <v>1</v>
      </c>
    </row>
    <row r="95" spans="1:8" outlineLevel="4" x14ac:dyDescent="0.3">
      <c r="A95" s="26">
        <v>1</v>
      </c>
      <c r="B95" s="26" t="s">
        <v>62</v>
      </c>
      <c r="C95" s="26" t="s">
        <v>126</v>
      </c>
      <c r="D95" s="26"/>
      <c r="E95" s="26">
        <v>1</v>
      </c>
      <c r="F95" s="26" t="s">
        <v>25</v>
      </c>
      <c r="G95" s="26" t="s">
        <v>122</v>
      </c>
      <c r="H95" s="43">
        <v>1</v>
      </c>
    </row>
    <row r="96" spans="1:8" outlineLevel="4" x14ac:dyDescent="0.3">
      <c r="A96" s="12">
        <v>2</v>
      </c>
      <c r="B96" s="12" t="s">
        <v>63</v>
      </c>
      <c r="C96" s="12" t="s">
        <v>126</v>
      </c>
      <c r="D96" s="12"/>
      <c r="E96" s="12">
        <v>2</v>
      </c>
      <c r="F96" s="12" t="s">
        <v>25</v>
      </c>
      <c r="G96" s="12" t="s">
        <v>122</v>
      </c>
      <c r="H96" s="43">
        <v>1</v>
      </c>
    </row>
    <row r="97" spans="1:8" outlineLevel="1" x14ac:dyDescent="0.3">
      <c r="A97" s="31">
        <v>3</v>
      </c>
      <c r="B97" s="31" t="s">
        <v>31</v>
      </c>
      <c r="C97" s="31" t="s">
        <v>126</v>
      </c>
      <c r="D97" s="31"/>
      <c r="E97" s="31">
        <v>3</v>
      </c>
      <c r="F97" s="31" t="s">
        <v>25</v>
      </c>
      <c r="G97" s="31" t="s">
        <v>122</v>
      </c>
      <c r="H97" s="43">
        <v>1</v>
      </c>
    </row>
    <row r="98" spans="1:8" outlineLevel="1" x14ac:dyDescent="0.3">
      <c r="A98" s="31">
        <v>3</v>
      </c>
      <c r="B98" s="31" t="s">
        <v>34</v>
      </c>
      <c r="C98" s="31" t="s">
        <v>126</v>
      </c>
      <c r="D98" s="31"/>
      <c r="E98" s="31">
        <v>3</v>
      </c>
      <c r="F98" s="31" t="s">
        <v>25</v>
      </c>
      <c r="G98" s="31" t="s">
        <v>122</v>
      </c>
      <c r="H98" s="43">
        <v>1</v>
      </c>
    </row>
    <row r="99" spans="1:8" x14ac:dyDescent="0.3">
      <c r="A99" s="12">
        <v>2</v>
      </c>
      <c r="B99" s="12" t="s">
        <v>27</v>
      </c>
      <c r="C99" s="12" t="s">
        <v>126</v>
      </c>
      <c r="D99" s="12"/>
      <c r="E99" s="12" t="s">
        <v>126</v>
      </c>
      <c r="F99" s="12" t="s">
        <v>25</v>
      </c>
      <c r="G99" s="12" t="s">
        <v>122</v>
      </c>
      <c r="H99" s="43">
        <v>1</v>
      </c>
    </row>
    <row r="100" spans="1:8" outlineLevel="1" x14ac:dyDescent="0.3">
      <c r="A100" s="26">
        <v>1</v>
      </c>
      <c r="B100" s="26" t="s">
        <v>64</v>
      </c>
      <c r="C100" s="26" t="s">
        <v>126</v>
      </c>
      <c r="D100" s="26"/>
      <c r="E100" s="26">
        <v>1</v>
      </c>
      <c r="F100" s="26" t="s">
        <v>25</v>
      </c>
      <c r="G100" s="26" t="s">
        <v>123</v>
      </c>
      <c r="H100" s="43">
        <v>1</v>
      </c>
    </row>
    <row r="101" spans="1:8" outlineLevel="2" x14ac:dyDescent="0.3">
      <c r="A101" s="12">
        <v>2</v>
      </c>
      <c r="B101" s="12" t="s">
        <v>65</v>
      </c>
      <c r="C101" s="12" t="s">
        <v>126</v>
      </c>
      <c r="D101" s="12"/>
      <c r="E101" s="12">
        <v>2</v>
      </c>
      <c r="F101" s="12" t="s">
        <v>25</v>
      </c>
      <c r="G101" s="12" t="s">
        <v>123</v>
      </c>
      <c r="H101" s="43">
        <v>1</v>
      </c>
    </row>
    <row r="102" spans="1:8" outlineLevel="1" x14ac:dyDescent="0.3">
      <c r="A102" s="31">
        <v>3</v>
      </c>
      <c r="B102" s="31" t="s">
        <v>32</v>
      </c>
      <c r="C102" s="31" t="s">
        <v>126</v>
      </c>
      <c r="D102" s="31"/>
      <c r="E102" s="31">
        <v>3</v>
      </c>
      <c r="F102" s="31" t="s">
        <v>25</v>
      </c>
      <c r="G102" s="31" t="s">
        <v>123</v>
      </c>
      <c r="H102" s="43">
        <v>1</v>
      </c>
    </row>
    <row r="103" spans="1:8" x14ac:dyDescent="0.3">
      <c r="A103" s="31">
        <v>3</v>
      </c>
      <c r="B103" s="31" t="s">
        <v>35</v>
      </c>
      <c r="C103" s="31" t="s">
        <v>126</v>
      </c>
      <c r="D103" s="31"/>
      <c r="E103" s="31">
        <v>3</v>
      </c>
      <c r="F103" s="31" t="s">
        <v>25</v>
      </c>
      <c r="G103" s="31" t="s">
        <v>123</v>
      </c>
      <c r="H103" s="43">
        <v>1</v>
      </c>
    </row>
    <row r="104" spans="1:8" outlineLevel="1" x14ac:dyDescent="0.3">
      <c r="A104" s="12">
        <v>2</v>
      </c>
      <c r="B104" s="12" t="s">
        <v>28</v>
      </c>
      <c r="C104" s="12" t="s">
        <v>126</v>
      </c>
      <c r="D104" s="12"/>
      <c r="E104" s="12" t="s">
        <v>126</v>
      </c>
      <c r="F104" s="12" t="s">
        <v>25</v>
      </c>
      <c r="G104" s="12" t="s">
        <v>123</v>
      </c>
      <c r="H104" s="43">
        <v>1</v>
      </c>
    </row>
    <row r="105" spans="1:8" x14ac:dyDescent="0.3">
      <c r="A105" s="26">
        <v>1</v>
      </c>
      <c r="B105" s="26" t="s">
        <v>59</v>
      </c>
      <c r="C105" s="26"/>
      <c r="D105" s="26"/>
      <c r="E105" s="26"/>
      <c r="F105" s="26" t="s">
        <v>21</v>
      </c>
      <c r="G105" s="26" t="s">
        <v>121</v>
      </c>
      <c r="H105" s="43">
        <v>1</v>
      </c>
    </row>
    <row r="106" spans="1:8" outlineLevel="1" x14ac:dyDescent="0.3">
      <c r="A106" s="26">
        <v>1</v>
      </c>
      <c r="B106" s="26" t="s">
        <v>57</v>
      </c>
      <c r="C106" s="26"/>
      <c r="D106" s="26"/>
      <c r="E106" s="26"/>
      <c r="F106" s="26" t="s">
        <v>21</v>
      </c>
      <c r="G106" s="26" t="s">
        <v>121</v>
      </c>
      <c r="H106" s="43">
        <v>1</v>
      </c>
    </row>
    <row r="107" spans="1:8" outlineLevel="2" x14ac:dyDescent="0.3">
      <c r="A107" s="26">
        <v>1</v>
      </c>
      <c r="B107" s="26" t="s">
        <v>60</v>
      </c>
      <c r="C107" s="26">
        <v>0</v>
      </c>
      <c r="D107" s="26">
        <v>0</v>
      </c>
      <c r="E107" s="26"/>
      <c r="F107" s="26" t="s">
        <v>124</v>
      </c>
      <c r="G107" s="26" t="s">
        <v>121</v>
      </c>
      <c r="H107" s="43">
        <v>1</v>
      </c>
    </row>
    <row r="108" spans="1:8" outlineLevel="2" x14ac:dyDescent="0.3">
      <c r="A108" s="29">
        <v>2</v>
      </c>
      <c r="B108" s="29" t="s">
        <v>36</v>
      </c>
      <c r="C108" s="29">
        <v>1</v>
      </c>
      <c r="D108" s="29">
        <v>2</v>
      </c>
      <c r="E108" s="29"/>
      <c r="F108" s="29" t="s">
        <v>124</v>
      </c>
      <c r="G108" s="29" t="s">
        <v>121</v>
      </c>
      <c r="H108" s="43">
        <v>1</v>
      </c>
    </row>
    <row r="109" spans="1:8" outlineLevel="1" x14ac:dyDescent="0.3">
      <c r="A109" s="29">
        <v>2</v>
      </c>
      <c r="B109" s="29" t="s">
        <v>33</v>
      </c>
      <c r="C109" s="29">
        <v>1</v>
      </c>
      <c r="D109" s="29">
        <v>2</v>
      </c>
      <c r="E109" s="29">
        <v>3</v>
      </c>
      <c r="F109" s="29" t="s">
        <v>25</v>
      </c>
      <c r="G109" s="29" t="s">
        <v>121</v>
      </c>
      <c r="H109" s="43">
        <v>1</v>
      </c>
    </row>
    <row r="110" spans="1:8" x14ac:dyDescent="0.3">
      <c r="A110" s="29">
        <v>2</v>
      </c>
      <c r="B110" s="65" t="s">
        <v>37</v>
      </c>
      <c r="C110" s="29"/>
      <c r="D110" s="29"/>
      <c r="E110" s="29"/>
      <c r="F110" s="29" t="s">
        <v>124</v>
      </c>
      <c r="G110" s="29" t="s">
        <v>121</v>
      </c>
      <c r="H110" s="43">
        <v>1</v>
      </c>
    </row>
    <row r="111" spans="1:8" outlineLevel="1" x14ac:dyDescent="0.3">
      <c r="A111" s="29">
        <v>2</v>
      </c>
      <c r="B111" s="29" t="s">
        <v>44</v>
      </c>
      <c r="C111" s="29"/>
      <c r="D111" s="29"/>
      <c r="E111" s="29"/>
      <c r="F111" s="29" t="s">
        <v>124</v>
      </c>
      <c r="G111" s="29" t="s">
        <v>121</v>
      </c>
      <c r="H111" s="43">
        <v>1</v>
      </c>
    </row>
    <row r="112" spans="1:8" x14ac:dyDescent="0.3">
      <c r="A112" s="26">
        <v>1</v>
      </c>
      <c r="B112" s="26" t="s">
        <v>157</v>
      </c>
      <c r="C112" s="26">
        <v>0</v>
      </c>
      <c r="D112" s="26">
        <v>0</v>
      </c>
      <c r="E112" s="26"/>
      <c r="F112" s="26" t="s">
        <v>124</v>
      </c>
      <c r="G112" s="26" t="s">
        <v>121</v>
      </c>
      <c r="H112" s="43">
        <v>1</v>
      </c>
    </row>
    <row r="113" spans="1:8" x14ac:dyDescent="0.3">
      <c r="A113" s="29">
        <v>2</v>
      </c>
      <c r="B113" s="29" t="s">
        <v>36</v>
      </c>
      <c r="C113" s="29">
        <v>1</v>
      </c>
      <c r="D113" s="29">
        <v>2</v>
      </c>
      <c r="E113" s="29"/>
      <c r="F113" s="29" t="s">
        <v>124</v>
      </c>
      <c r="G113" s="29" t="s">
        <v>121</v>
      </c>
      <c r="H113" s="43">
        <v>1</v>
      </c>
    </row>
    <row r="114" spans="1:8" x14ac:dyDescent="0.3">
      <c r="A114" s="31">
        <v>3</v>
      </c>
      <c r="B114" s="31" t="s">
        <v>129</v>
      </c>
      <c r="C114" s="31">
        <v>2</v>
      </c>
      <c r="D114" s="31">
        <v>2</v>
      </c>
      <c r="E114" s="31"/>
      <c r="F114" s="31" t="s">
        <v>124</v>
      </c>
      <c r="G114" s="31" t="s">
        <v>122</v>
      </c>
      <c r="H114" s="43">
        <v>1</v>
      </c>
    </row>
    <row r="115" spans="1:8" x14ac:dyDescent="0.3">
      <c r="A115" s="31">
        <v>3</v>
      </c>
      <c r="B115" s="31" t="s">
        <v>130</v>
      </c>
      <c r="C115" s="31">
        <v>2</v>
      </c>
      <c r="D115" s="31">
        <v>2</v>
      </c>
      <c r="E115" s="31"/>
      <c r="F115" s="31" t="s">
        <v>124</v>
      </c>
      <c r="G115" s="31" t="s">
        <v>123</v>
      </c>
      <c r="H115" s="43">
        <v>1</v>
      </c>
    </row>
    <row r="116" spans="1:8" x14ac:dyDescent="0.3">
      <c r="A116" s="29">
        <v>2</v>
      </c>
      <c r="B116" s="29" t="s">
        <v>33</v>
      </c>
      <c r="C116" s="29">
        <v>1</v>
      </c>
      <c r="D116" s="29"/>
      <c r="E116" s="29" t="s">
        <v>141</v>
      </c>
      <c r="F116" s="29" t="s">
        <v>25</v>
      </c>
      <c r="G116" s="29" t="s">
        <v>121</v>
      </c>
      <c r="H116" s="43">
        <v>1</v>
      </c>
    </row>
    <row r="117" spans="1:8" outlineLevel="2" x14ac:dyDescent="0.3">
      <c r="A117" s="31">
        <v>3</v>
      </c>
      <c r="B117" s="31" t="s">
        <v>34</v>
      </c>
      <c r="C117" s="31">
        <v>2</v>
      </c>
      <c r="D117" s="31"/>
      <c r="E117" s="31" t="s">
        <v>141</v>
      </c>
      <c r="F117" s="71" t="s">
        <v>25</v>
      </c>
      <c r="G117" s="31" t="s">
        <v>122</v>
      </c>
      <c r="H117" s="43">
        <v>1</v>
      </c>
    </row>
    <row r="118" spans="1:8" outlineLevel="2" x14ac:dyDescent="0.3">
      <c r="A118" s="31">
        <v>3</v>
      </c>
      <c r="B118" s="31" t="s">
        <v>35</v>
      </c>
      <c r="C118" s="31">
        <v>2</v>
      </c>
      <c r="D118" s="31"/>
      <c r="E118" s="31" t="s">
        <v>141</v>
      </c>
      <c r="F118" s="71" t="s">
        <v>25</v>
      </c>
      <c r="G118" s="31" t="s">
        <v>123</v>
      </c>
      <c r="H118" s="43">
        <v>1</v>
      </c>
    </row>
  </sheetData>
  <autoFilter ref="A1:J118" xr:uid="{00000000-0001-0000-0100-000000000000}"/>
  <phoneticPr fontId="3" type="noConversion"/>
  <dataValidations count="5">
    <dataValidation type="list" allowBlank="1" showInputMessage="1" showErrorMessage="1" sqref="G116 G2:G113" xr:uid="{55ADDD3A-08E3-4D5D-86CC-900BED89E630}">
      <formula1>$I$3:$I$5</formula1>
    </dataValidation>
    <dataValidation type="list" allowBlank="1" showInputMessage="1" showErrorMessage="1" sqref="F116 F78:F112 F2:F76" xr:uid="{86600634-C391-4E9C-BF6A-71C9468B9F5A}">
      <formula1>$J$3:$J$8</formula1>
    </dataValidation>
    <dataValidation type="list" allowBlank="1" showInputMessage="1" showErrorMessage="1" sqref="D47:D87 D38:D45 D111" xr:uid="{2D004C51-6125-4747-AAD2-1133D80084B0}">
      <formula1>$J$11:$J$14</formula1>
    </dataValidation>
    <dataValidation type="list" allowBlank="1" showInputMessage="1" showErrorMessage="1" sqref="D2:D37 D46 D88:D110 D112:D118" xr:uid="{32789AD7-7039-4D98-85DA-B70CC1E433DA}">
      <formula1>$J$10:$J$15</formula1>
    </dataValidation>
    <dataValidation type="list" allowBlank="1" showInputMessage="1" showErrorMessage="1" sqref="C2:C118" xr:uid="{E6F8AC0A-A200-4772-93C6-DCCD7C4E8373}">
      <formula1>$I$10:$I$15</formula1>
    </dataValidation>
  </dataValidations>
  <pageMargins left="0.75" right="0.75" top="1" bottom="1" header="0.5" footer="0.5"/>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N55"/>
  <sheetViews>
    <sheetView topLeftCell="A4" workbookViewId="0">
      <selection activeCell="B41" sqref="B41"/>
    </sheetView>
  </sheetViews>
  <sheetFormatPr baseColWidth="10" defaultColWidth="9" defaultRowHeight="12.4" outlineLevelRow="2" x14ac:dyDescent="0.3"/>
  <cols>
    <col min="1" max="1" width="8.64453125" bestFit="1" customWidth="1"/>
    <col min="2" max="2" width="37" bestFit="1" customWidth="1"/>
    <col min="3" max="3" width="8.76171875" bestFit="1" customWidth="1"/>
    <col min="4" max="4" width="9.234375" bestFit="1" customWidth="1"/>
    <col min="5" max="5" width="8.76171875" bestFit="1" customWidth="1"/>
    <col min="6" max="6" width="14.3515625" bestFit="1" customWidth="1"/>
    <col min="7" max="7" width="32.87890625" bestFit="1" customWidth="1"/>
  </cols>
  <sheetData>
    <row r="1" spans="1:10" ht="37.15" x14ac:dyDescent="0.3">
      <c r="A1" s="3" t="s">
        <v>9</v>
      </c>
      <c r="B1" s="3" t="s">
        <v>66</v>
      </c>
      <c r="C1" s="3" t="s">
        <v>115</v>
      </c>
      <c r="D1" s="3" t="s">
        <v>118</v>
      </c>
      <c r="E1" s="3" t="s">
        <v>119</v>
      </c>
      <c r="F1" s="42" t="s">
        <v>112</v>
      </c>
      <c r="G1" s="3" t="s">
        <v>109</v>
      </c>
      <c r="H1" s="85" t="s">
        <v>197</v>
      </c>
    </row>
    <row r="2" spans="1:10" x14ac:dyDescent="0.3">
      <c r="A2" s="4">
        <v>1</v>
      </c>
      <c r="B2" s="4" t="s">
        <v>68</v>
      </c>
      <c r="C2" s="4">
        <v>1</v>
      </c>
      <c r="D2" s="4"/>
      <c r="E2" s="4"/>
      <c r="F2" s="4" t="s">
        <v>121</v>
      </c>
      <c r="G2" s="4" t="s">
        <v>125</v>
      </c>
      <c r="H2">
        <v>1</v>
      </c>
    </row>
    <row r="3" spans="1:10" x14ac:dyDescent="0.3">
      <c r="A3" s="6">
        <v>2</v>
      </c>
      <c r="B3" s="6" t="s">
        <v>143</v>
      </c>
      <c r="C3" s="64" t="s">
        <v>126</v>
      </c>
      <c r="D3" s="6"/>
      <c r="E3" s="6"/>
      <c r="F3" s="6" t="s">
        <v>122</v>
      </c>
      <c r="G3" s="6" t="s">
        <v>125</v>
      </c>
      <c r="H3">
        <v>1</v>
      </c>
    </row>
    <row r="4" spans="1:10" x14ac:dyDescent="0.3">
      <c r="A4" s="7">
        <v>2</v>
      </c>
      <c r="B4" s="7" t="s">
        <v>144</v>
      </c>
      <c r="C4" s="7" t="s">
        <v>126</v>
      </c>
      <c r="D4" s="7"/>
      <c r="E4" s="7"/>
      <c r="F4" s="7" t="s">
        <v>123</v>
      </c>
      <c r="G4" s="7" t="s">
        <v>125</v>
      </c>
      <c r="H4">
        <v>1</v>
      </c>
      <c r="J4" t="s">
        <v>121</v>
      </c>
    </row>
    <row r="5" spans="1:10" x14ac:dyDescent="0.3">
      <c r="A5" s="4">
        <v>1</v>
      </c>
      <c r="B5" s="4" t="s">
        <v>69</v>
      </c>
      <c r="C5" s="4">
        <v>1</v>
      </c>
      <c r="D5" s="4"/>
      <c r="E5" s="4"/>
      <c r="F5" s="4" t="s">
        <v>121</v>
      </c>
      <c r="G5" s="4" t="s">
        <v>125</v>
      </c>
      <c r="H5">
        <v>1</v>
      </c>
      <c r="J5" t="s">
        <v>122</v>
      </c>
    </row>
    <row r="6" spans="1:10" x14ac:dyDescent="0.3">
      <c r="A6" s="6">
        <v>2</v>
      </c>
      <c r="B6" s="6" t="s">
        <v>145</v>
      </c>
      <c r="C6" s="6" t="s">
        <v>126</v>
      </c>
      <c r="D6" s="6"/>
      <c r="E6" s="6"/>
      <c r="F6" s="6" t="s">
        <v>122</v>
      </c>
      <c r="G6" s="6" t="s">
        <v>125</v>
      </c>
      <c r="H6">
        <v>1</v>
      </c>
      <c r="J6" t="s">
        <v>123</v>
      </c>
    </row>
    <row r="7" spans="1:10" x14ac:dyDescent="0.3">
      <c r="A7" s="7">
        <v>2</v>
      </c>
      <c r="B7" s="7" t="s">
        <v>146</v>
      </c>
      <c r="C7" s="7" t="s">
        <v>126</v>
      </c>
      <c r="D7" s="7"/>
      <c r="E7" s="7"/>
      <c r="F7" s="7" t="s">
        <v>123</v>
      </c>
      <c r="G7" s="7" t="s">
        <v>125</v>
      </c>
      <c r="H7">
        <v>1</v>
      </c>
    </row>
    <row r="8" spans="1:10" outlineLevel="1" x14ac:dyDescent="0.3">
      <c r="A8" s="4">
        <v>1</v>
      </c>
      <c r="B8" s="4" t="s">
        <v>67</v>
      </c>
      <c r="C8" s="4"/>
      <c r="D8" s="4"/>
      <c r="E8" s="4"/>
      <c r="F8" s="4" t="s">
        <v>121</v>
      </c>
      <c r="G8" s="4" t="s">
        <v>125</v>
      </c>
      <c r="H8">
        <v>1</v>
      </c>
    </row>
    <row r="9" spans="1:10" outlineLevel="1" x14ac:dyDescent="0.3">
      <c r="A9" s="4">
        <v>1</v>
      </c>
      <c r="B9" s="4" t="s">
        <v>147</v>
      </c>
      <c r="C9" s="4"/>
      <c r="D9" s="4"/>
      <c r="E9" s="4"/>
      <c r="F9" s="4" t="s">
        <v>121</v>
      </c>
      <c r="G9" s="4" t="s">
        <v>125</v>
      </c>
      <c r="H9">
        <v>1</v>
      </c>
    </row>
    <row r="10" spans="1:10" x14ac:dyDescent="0.3">
      <c r="A10" s="4">
        <v>1</v>
      </c>
      <c r="B10" s="4" t="s">
        <v>70</v>
      </c>
      <c r="C10" s="4"/>
      <c r="D10" s="4"/>
      <c r="E10" s="4"/>
      <c r="F10" s="4" t="s">
        <v>121</v>
      </c>
      <c r="G10" s="4" t="s">
        <v>125</v>
      </c>
      <c r="H10">
        <v>1</v>
      </c>
    </row>
    <row r="11" spans="1:10" x14ac:dyDescent="0.3">
      <c r="A11" s="4">
        <v>1</v>
      </c>
      <c r="B11" s="4" t="s">
        <v>71</v>
      </c>
      <c r="C11" s="4"/>
      <c r="D11" s="4"/>
      <c r="E11" s="4"/>
      <c r="F11" s="4" t="s">
        <v>121</v>
      </c>
      <c r="G11" s="4" t="s">
        <v>125</v>
      </c>
      <c r="H11">
        <v>1</v>
      </c>
    </row>
    <row r="12" spans="1:10" x14ac:dyDescent="0.3">
      <c r="A12" s="4">
        <v>1</v>
      </c>
      <c r="B12" s="4" t="s">
        <v>170</v>
      </c>
      <c r="C12" s="4">
        <v>1</v>
      </c>
      <c r="D12" s="4"/>
      <c r="E12" s="4">
        <v>1</v>
      </c>
      <c r="F12" s="4" t="s">
        <v>121</v>
      </c>
      <c r="G12" s="4" t="s">
        <v>18</v>
      </c>
      <c r="H12">
        <v>1</v>
      </c>
    </row>
    <row r="13" spans="1:10" x14ac:dyDescent="0.3">
      <c r="A13" s="6">
        <v>2</v>
      </c>
      <c r="B13" s="6" t="s">
        <v>72</v>
      </c>
      <c r="C13" s="6">
        <v>1</v>
      </c>
      <c r="D13" s="6"/>
      <c r="E13" s="6" t="s">
        <v>126</v>
      </c>
      <c r="F13" s="6" t="s">
        <v>121</v>
      </c>
      <c r="G13" s="6" t="s">
        <v>18</v>
      </c>
      <c r="H13">
        <v>1</v>
      </c>
    </row>
    <row r="14" spans="1:10" x14ac:dyDescent="0.3">
      <c r="A14" s="10">
        <v>3</v>
      </c>
      <c r="B14" s="10" t="s">
        <v>73</v>
      </c>
      <c r="C14" s="73" t="s">
        <v>126</v>
      </c>
      <c r="D14" s="10"/>
      <c r="E14" s="10" t="s">
        <v>126</v>
      </c>
      <c r="F14" s="10" t="s">
        <v>122</v>
      </c>
      <c r="G14" s="10" t="s">
        <v>18</v>
      </c>
      <c r="H14">
        <v>1</v>
      </c>
    </row>
    <row r="15" spans="1:10" x14ac:dyDescent="0.3">
      <c r="A15" s="11">
        <v>3</v>
      </c>
      <c r="B15" s="11" t="s">
        <v>74</v>
      </c>
      <c r="C15" s="73" t="s">
        <v>126</v>
      </c>
      <c r="D15" s="11"/>
      <c r="E15" s="11" t="s">
        <v>126</v>
      </c>
      <c r="F15" s="10" t="s">
        <v>123</v>
      </c>
      <c r="G15" s="11" t="s">
        <v>18</v>
      </c>
      <c r="H15">
        <v>1</v>
      </c>
    </row>
    <row r="16" spans="1:10" outlineLevel="1" x14ac:dyDescent="0.3">
      <c r="A16" s="6">
        <v>2</v>
      </c>
      <c r="B16" s="6" t="s">
        <v>148</v>
      </c>
      <c r="C16" s="6">
        <v>1</v>
      </c>
      <c r="D16" s="6"/>
      <c r="E16" s="6" t="s">
        <v>126</v>
      </c>
      <c r="F16" s="6" t="s">
        <v>121</v>
      </c>
      <c r="G16" s="6" t="s">
        <v>18</v>
      </c>
      <c r="H16">
        <v>1</v>
      </c>
    </row>
    <row r="17" spans="1:14" outlineLevel="1" x14ac:dyDescent="0.3">
      <c r="A17" s="10">
        <v>3</v>
      </c>
      <c r="B17" s="10" t="s">
        <v>149</v>
      </c>
      <c r="C17" s="73" t="s">
        <v>126</v>
      </c>
      <c r="D17" s="10"/>
      <c r="E17" s="10" t="s">
        <v>126</v>
      </c>
      <c r="F17" s="11" t="s">
        <v>122</v>
      </c>
      <c r="G17" s="10" t="s">
        <v>18</v>
      </c>
      <c r="H17">
        <v>1</v>
      </c>
    </row>
    <row r="18" spans="1:14" x14ac:dyDescent="0.3">
      <c r="A18" s="11">
        <v>3</v>
      </c>
      <c r="B18" s="11" t="s">
        <v>150</v>
      </c>
      <c r="C18" s="73" t="s">
        <v>126</v>
      </c>
      <c r="D18" s="11"/>
      <c r="E18" s="11" t="s">
        <v>126</v>
      </c>
      <c r="F18" s="11" t="s">
        <v>123</v>
      </c>
      <c r="G18" s="11" t="s">
        <v>18</v>
      </c>
      <c r="H18">
        <v>1</v>
      </c>
    </row>
    <row r="19" spans="1:14" x14ac:dyDescent="0.3">
      <c r="A19" s="4">
        <v>1</v>
      </c>
      <c r="B19" s="4" t="s">
        <v>171</v>
      </c>
      <c r="C19" s="4">
        <v>1</v>
      </c>
      <c r="D19" s="4"/>
      <c r="E19" s="4">
        <v>1</v>
      </c>
      <c r="F19" s="4" t="s">
        <v>121</v>
      </c>
      <c r="G19" s="4" t="s">
        <v>21</v>
      </c>
      <c r="H19">
        <v>1</v>
      </c>
    </row>
    <row r="20" spans="1:14" x14ac:dyDescent="0.3">
      <c r="A20" s="6">
        <v>2</v>
      </c>
      <c r="B20" s="6" t="s">
        <v>76</v>
      </c>
      <c r="C20" s="6">
        <v>1</v>
      </c>
      <c r="D20" s="6"/>
      <c r="E20" s="6" t="s">
        <v>126</v>
      </c>
      <c r="F20" s="6" t="s">
        <v>121</v>
      </c>
      <c r="G20" s="6" t="s">
        <v>21</v>
      </c>
      <c r="H20">
        <v>1</v>
      </c>
    </row>
    <row r="21" spans="1:14" x14ac:dyDescent="0.3">
      <c r="A21" s="10">
        <v>3</v>
      </c>
      <c r="B21" s="10" t="s">
        <v>151</v>
      </c>
      <c r="C21" s="73" t="s">
        <v>126</v>
      </c>
      <c r="D21" s="10"/>
      <c r="E21" s="10" t="s">
        <v>126</v>
      </c>
      <c r="F21" s="11" t="s">
        <v>122</v>
      </c>
      <c r="G21" s="10" t="s">
        <v>21</v>
      </c>
      <c r="H21">
        <v>1</v>
      </c>
    </row>
    <row r="22" spans="1:14" x14ac:dyDescent="0.3">
      <c r="A22" s="11">
        <v>3</v>
      </c>
      <c r="B22" s="11" t="s">
        <v>152</v>
      </c>
      <c r="C22" s="73" t="s">
        <v>126</v>
      </c>
      <c r="D22" s="11"/>
      <c r="E22" s="11" t="s">
        <v>126</v>
      </c>
      <c r="F22" s="11" t="s">
        <v>123</v>
      </c>
      <c r="G22" s="11" t="s">
        <v>21</v>
      </c>
      <c r="H22">
        <v>1</v>
      </c>
    </row>
    <row r="23" spans="1:14" outlineLevel="2" x14ac:dyDescent="0.3">
      <c r="A23" s="6">
        <v>2</v>
      </c>
      <c r="B23" s="6" t="s">
        <v>78</v>
      </c>
      <c r="C23" s="6">
        <v>1</v>
      </c>
      <c r="D23" s="6"/>
      <c r="E23" s="6">
        <v>2</v>
      </c>
      <c r="F23" s="6" t="s">
        <v>121</v>
      </c>
      <c r="G23" s="6" t="s">
        <v>21</v>
      </c>
      <c r="H23">
        <v>1</v>
      </c>
    </row>
    <row r="24" spans="1:14" outlineLevel="2" x14ac:dyDescent="0.3">
      <c r="A24" s="10">
        <v>3</v>
      </c>
      <c r="B24" s="10" t="s">
        <v>153</v>
      </c>
      <c r="C24" s="73" t="s">
        <v>126</v>
      </c>
      <c r="D24" s="10"/>
      <c r="E24" s="10" t="s">
        <v>126</v>
      </c>
      <c r="F24" s="11" t="s">
        <v>122</v>
      </c>
      <c r="G24" s="10" t="s">
        <v>21</v>
      </c>
      <c r="H24">
        <v>1</v>
      </c>
    </row>
    <row r="25" spans="1:14" x14ac:dyDescent="0.3">
      <c r="A25" s="11">
        <v>3</v>
      </c>
      <c r="B25" s="11" t="s">
        <v>154</v>
      </c>
      <c r="C25" s="73" t="s">
        <v>126</v>
      </c>
      <c r="D25" s="11"/>
      <c r="E25" s="11" t="s">
        <v>126</v>
      </c>
      <c r="F25" s="11" t="s">
        <v>123</v>
      </c>
      <c r="G25" s="11" t="s">
        <v>21</v>
      </c>
      <c r="H25">
        <v>1</v>
      </c>
    </row>
    <row r="26" spans="1:14" outlineLevel="2" x14ac:dyDescent="0.3">
      <c r="A26" s="4">
        <v>1</v>
      </c>
      <c r="B26" s="4" t="s">
        <v>78</v>
      </c>
      <c r="C26" s="4">
        <v>1</v>
      </c>
      <c r="D26" s="4"/>
      <c r="E26" s="4">
        <v>2</v>
      </c>
      <c r="F26" s="4" t="s">
        <v>121</v>
      </c>
      <c r="G26" s="4" t="s">
        <v>21</v>
      </c>
      <c r="H26">
        <v>1</v>
      </c>
      <c r="I26" s="11"/>
      <c r="J26" s="11"/>
      <c r="K26" s="11"/>
      <c r="L26" s="11"/>
      <c r="M26" s="11"/>
      <c r="N26" s="11"/>
    </row>
    <row r="27" spans="1:14" outlineLevel="2" x14ac:dyDescent="0.3">
      <c r="A27" s="5">
        <v>2</v>
      </c>
      <c r="B27" s="5" t="s">
        <v>79</v>
      </c>
      <c r="C27" s="5"/>
      <c r="D27" s="5"/>
      <c r="E27" s="5">
        <v>3</v>
      </c>
      <c r="F27" s="5" t="s">
        <v>121</v>
      </c>
      <c r="G27" s="5" t="s">
        <v>21</v>
      </c>
      <c r="H27">
        <v>1</v>
      </c>
    </row>
    <row r="28" spans="1:14" x14ac:dyDescent="0.3">
      <c r="A28" s="5">
        <v>2</v>
      </c>
      <c r="B28" s="5" t="s">
        <v>80</v>
      </c>
      <c r="C28" s="5"/>
      <c r="D28" s="5"/>
      <c r="E28" s="5">
        <v>3</v>
      </c>
      <c r="F28" s="5" t="s">
        <v>121</v>
      </c>
      <c r="G28" s="5" t="s">
        <v>21</v>
      </c>
      <c r="H28">
        <v>1</v>
      </c>
    </row>
    <row r="29" spans="1:14" outlineLevel="1" x14ac:dyDescent="0.3">
      <c r="A29" s="4">
        <v>1</v>
      </c>
      <c r="B29" s="4" t="s">
        <v>170</v>
      </c>
      <c r="C29" s="4">
        <v>1</v>
      </c>
      <c r="D29" s="4"/>
      <c r="E29" s="4">
        <v>1</v>
      </c>
      <c r="F29" s="4" t="s">
        <v>121</v>
      </c>
      <c r="G29" s="4" t="s">
        <v>18</v>
      </c>
      <c r="H29">
        <v>1</v>
      </c>
    </row>
    <row r="30" spans="1:14" outlineLevel="1" x14ac:dyDescent="0.3">
      <c r="A30" s="6">
        <v>2</v>
      </c>
      <c r="B30" s="6" t="s">
        <v>175</v>
      </c>
      <c r="C30" s="6">
        <v>2</v>
      </c>
      <c r="D30" s="6"/>
      <c r="E30" s="6">
        <v>1</v>
      </c>
      <c r="F30" s="4" t="s">
        <v>122</v>
      </c>
      <c r="G30" s="6" t="s">
        <v>18</v>
      </c>
      <c r="H30">
        <v>1</v>
      </c>
    </row>
    <row r="31" spans="1:14" x14ac:dyDescent="0.3">
      <c r="A31" s="10">
        <v>3</v>
      </c>
      <c r="B31" s="10" t="s">
        <v>73</v>
      </c>
      <c r="C31" s="73" t="s">
        <v>126</v>
      </c>
      <c r="D31" s="10"/>
      <c r="E31" s="10" t="s">
        <v>126</v>
      </c>
      <c r="F31" s="11" t="s">
        <v>122</v>
      </c>
      <c r="G31" s="10" t="s">
        <v>18</v>
      </c>
      <c r="H31">
        <v>1</v>
      </c>
    </row>
    <row r="32" spans="1:14" outlineLevel="1" x14ac:dyDescent="0.3">
      <c r="A32" s="11">
        <v>3</v>
      </c>
      <c r="B32" s="11" t="s">
        <v>149</v>
      </c>
      <c r="C32" s="73" t="s">
        <v>126</v>
      </c>
      <c r="D32" s="11"/>
      <c r="E32" s="11" t="s">
        <v>126</v>
      </c>
      <c r="F32" s="11" t="s">
        <v>122</v>
      </c>
      <c r="G32" s="11" t="s">
        <v>18</v>
      </c>
      <c r="H32">
        <v>1</v>
      </c>
    </row>
    <row r="33" spans="1:8" outlineLevel="1" x14ac:dyDescent="0.3">
      <c r="A33" s="6">
        <v>2</v>
      </c>
      <c r="B33" s="6" t="s">
        <v>172</v>
      </c>
      <c r="C33" s="6">
        <v>2</v>
      </c>
      <c r="D33" s="6"/>
      <c r="E33" s="6">
        <v>1</v>
      </c>
      <c r="F33" s="4" t="s">
        <v>123</v>
      </c>
      <c r="G33" s="6" t="s">
        <v>18</v>
      </c>
      <c r="H33">
        <v>1</v>
      </c>
    </row>
    <row r="34" spans="1:8" outlineLevel="1" x14ac:dyDescent="0.3">
      <c r="A34" s="10">
        <v>3</v>
      </c>
      <c r="B34" s="10" t="s">
        <v>74</v>
      </c>
      <c r="C34" s="73" t="s">
        <v>126</v>
      </c>
      <c r="D34" s="10"/>
      <c r="E34" s="10" t="s">
        <v>126</v>
      </c>
      <c r="F34" s="11" t="s">
        <v>123</v>
      </c>
      <c r="G34" s="10" t="s">
        <v>18</v>
      </c>
      <c r="H34">
        <v>1</v>
      </c>
    </row>
    <row r="35" spans="1:8" x14ac:dyDescent="0.3">
      <c r="A35" s="11">
        <v>3</v>
      </c>
      <c r="B35" s="11" t="s">
        <v>150</v>
      </c>
      <c r="C35" s="73" t="s">
        <v>126</v>
      </c>
      <c r="D35" s="11"/>
      <c r="E35" s="11" t="s">
        <v>126</v>
      </c>
      <c r="F35" s="11" t="s">
        <v>123</v>
      </c>
      <c r="G35" s="11" t="s">
        <v>18</v>
      </c>
      <c r="H35">
        <v>1</v>
      </c>
    </row>
    <row r="36" spans="1:8" outlineLevel="1" x14ac:dyDescent="0.3">
      <c r="A36" s="4">
        <v>1</v>
      </c>
      <c r="B36" s="4" t="s">
        <v>171</v>
      </c>
      <c r="C36" s="4">
        <v>1</v>
      </c>
      <c r="D36" s="4"/>
      <c r="E36" s="4">
        <v>1</v>
      </c>
      <c r="F36" s="4" t="s">
        <v>121</v>
      </c>
      <c r="G36" s="4" t="s">
        <v>18</v>
      </c>
      <c r="H36">
        <v>1</v>
      </c>
    </row>
    <row r="37" spans="1:8" outlineLevel="1" x14ac:dyDescent="0.3">
      <c r="A37" s="6">
        <v>2</v>
      </c>
      <c r="B37" s="6" t="s">
        <v>173</v>
      </c>
      <c r="C37" s="6">
        <v>2</v>
      </c>
      <c r="D37" s="6"/>
      <c r="E37" s="6">
        <v>1</v>
      </c>
      <c r="F37" s="4" t="s">
        <v>122</v>
      </c>
      <c r="G37" s="6" t="s">
        <v>21</v>
      </c>
      <c r="H37">
        <v>1</v>
      </c>
    </row>
    <row r="38" spans="1:8" outlineLevel="1" x14ac:dyDescent="0.3">
      <c r="A38" s="11">
        <v>3</v>
      </c>
      <c r="B38" s="11" t="s">
        <v>151</v>
      </c>
      <c r="C38" s="73" t="s">
        <v>126</v>
      </c>
      <c r="D38" s="11"/>
      <c r="E38" s="11" t="s">
        <v>126</v>
      </c>
      <c r="F38" s="11" t="s">
        <v>122</v>
      </c>
      <c r="G38" s="11" t="s">
        <v>21</v>
      </c>
      <c r="H38">
        <v>1</v>
      </c>
    </row>
    <row r="39" spans="1:8" x14ac:dyDescent="0.3">
      <c r="A39" s="11">
        <v>3</v>
      </c>
      <c r="B39" s="11" t="s">
        <v>153</v>
      </c>
      <c r="C39" s="73" t="s">
        <v>126</v>
      </c>
      <c r="D39" s="11"/>
      <c r="E39" s="11" t="s">
        <v>126</v>
      </c>
      <c r="F39" s="11" t="s">
        <v>122</v>
      </c>
      <c r="G39" s="11" t="s">
        <v>21</v>
      </c>
      <c r="H39">
        <v>1</v>
      </c>
    </row>
    <row r="40" spans="1:8" outlineLevel="1" x14ac:dyDescent="0.3">
      <c r="A40" s="6">
        <v>2</v>
      </c>
      <c r="B40" s="6" t="s">
        <v>174</v>
      </c>
      <c r="C40" s="6">
        <v>2</v>
      </c>
      <c r="D40" s="6"/>
      <c r="E40" s="6">
        <v>1</v>
      </c>
      <c r="F40" s="4" t="s">
        <v>123</v>
      </c>
      <c r="G40" s="6" t="s">
        <v>21</v>
      </c>
      <c r="H40">
        <v>1</v>
      </c>
    </row>
    <row r="41" spans="1:8" x14ac:dyDescent="0.3">
      <c r="A41" s="11">
        <v>3</v>
      </c>
      <c r="B41" s="11" t="s">
        <v>152</v>
      </c>
      <c r="C41" s="73" t="s">
        <v>126</v>
      </c>
      <c r="D41" s="11"/>
      <c r="E41" s="11" t="s">
        <v>126</v>
      </c>
      <c r="F41" s="11" t="s">
        <v>123</v>
      </c>
      <c r="G41" s="11" t="s">
        <v>21</v>
      </c>
      <c r="H41">
        <v>1</v>
      </c>
    </row>
    <row r="42" spans="1:8" x14ac:dyDescent="0.3">
      <c r="A42" s="11">
        <v>3</v>
      </c>
      <c r="B42" s="11" t="s">
        <v>154</v>
      </c>
      <c r="C42" s="73" t="s">
        <v>126</v>
      </c>
      <c r="D42" s="11"/>
      <c r="E42" s="11" t="s">
        <v>126</v>
      </c>
      <c r="F42" s="11" t="s">
        <v>123</v>
      </c>
      <c r="G42" s="11" t="s">
        <v>21</v>
      </c>
      <c r="H42">
        <v>1</v>
      </c>
    </row>
    <row r="43" spans="1:8" x14ac:dyDescent="0.3">
      <c r="A43" s="4">
        <v>1</v>
      </c>
      <c r="B43" s="4" t="s">
        <v>155</v>
      </c>
      <c r="C43" s="4"/>
      <c r="D43" s="4"/>
      <c r="E43" s="4">
        <v>1</v>
      </c>
      <c r="F43" s="4" t="s">
        <v>121</v>
      </c>
      <c r="G43" s="4" t="s">
        <v>18</v>
      </c>
      <c r="H43">
        <v>1</v>
      </c>
    </row>
    <row r="44" spans="1:8" x14ac:dyDescent="0.3">
      <c r="A44" s="7">
        <v>2</v>
      </c>
      <c r="B44" s="7" t="s">
        <v>156</v>
      </c>
      <c r="C44" s="7"/>
      <c r="D44" s="7"/>
      <c r="E44" s="7" t="s">
        <v>126</v>
      </c>
      <c r="F44" s="4" t="s">
        <v>121</v>
      </c>
      <c r="G44" s="7" t="s">
        <v>18</v>
      </c>
      <c r="H44">
        <v>1</v>
      </c>
    </row>
    <row r="45" spans="1:8" x14ac:dyDescent="0.3">
      <c r="A45" s="7">
        <v>2</v>
      </c>
      <c r="B45" s="7" t="s">
        <v>77</v>
      </c>
      <c r="C45" s="7"/>
      <c r="D45" s="7"/>
      <c r="E45" s="7" t="s">
        <v>126</v>
      </c>
      <c r="F45" s="4" t="s">
        <v>121</v>
      </c>
      <c r="G45" s="7" t="s">
        <v>18</v>
      </c>
      <c r="H45">
        <v>1</v>
      </c>
    </row>
    <row r="46" spans="1:8" x14ac:dyDescent="0.3">
      <c r="A46" s="7">
        <v>2</v>
      </c>
      <c r="B46" s="68" t="s">
        <v>82</v>
      </c>
      <c r="C46" s="7"/>
      <c r="D46" s="7"/>
      <c r="E46" s="7" t="s">
        <v>126</v>
      </c>
      <c r="F46" s="4" t="s">
        <v>121</v>
      </c>
      <c r="G46" s="7" t="s">
        <v>18</v>
      </c>
      <c r="H46">
        <v>1</v>
      </c>
    </row>
    <row r="47" spans="1:8" x14ac:dyDescent="0.3">
      <c r="A47" s="48">
        <v>1</v>
      </c>
      <c r="B47" s="48" t="s">
        <v>81</v>
      </c>
      <c r="C47" s="48"/>
      <c r="D47" s="48"/>
      <c r="E47" s="48"/>
      <c r="F47" s="48" t="s">
        <v>121</v>
      </c>
      <c r="G47" s="48" t="s">
        <v>21</v>
      </c>
      <c r="H47">
        <v>1</v>
      </c>
    </row>
    <row r="48" spans="1:8" x14ac:dyDescent="0.3">
      <c r="A48" s="48">
        <v>1</v>
      </c>
      <c r="B48" s="48" t="s">
        <v>75</v>
      </c>
      <c r="C48" s="48"/>
      <c r="D48" s="48"/>
      <c r="E48" s="48"/>
      <c r="F48" s="48" t="s">
        <v>121</v>
      </c>
      <c r="G48" s="48" t="s">
        <v>124</v>
      </c>
      <c r="H48">
        <v>1</v>
      </c>
    </row>
    <row r="49" spans="1:8" x14ac:dyDescent="0.3">
      <c r="A49" s="48">
        <v>1</v>
      </c>
      <c r="B49" s="49" t="s">
        <v>83</v>
      </c>
      <c r="C49" s="27"/>
      <c r="D49" s="27">
        <v>1</v>
      </c>
      <c r="E49" s="27"/>
      <c r="F49" s="4" t="s">
        <v>121</v>
      </c>
      <c r="G49" s="59" t="s">
        <v>124</v>
      </c>
      <c r="H49">
        <v>1</v>
      </c>
    </row>
    <row r="50" spans="1:8" x14ac:dyDescent="0.3">
      <c r="A50" s="50">
        <v>2</v>
      </c>
      <c r="B50" s="60" t="s">
        <v>84</v>
      </c>
      <c r="C50" s="6"/>
      <c r="D50" s="72" t="s">
        <v>126</v>
      </c>
      <c r="E50" s="6"/>
      <c r="F50" s="4" t="s">
        <v>121</v>
      </c>
      <c r="G50" s="61" t="s">
        <v>124</v>
      </c>
      <c r="H50">
        <v>1</v>
      </c>
    </row>
    <row r="51" spans="1:8" x14ac:dyDescent="0.3">
      <c r="A51" s="50">
        <v>2</v>
      </c>
      <c r="B51" s="60" t="s">
        <v>86</v>
      </c>
      <c r="C51" s="60"/>
      <c r="D51" s="74" t="s">
        <v>142</v>
      </c>
      <c r="E51" s="60"/>
      <c r="F51" s="4" t="s">
        <v>121</v>
      </c>
      <c r="G51" s="62" t="s">
        <v>124</v>
      </c>
      <c r="H51">
        <v>1</v>
      </c>
    </row>
    <row r="52" spans="1:8" x14ac:dyDescent="0.3">
      <c r="A52" s="26">
        <v>1</v>
      </c>
      <c r="B52" s="27" t="s">
        <v>87</v>
      </c>
      <c r="C52" s="28"/>
      <c r="D52" s="28"/>
      <c r="E52" s="28"/>
      <c r="F52" s="4" t="s">
        <v>121</v>
      </c>
      <c r="G52" s="4" t="s">
        <v>309</v>
      </c>
      <c r="H52">
        <v>0</v>
      </c>
    </row>
    <row r="53" spans="1:8" x14ac:dyDescent="0.3">
      <c r="A53" s="58">
        <v>1</v>
      </c>
      <c r="B53" s="57" t="s">
        <v>88</v>
      </c>
      <c r="D53">
        <v>1</v>
      </c>
      <c r="F53" s="4" t="s">
        <v>121</v>
      </c>
      <c r="G53" s="4" t="s">
        <v>125</v>
      </c>
      <c r="H53">
        <v>1</v>
      </c>
    </row>
    <row r="54" spans="1:8" x14ac:dyDescent="0.3">
      <c r="A54" s="29">
        <v>2</v>
      </c>
      <c r="B54" s="6" t="s">
        <v>71</v>
      </c>
      <c r="D54">
        <v>2</v>
      </c>
      <c r="F54" s="4" t="s">
        <v>121</v>
      </c>
      <c r="G54" s="4" t="s">
        <v>125</v>
      </c>
      <c r="H54">
        <v>1</v>
      </c>
    </row>
    <row r="55" spans="1:8" x14ac:dyDescent="0.3">
      <c r="A55" s="51">
        <v>2</v>
      </c>
      <c r="B55" s="52" t="s">
        <v>85</v>
      </c>
      <c r="D55">
        <v>2</v>
      </c>
      <c r="F55" s="4" t="s">
        <v>121</v>
      </c>
      <c r="G55" s="4" t="s">
        <v>125</v>
      </c>
      <c r="H55">
        <v>1</v>
      </c>
    </row>
  </sheetData>
  <phoneticPr fontId="7" type="noConversion"/>
  <dataValidations count="1">
    <dataValidation type="list" allowBlank="1" showInputMessage="1" showErrorMessage="1" sqref="F2:F55" xr:uid="{5E8D03E6-0726-48B9-A508-CDCEDFB3DC9F}">
      <formula1>$J$4:$J$6</formula1>
    </dataValidation>
  </dataValidations>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G2"/>
  <sheetViews>
    <sheetView workbookViewId="0">
      <selection activeCell="A3" sqref="A3:XFD4"/>
    </sheetView>
  </sheetViews>
  <sheetFormatPr baseColWidth="10" defaultColWidth="9" defaultRowHeight="12.4" x14ac:dyDescent="0.3"/>
  <cols>
    <col min="1" max="1" width="28" customWidth="1"/>
    <col min="2" max="2" width="27" customWidth="1"/>
    <col min="3" max="3" width="44" customWidth="1"/>
    <col min="4" max="4" width="15" customWidth="1"/>
  </cols>
  <sheetData>
    <row r="1" spans="1:7" ht="37.15" x14ac:dyDescent="0.3">
      <c r="A1" s="3" t="s">
        <v>9</v>
      </c>
      <c r="B1" s="3" t="s">
        <v>89</v>
      </c>
      <c r="C1" s="42" t="s">
        <v>115</v>
      </c>
      <c r="D1" s="42" t="s">
        <v>118</v>
      </c>
      <c r="E1" s="42" t="s">
        <v>119</v>
      </c>
      <c r="F1" s="42" t="s">
        <v>109</v>
      </c>
      <c r="G1" s="42" t="s">
        <v>112</v>
      </c>
    </row>
    <row r="2" spans="1:7" x14ac:dyDescent="0.3">
      <c r="A2" s="4">
        <v>1</v>
      </c>
      <c r="B2" s="4" t="s">
        <v>90</v>
      </c>
      <c r="C2" s="4"/>
      <c r="D2" s="4"/>
    </row>
  </sheetData>
  <pageMargins left="0.75" right="0.75" top="1" bottom="1" header="0.5" footer="0.5"/>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A01C9-C98F-490C-8D5E-E4220EF37DD7}">
  <dimension ref="A2:AS175"/>
  <sheetViews>
    <sheetView tabSelected="1" zoomScale="60" zoomScaleNormal="60" workbookViewId="0">
      <pane xSplit="2" ySplit="2" topLeftCell="C52" activePane="bottomRight" state="frozen"/>
      <selection pane="topRight" activeCell="C1" sqref="C1"/>
      <selection pane="bottomLeft" activeCell="A3" sqref="A3"/>
      <selection pane="bottomRight" activeCell="X65" sqref="X65"/>
    </sheetView>
  </sheetViews>
  <sheetFormatPr baseColWidth="10" defaultColWidth="16.234375" defaultRowHeight="12.4" x14ac:dyDescent="0.3"/>
  <cols>
    <col min="1" max="1" width="16.234375" hidden="1" customWidth="1"/>
    <col min="2" max="2" width="86.703125" customWidth="1"/>
    <col min="3" max="15" width="2.87890625" style="55" customWidth="1"/>
    <col min="16" max="16" width="2.87890625" style="55" bestFit="1" customWidth="1"/>
    <col min="17" max="22" width="2.87890625" style="55" customWidth="1"/>
    <col min="23" max="30" width="2.87890625" style="55" bestFit="1" customWidth="1"/>
    <col min="31" max="32" width="2.87890625" style="55" customWidth="1"/>
    <col min="33" max="34" width="2.87890625" style="55" bestFit="1" customWidth="1"/>
    <col min="35" max="43" width="2.87890625" style="55" customWidth="1"/>
    <col min="44" max="44" width="4.76171875" customWidth="1"/>
    <col min="45" max="45" width="2.87890625" customWidth="1"/>
  </cols>
  <sheetData>
    <row r="2" spans="1:45" ht="246.75" x14ac:dyDescent="0.3">
      <c r="A2" s="13"/>
      <c r="B2" s="13"/>
      <c r="C2" s="53" t="s">
        <v>68</v>
      </c>
      <c r="D2" s="53" t="s">
        <v>143</v>
      </c>
      <c r="E2" s="53" t="s">
        <v>144</v>
      </c>
      <c r="F2" s="53" t="s">
        <v>69</v>
      </c>
      <c r="G2" s="53" t="s">
        <v>145</v>
      </c>
      <c r="H2" s="53" t="s">
        <v>146</v>
      </c>
      <c r="I2" s="53" t="s">
        <v>67</v>
      </c>
      <c r="J2" s="53" t="s">
        <v>147</v>
      </c>
      <c r="K2" s="53" t="s">
        <v>70</v>
      </c>
      <c r="L2" s="67" t="s">
        <v>88</v>
      </c>
      <c r="M2" s="53" t="s">
        <v>85</v>
      </c>
      <c r="N2" s="53" t="s">
        <v>71</v>
      </c>
      <c r="O2" s="53" t="s">
        <v>170</v>
      </c>
      <c r="P2" s="53" t="s">
        <v>171</v>
      </c>
      <c r="Q2" s="53" t="s">
        <v>72</v>
      </c>
      <c r="R2" s="53" t="s">
        <v>73</v>
      </c>
      <c r="S2" s="53" t="s">
        <v>74</v>
      </c>
      <c r="T2" s="53" t="s">
        <v>148</v>
      </c>
      <c r="U2" s="53" t="s">
        <v>149</v>
      </c>
      <c r="V2" s="53" t="s">
        <v>150</v>
      </c>
      <c r="W2" s="53" t="s">
        <v>76</v>
      </c>
      <c r="X2" s="53" t="s">
        <v>151</v>
      </c>
      <c r="Y2" s="53" t="s">
        <v>152</v>
      </c>
      <c r="Z2" s="53" t="s">
        <v>78</v>
      </c>
      <c r="AA2" s="53" t="s">
        <v>153</v>
      </c>
      <c r="AB2" s="53" t="s">
        <v>154</v>
      </c>
      <c r="AC2" s="53" t="s">
        <v>79</v>
      </c>
      <c r="AD2" s="53" t="s">
        <v>80</v>
      </c>
      <c r="AE2" s="53" t="s">
        <v>175</v>
      </c>
      <c r="AF2" s="53" t="s">
        <v>172</v>
      </c>
      <c r="AG2" s="53" t="s">
        <v>173</v>
      </c>
      <c r="AH2" s="53" t="s">
        <v>174</v>
      </c>
      <c r="AI2" s="53" t="s">
        <v>155</v>
      </c>
      <c r="AJ2" s="53" t="s">
        <v>81</v>
      </c>
      <c r="AK2" s="53" t="s">
        <v>156</v>
      </c>
      <c r="AL2" s="53" t="s">
        <v>77</v>
      </c>
      <c r="AM2" s="53" t="s">
        <v>82</v>
      </c>
      <c r="AN2" s="53" t="s">
        <v>75</v>
      </c>
      <c r="AO2" s="53" t="s">
        <v>83</v>
      </c>
      <c r="AP2" s="53" t="s">
        <v>84</v>
      </c>
      <c r="AQ2" s="53" t="s">
        <v>86</v>
      </c>
      <c r="AR2" s="54" t="s">
        <v>87</v>
      </c>
      <c r="AS2" s="63" t="s">
        <v>90</v>
      </c>
    </row>
    <row r="3" spans="1:45" x14ac:dyDescent="0.3">
      <c r="A3" s="13"/>
      <c r="B3" s="14" t="s">
        <v>11</v>
      </c>
      <c r="AR3" s="55"/>
      <c r="AS3" s="55"/>
    </row>
    <row r="4" spans="1:45" x14ac:dyDescent="0.3">
      <c r="A4" s="13"/>
      <c r="B4" s="66" t="s">
        <v>160</v>
      </c>
      <c r="L4" s="55">
        <v>1</v>
      </c>
      <c r="M4" s="55">
        <v>1</v>
      </c>
      <c r="AR4" s="55"/>
      <c r="AS4" s="55"/>
    </row>
    <row r="5" spans="1:45" x14ac:dyDescent="0.3">
      <c r="B5" s="14" t="s">
        <v>12</v>
      </c>
      <c r="C5" s="55">
        <v>1</v>
      </c>
      <c r="D5" s="55">
        <v>1</v>
      </c>
      <c r="E5" s="55">
        <v>1</v>
      </c>
      <c r="I5" s="55">
        <v>1</v>
      </c>
    </row>
    <row r="6" spans="1:45" x14ac:dyDescent="0.3">
      <c r="B6" s="14" t="s">
        <v>13</v>
      </c>
      <c r="C6" s="55">
        <v>1</v>
      </c>
      <c r="D6" s="55">
        <v>1</v>
      </c>
      <c r="I6" s="55">
        <v>1</v>
      </c>
    </row>
    <row r="7" spans="1:45" x14ac:dyDescent="0.3">
      <c r="B7" s="66" t="s">
        <v>14</v>
      </c>
      <c r="C7" s="55">
        <v>1</v>
      </c>
      <c r="D7" s="55">
        <v>1</v>
      </c>
      <c r="I7" s="55">
        <v>1</v>
      </c>
    </row>
    <row r="8" spans="1:45" x14ac:dyDescent="0.3">
      <c r="B8" s="66" t="s">
        <v>15</v>
      </c>
      <c r="C8" s="55">
        <v>1</v>
      </c>
      <c r="D8" s="55">
        <v>1</v>
      </c>
      <c r="I8" s="55">
        <v>1</v>
      </c>
    </row>
    <row r="9" spans="1:45" x14ac:dyDescent="0.3">
      <c r="B9" s="14" t="s">
        <v>16</v>
      </c>
      <c r="C9" s="55">
        <v>1</v>
      </c>
      <c r="E9" s="55">
        <v>1</v>
      </c>
      <c r="I9" s="55">
        <v>1</v>
      </c>
    </row>
    <row r="10" spans="1:45" x14ac:dyDescent="0.3">
      <c r="B10" s="14" t="s">
        <v>127</v>
      </c>
      <c r="L10" s="55">
        <v>1</v>
      </c>
      <c r="N10" s="55">
        <v>1</v>
      </c>
      <c r="AS10">
        <v>1</v>
      </c>
    </row>
    <row r="11" spans="1:45" x14ac:dyDescent="0.3">
      <c r="B11" s="14" t="s">
        <v>18</v>
      </c>
      <c r="L11" s="55">
        <v>1</v>
      </c>
      <c r="N11" s="55">
        <v>1</v>
      </c>
      <c r="AS11">
        <v>1</v>
      </c>
    </row>
    <row r="12" spans="1:45" x14ac:dyDescent="0.3">
      <c r="B12" s="14" t="s">
        <v>19</v>
      </c>
      <c r="L12" s="55">
        <v>1</v>
      </c>
      <c r="N12" s="55">
        <v>1</v>
      </c>
      <c r="AS12">
        <v>1</v>
      </c>
    </row>
    <row r="13" spans="1:45" x14ac:dyDescent="0.3">
      <c r="B13" s="14" t="s">
        <v>20</v>
      </c>
      <c r="L13" s="55">
        <v>1</v>
      </c>
      <c r="N13" s="55">
        <v>1</v>
      </c>
      <c r="AS13">
        <v>1</v>
      </c>
    </row>
    <row r="14" spans="1:45" x14ac:dyDescent="0.3">
      <c r="B14" s="14" t="s">
        <v>21</v>
      </c>
      <c r="L14" s="55">
        <v>1</v>
      </c>
      <c r="N14" s="55">
        <v>1</v>
      </c>
      <c r="AS14">
        <v>1</v>
      </c>
    </row>
    <row r="15" spans="1:45" x14ac:dyDescent="0.3">
      <c r="B15" s="14" t="s">
        <v>22</v>
      </c>
      <c r="L15" s="55">
        <v>1</v>
      </c>
      <c r="N15" s="55">
        <v>1</v>
      </c>
      <c r="AS15">
        <v>1</v>
      </c>
    </row>
    <row r="16" spans="1:45" x14ac:dyDescent="0.3">
      <c r="B16" s="14" t="s">
        <v>23</v>
      </c>
      <c r="L16" s="55">
        <v>1</v>
      </c>
      <c r="N16" s="55">
        <v>1</v>
      </c>
      <c r="AS16">
        <v>1</v>
      </c>
    </row>
    <row r="17" spans="2:45" x14ac:dyDescent="0.3">
      <c r="B17" s="14" t="s">
        <v>61</v>
      </c>
      <c r="L17" s="55">
        <v>1</v>
      </c>
      <c r="M17" s="55">
        <v>1</v>
      </c>
      <c r="N17" s="55">
        <v>1</v>
      </c>
      <c r="AS17">
        <v>1</v>
      </c>
    </row>
    <row r="18" spans="2:45" x14ac:dyDescent="0.3">
      <c r="B18" s="14" t="s">
        <v>161</v>
      </c>
      <c r="L18" s="55">
        <v>1</v>
      </c>
      <c r="N18" s="55">
        <v>1</v>
      </c>
      <c r="AS18">
        <v>1</v>
      </c>
    </row>
    <row r="19" spans="2:45" x14ac:dyDescent="0.3">
      <c r="B19" s="14" t="s">
        <v>162</v>
      </c>
      <c r="L19" s="55">
        <v>1</v>
      </c>
      <c r="N19" s="55">
        <v>1</v>
      </c>
      <c r="AS19">
        <v>1</v>
      </c>
    </row>
    <row r="20" spans="2:45" x14ac:dyDescent="0.3">
      <c r="B20" s="14" t="s">
        <v>163</v>
      </c>
      <c r="L20" s="55">
        <v>1</v>
      </c>
      <c r="M20" s="55">
        <v>1</v>
      </c>
    </row>
    <row r="21" spans="2:45" x14ac:dyDescent="0.3">
      <c r="B21" s="66" t="s">
        <v>159</v>
      </c>
      <c r="L21" s="55">
        <v>1</v>
      </c>
      <c r="M21" s="55">
        <v>1</v>
      </c>
    </row>
    <row r="22" spans="2:45" x14ac:dyDescent="0.3">
      <c r="B22" s="66" t="s">
        <v>158</v>
      </c>
      <c r="L22" s="55">
        <v>1</v>
      </c>
      <c r="N22" s="55">
        <v>1</v>
      </c>
      <c r="AS22">
        <v>1</v>
      </c>
    </row>
    <row r="23" spans="2:45" x14ac:dyDescent="0.3">
      <c r="B23" s="14" t="s">
        <v>36</v>
      </c>
      <c r="L23" s="55">
        <v>1</v>
      </c>
      <c r="N23" s="55">
        <v>1</v>
      </c>
      <c r="AS23">
        <v>0</v>
      </c>
    </row>
    <row r="24" spans="2:45" x14ac:dyDescent="0.3">
      <c r="B24" s="14" t="s">
        <v>129</v>
      </c>
      <c r="L24" s="55">
        <v>1</v>
      </c>
      <c r="N24" s="55">
        <v>1</v>
      </c>
      <c r="AS24">
        <v>0</v>
      </c>
    </row>
    <row r="25" spans="2:45" x14ac:dyDescent="0.3">
      <c r="B25" s="14" t="s">
        <v>130</v>
      </c>
      <c r="L25" s="55">
        <v>1</v>
      </c>
      <c r="N25" s="55">
        <v>1</v>
      </c>
      <c r="AS25">
        <v>0</v>
      </c>
    </row>
    <row r="26" spans="2:45" x14ac:dyDescent="0.3">
      <c r="B26" s="14" t="s">
        <v>127</v>
      </c>
      <c r="L26" s="55">
        <v>1</v>
      </c>
      <c r="N26" s="55">
        <v>1</v>
      </c>
      <c r="AS26">
        <v>1</v>
      </c>
    </row>
    <row r="27" spans="2:45" x14ac:dyDescent="0.3">
      <c r="B27" s="14" t="s">
        <v>131</v>
      </c>
      <c r="L27" s="55">
        <v>1</v>
      </c>
      <c r="N27" s="55">
        <v>1</v>
      </c>
      <c r="AS27">
        <v>1</v>
      </c>
    </row>
    <row r="28" spans="2:45" x14ac:dyDescent="0.3">
      <c r="B28" s="14" t="s">
        <v>132</v>
      </c>
      <c r="L28" s="55">
        <v>1</v>
      </c>
      <c r="N28" s="55">
        <v>1</v>
      </c>
      <c r="AS28">
        <v>1</v>
      </c>
    </row>
    <row r="29" spans="2:45" x14ac:dyDescent="0.3">
      <c r="B29" s="14" t="s">
        <v>164</v>
      </c>
      <c r="O29" s="55">
        <v>1</v>
      </c>
      <c r="Q29" s="55">
        <v>1</v>
      </c>
      <c r="R29" s="55">
        <v>1</v>
      </c>
      <c r="S29" s="55">
        <v>1</v>
      </c>
      <c r="T29" s="55">
        <v>1</v>
      </c>
      <c r="U29" s="55">
        <v>1</v>
      </c>
      <c r="V29" s="55">
        <v>1</v>
      </c>
      <c r="AE29" s="55">
        <v>1</v>
      </c>
      <c r="AF29" s="55">
        <v>1</v>
      </c>
      <c r="AS29">
        <v>1</v>
      </c>
    </row>
    <row r="30" spans="2:45" x14ac:dyDescent="0.3">
      <c r="B30" s="14" t="s">
        <v>39</v>
      </c>
      <c r="O30" s="55">
        <v>1</v>
      </c>
      <c r="Q30" s="55">
        <v>1</v>
      </c>
      <c r="R30" s="55">
        <v>1</v>
      </c>
      <c r="S30" s="55">
        <v>1</v>
      </c>
      <c r="AE30" s="55">
        <v>1</v>
      </c>
      <c r="AF30" s="55">
        <v>1</v>
      </c>
      <c r="AS30">
        <v>1</v>
      </c>
    </row>
    <row r="31" spans="2:45" x14ac:dyDescent="0.3">
      <c r="B31" s="14" t="s">
        <v>40</v>
      </c>
      <c r="O31" s="55">
        <v>1</v>
      </c>
      <c r="Q31" s="55">
        <v>1</v>
      </c>
      <c r="R31" s="55">
        <v>1</v>
      </c>
      <c r="AE31" s="55">
        <v>1</v>
      </c>
      <c r="AS31">
        <v>1</v>
      </c>
    </row>
    <row r="32" spans="2:45" x14ac:dyDescent="0.3">
      <c r="B32" s="14" t="s">
        <v>41</v>
      </c>
      <c r="O32" s="55">
        <v>1</v>
      </c>
      <c r="Q32" s="55">
        <v>1</v>
      </c>
      <c r="S32" s="55">
        <v>1</v>
      </c>
      <c r="AE32" s="55">
        <v>0</v>
      </c>
      <c r="AF32" s="55">
        <v>1</v>
      </c>
      <c r="AS32">
        <v>1</v>
      </c>
    </row>
    <row r="33" spans="2:45" x14ac:dyDescent="0.3">
      <c r="B33" s="14" t="s">
        <v>42</v>
      </c>
      <c r="O33" s="55">
        <v>1</v>
      </c>
      <c r="Q33" s="55">
        <v>1</v>
      </c>
      <c r="R33" s="55">
        <v>1</v>
      </c>
      <c r="AE33" s="55">
        <v>1</v>
      </c>
      <c r="AS33">
        <v>1</v>
      </c>
    </row>
    <row r="34" spans="2:45" x14ac:dyDescent="0.3">
      <c r="B34" s="14" t="s">
        <v>43</v>
      </c>
      <c r="O34" s="55">
        <v>1</v>
      </c>
      <c r="Q34" s="55">
        <v>1</v>
      </c>
      <c r="R34" s="55">
        <v>1</v>
      </c>
      <c r="AE34" s="55">
        <v>1</v>
      </c>
    </row>
    <row r="35" spans="2:45" x14ac:dyDescent="0.3">
      <c r="B35" s="14" t="s">
        <v>47</v>
      </c>
      <c r="O35" s="55">
        <v>1</v>
      </c>
      <c r="T35" s="55">
        <v>1</v>
      </c>
      <c r="U35" s="55">
        <v>1</v>
      </c>
      <c r="V35" s="55">
        <v>1</v>
      </c>
      <c r="AE35" s="55">
        <v>1</v>
      </c>
      <c r="AF35" s="55">
        <v>1</v>
      </c>
      <c r="AS35">
        <v>1</v>
      </c>
    </row>
    <row r="36" spans="2:45" x14ac:dyDescent="0.3">
      <c r="B36" s="14" t="s">
        <v>133</v>
      </c>
      <c r="O36" s="55">
        <v>1</v>
      </c>
      <c r="T36" s="55">
        <v>1</v>
      </c>
      <c r="U36" s="55">
        <v>1</v>
      </c>
      <c r="AE36" s="55">
        <v>1</v>
      </c>
      <c r="AS36">
        <v>1</v>
      </c>
    </row>
    <row r="37" spans="2:45" x14ac:dyDescent="0.3">
      <c r="B37" s="14" t="s">
        <v>134</v>
      </c>
      <c r="O37" s="55">
        <v>1</v>
      </c>
      <c r="T37" s="55">
        <v>1</v>
      </c>
      <c r="V37" s="55">
        <v>1</v>
      </c>
      <c r="AF37" s="55">
        <v>1</v>
      </c>
      <c r="AS37">
        <v>1</v>
      </c>
    </row>
    <row r="38" spans="2:45" x14ac:dyDescent="0.3">
      <c r="B38" s="14" t="s">
        <v>167</v>
      </c>
      <c r="P38" s="55">
        <v>1</v>
      </c>
      <c r="W38" s="55">
        <v>1</v>
      </c>
      <c r="X38" s="55">
        <v>1</v>
      </c>
      <c r="Y38" s="55">
        <v>1</v>
      </c>
      <c r="Z38" s="55">
        <v>1</v>
      </c>
      <c r="AA38" s="55">
        <v>1</v>
      </c>
      <c r="AB38" s="55">
        <v>1</v>
      </c>
      <c r="AG38" s="55">
        <v>1</v>
      </c>
      <c r="AH38" s="55">
        <v>1</v>
      </c>
      <c r="AS38">
        <v>1</v>
      </c>
    </row>
    <row r="39" spans="2:45" x14ac:dyDescent="0.3">
      <c r="B39" s="14" t="s">
        <v>54</v>
      </c>
      <c r="P39" s="55">
        <v>1</v>
      </c>
      <c r="Z39" s="55">
        <v>1</v>
      </c>
      <c r="AA39" s="55">
        <v>1</v>
      </c>
      <c r="AB39" s="55">
        <v>1</v>
      </c>
      <c r="AC39" s="55">
        <v>1</v>
      </c>
      <c r="AD39" s="55">
        <v>1</v>
      </c>
      <c r="AG39" s="55">
        <v>1</v>
      </c>
      <c r="AH39" s="55">
        <v>1</v>
      </c>
      <c r="AS39">
        <v>1</v>
      </c>
    </row>
    <row r="40" spans="2:45" x14ac:dyDescent="0.3">
      <c r="B40" s="14" t="s">
        <v>136</v>
      </c>
      <c r="P40" s="55">
        <v>1</v>
      </c>
      <c r="Z40" s="55">
        <v>1</v>
      </c>
      <c r="AA40" s="55">
        <v>1</v>
      </c>
      <c r="AC40" s="55">
        <v>1</v>
      </c>
      <c r="AD40" s="55">
        <v>1</v>
      </c>
      <c r="AG40" s="55">
        <v>1</v>
      </c>
      <c r="AS40">
        <v>1</v>
      </c>
    </row>
    <row r="41" spans="2:45" x14ac:dyDescent="0.3">
      <c r="B41" s="14" t="s">
        <v>135</v>
      </c>
      <c r="P41" s="55">
        <v>1</v>
      </c>
      <c r="Z41" s="55">
        <v>1</v>
      </c>
      <c r="AA41" s="55">
        <v>0</v>
      </c>
      <c r="AB41" s="55">
        <v>1</v>
      </c>
      <c r="AC41" s="55">
        <v>1</v>
      </c>
      <c r="AD41" s="55">
        <v>1</v>
      </c>
      <c r="AH41" s="55">
        <v>1</v>
      </c>
      <c r="AS41">
        <v>1</v>
      </c>
    </row>
    <row r="42" spans="2:45" x14ac:dyDescent="0.3">
      <c r="B42" s="14" t="s">
        <v>55</v>
      </c>
      <c r="P42" s="55">
        <v>1</v>
      </c>
      <c r="Z42" s="55">
        <v>1</v>
      </c>
      <c r="AA42" s="55">
        <v>1</v>
      </c>
      <c r="AB42" s="55">
        <v>1</v>
      </c>
      <c r="AC42" s="55">
        <v>1</v>
      </c>
      <c r="AG42" s="55">
        <v>1</v>
      </c>
      <c r="AH42" s="55">
        <v>1</v>
      </c>
      <c r="AS42">
        <v>1</v>
      </c>
    </row>
    <row r="43" spans="2:45" x14ac:dyDescent="0.3">
      <c r="B43" s="14" t="s">
        <v>56</v>
      </c>
      <c r="P43" s="55">
        <v>1</v>
      </c>
      <c r="Z43" s="55">
        <v>1</v>
      </c>
      <c r="AA43" s="55">
        <v>1</v>
      </c>
      <c r="AB43" s="55">
        <v>1</v>
      </c>
      <c r="AD43" s="55">
        <v>1</v>
      </c>
      <c r="AG43" s="55">
        <v>1</v>
      </c>
      <c r="AH43" s="55">
        <v>1</v>
      </c>
      <c r="AS43">
        <v>1</v>
      </c>
    </row>
    <row r="44" spans="2:45" x14ac:dyDescent="0.3">
      <c r="B44" s="14" t="s">
        <v>49</v>
      </c>
      <c r="P44" s="55">
        <v>1</v>
      </c>
      <c r="W44" s="55">
        <v>1</v>
      </c>
      <c r="X44" s="55">
        <v>1</v>
      </c>
      <c r="Y44" s="55">
        <v>1</v>
      </c>
      <c r="AG44" s="55">
        <v>1</v>
      </c>
      <c r="AH44" s="55">
        <v>1</v>
      </c>
      <c r="AS44">
        <v>1</v>
      </c>
    </row>
    <row r="45" spans="2:45" x14ac:dyDescent="0.3">
      <c r="B45" s="14" t="s">
        <v>137</v>
      </c>
      <c r="P45" s="55">
        <v>1</v>
      </c>
      <c r="W45" s="55">
        <v>1</v>
      </c>
      <c r="X45" s="55">
        <v>1</v>
      </c>
      <c r="AG45" s="55">
        <v>1</v>
      </c>
      <c r="AS45">
        <v>1</v>
      </c>
    </row>
    <row r="46" spans="2:45" x14ac:dyDescent="0.3">
      <c r="B46" s="14" t="s">
        <v>138</v>
      </c>
      <c r="P46" s="55">
        <v>1</v>
      </c>
      <c r="W46" s="55">
        <v>1</v>
      </c>
      <c r="Y46" s="55">
        <v>1</v>
      </c>
      <c r="AH46" s="55">
        <v>1</v>
      </c>
      <c r="AS46">
        <v>1</v>
      </c>
    </row>
    <row r="47" spans="2:45" x14ac:dyDescent="0.3">
      <c r="B47" s="14" t="s">
        <v>50</v>
      </c>
      <c r="P47" s="55">
        <v>1</v>
      </c>
      <c r="W47" s="55">
        <v>1</v>
      </c>
      <c r="X47" s="55">
        <v>1</v>
      </c>
      <c r="Y47" s="55">
        <v>1</v>
      </c>
      <c r="AG47" s="55">
        <v>1</v>
      </c>
      <c r="AH47" s="55">
        <v>1</v>
      </c>
      <c r="AS47">
        <v>1</v>
      </c>
    </row>
    <row r="48" spans="2:45" x14ac:dyDescent="0.3">
      <c r="B48" s="14" t="s">
        <v>51</v>
      </c>
      <c r="P48" s="55">
        <v>1</v>
      </c>
      <c r="W48" s="55">
        <v>1</v>
      </c>
      <c r="X48" s="55">
        <v>1</v>
      </c>
      <c r="Y48" s="55">
        <v>1</v>
      </c>
      <c r="AG48" s="55">
        <v>1</v>
      </c>
      <c r="AH48" s="55">
        <v>1</v>
      </c>
      <c r="AS48">
        <v>1</v>
      </c>
    </row>
    <row r="49" spans="2:45" x14ac:dyDescent="0.3">
      <c r="B49" s="14" t="s">
        <v>52</v>
      </c>
      <c r="P49" s="55">
        <v>1</v>
      </c>
      <c r="W49" s="55">
        <v>1</v>
      </c>
      <c r="X49" s="55">
        <v>1</v>
      </c>
      <c r="Y49" s="55">
        <v>1</v>
      </c>
      <c r="AG49" s="55">
        <v>1</v>
      </c>
      <c r="AH49" s="55">
        <v>1</v>
      </c>
      <c r="AS49">
        <v>1</v>
      </c>
    </row>
    <row r="50" spans="2:45" x14ac:dyDescent="0.3">
      <c r="B50" s="14" t="s">
        <v>53</v>
      </c>
      <c r="P50" s="55">
        <v>1</v>
      </c>
      <c r="W50" s="55">
        <v>1</v>
      </c>
      <c r="X50" s="55">
        <v>1</v>
      </c>
      <c r="Y50" s="55">
        <v>1</v>
      </c>
      <c r="AG50" s="55">
        <v>1</v>
      </c>
      <c r="AH50" s="55">
        <v>1</v>
      </c>
      <c r="AS50">
        <v>1</v>
      </c>
    </row>
    <row r="51" spans="2:45" x14ac:dyDescent="0.3">
      <c r="B51" s="14" t="s">
        <v>165</v>
      </c>
      <c r="O51" s="55">
        <v>1</v>
      </c>
      <c r="Q51" s="55">
        <v>1</v>
      </c>
      <c r="R51" s="55">
        <v>1</v>
      </c>
      <c r="T51" s="55">
        <v>1</v>
      </c>
      <c r="U51" s="55">
        <v>1</v>
      </c>
      <c r="AE51" s="55">
        <v>1</v>
      </c>
      <c r="AS51">
        <v>1</v>
      </c>
    </row>
    <row r="52" spans="2:45" x14ac:dyDescent="0.3">
      <c r="B52" s="14" t="s">
        <v>166</v>
      </c>
      <c r="O52" s="55">
        <v>1</v>
      </c>
      <c r="Q52" s="55">
        <v>1</v>
      </c>
      <c r="S52" s="55">
        <v>1</v>
      </c>
      <c r="T52" s="55">
        <v>1</v>
      </c>
      <c r="V52" s="55">
        <v>1</v>
      </c>
      <c r="AF52" s="55">
        <v>1</v>
      </c>
      <c r="AS52">
        <v>1</v>
      </c>
    </row>
    <row r="53" spans="2:45" x14ac:dyDescent="0.3">
      <c r="B53" s="14" t="s">
        <v>168</v>
      </c>
      <c r="P53" s="55">
        <v>1</v>
      </c>
      <c r="W53" s="55">
        <v>1</v>
      </c>
      <c r="X53" s="55">
        <v>1</v>
      </c>
      <c r="Z53" s="55">
        <v>1</v>
      </c>
      <c r="AA53" s="55">
        <v>1</v>
      </c>
      <c r="AC53" s="55">
        <v>1</v>
      </c>
      <c r="AD53" s="55">
        <v>1</v>
      </c>
      <c r="AG53" s="55">
        <v>1</v>
      </c>
      <c r="AH53" s="55">
        <v>0</v>
      </c>
      <c r="AS53">
        <v>1</v>
      </c>
    </row>
    <row r="54" spans="2:45" x14ac:dyDescent="0.3">
      <c r="B54" s="14" t="s">
        <v>169</v>
      </c>
      <c r="P54" s="55">
        <v>1</v>
      </c>
      <c r="W54" s="55">
        <v>1</v>
      </c>
      <c r="Y54" s="55">
        <v>1</v>
      </c>
      <c r="Z54" s="55">
        <v>1</v>
      </c>
      <c r="AB54" s="55">
        <v>1</v>
      </c>
      <c r="AC54" s="55">
        <v>1</v>
      </c>
      <c r="AD54" s="55">
        <v>1</v>
      </c>
      <c r="AG54" s="55">
        <v>0</v>
      </c>
      <c r="AH54" s="55">
        <v>1</v>
      </c>
      <c r="AS54">
        <v>1</v>
      </c>
    </row>
    <row r="55" spans="2:45" x14ac:dyDescent="0.3">
      <c r="B55" s="14" t="s">
        <v>139</v>
      </c>
      <c r="AI55" s="55">
        <v>1</v>
      </c>
      <c r="AK55" s="55">
        <v>1</v>
      </c>
      <c r="AL55" s="55">
        <v>1</v>
      </c>
      <c r="AM55" s="55">
        <v>1</v>
      </c>
      <c r="AS55">
        <v>1</v>
      </c>
    </row>
    <row r="56" spans="2:45" x14ac:dyDescent="0.3">
      <c r="B56" s="14" t="s">
        <v>140</v>
      </c>
      <c r="AI56" s="55">
        <v>1</v>
      </c>
      <c r="AK56" s="55">
        <v>1</v>
      </c>
      <c r="AS56">
        <v>1</v>
      </c>
    </row>
    <row r="57" spans="2:45" x14ac:dyDescent="0.3">
      <c r="B57" s="14" t="s">
        <v>58</v>
      </c>
      <c r="AJ57" s="55">
        <v>1</v>
      </c>
      <c r="AS57">
        <v>1</v>
      </c>
    </row>
    <row r="58" spans="2:45" x14ac:dyDescent="0.3">
      <c r="B58" s="14" t="s">
        <v>48</v>
      </c>
      <c r="AI58" s="55">
        <v>1</v>
      </c>
      <c r="AL58" s="55">
        <v>1</v>
      </c>
      <c r="AS58">
        <v>1</v>
      </c>
    </row>
    <row r="59" spans="2:45" x14ac:dyDescent="0.3">
      <c r="B59" s="14" t="s">
        <v>45</v>
      </c>
      <c r="AI59" s="55">
        <v>1</v>
      </c>
      <c r="AM59" s="55">
        <v>1</v>
      </c>
      <c r="AS59">
        <v>1</v>
      </c>
    </row>
    <row r="60" spans="2:45" x14ac:dyDescent="0.3">
      <c r="B60" s="14" t="s">
        <v>44</v>
      </c>
      <c r="AN60" s="55">
        <v>1</v>
      </c>
      <c r="AS60">
        <v>1</v>
      </c>
    </row>
    <row r="61" spans="2:45" x14ac:dyDescent="0.3">
      <c r="B61" s="14" t="s">
        <v>25</v>
      </c>
      <c r="O61" s="55">
        <v>1</v>
      </c>
      <c r="P61" s="55">
        <v>1</v>
      </c>
      <c r="Q61" s="55">
        <v>1</v>
      </c>
      <c r="R61" s="55">
        <v>1</v>
      </c>
      <c r="S61" s="55">
        <v>1</v>
      </c>
      <c r="T61" s="55">
        <v>1</v>
      </c>
      <c r="U61" s="55">
        <v>1</v>
      </c>
      <c r="V61" s="55">
        <v>1</v>
      </c>
      <c r="W61" s="55">
        <v>1</v>
      </c>
      <c r="X61" s="55">
        <v>1</v>
      </c>
      <c r="Y61" s="55">
        <v>1</v>
      </c>
      <c r="Z61" s="55">
        <v>1</v>
      </c>
      <c r="AA61" s="55">
        <v>1</v>
      </c>
      <c r="AB61" s="55">
        <v>1</v>
      </c>
      <c r="AC61" s="55">
        <v>1</v>
      </c>
      <c r="AD61" s="55">
        <v>1</v>
      </c>
      <c r="AE61" s="55">
        <v>1</v>
      </c>
      <c r="AF61" s="55">
        <v>1</v>
      </c>
      <c r="AG61" s="55">
        <v>1</v>
      </c>
      <c r="AH61" s="55">
        <v>1</v>
      </c>
      <c r="AL61" s="55">
        <v>1</v>
      </c>
      <c r="AS61">
        <v>1</v>
      </c>
    </row>
    <row r="62" spans="2:45" x14ac:dyDescent="0.3">
      <c r="B62" s="66" t="s">
        <v>29</v>
      </c>
      <c r="O62" s="55">
        <v>1</v>
      </c>
      <c r="Q62" s="55">
        <v>1</v>
      </c>
      <c r="R62" s="55">
        <v>1</v>
      </c>
      <c r="S62" s="55">
        <v>1</v>
      </c>
      <c r="T62" s="55">
        <v>1</v>
      </c>
      <c r="U62" s="55">
        <v>1</v>
      </c>
      <c r="V62" s="55">
        <v>1</v>
      </c>
      <c r="AE62" s="55">
        <v>1</v>
      </c>
      <c r="AF62" s="55">
        <v>1</v>
      </c>
      <c r="AS62">
        <v>1</v>
      </c>
    </row>
    <row r="63" spans="2:45" x14ac:dyDescent="0.3">
      <c r="B63" s="66" t="s">
        <v>63</v>
      </c>
      <c r="O63" s="55">
        <v>1</v>
      </c>
      <c r="Q63" s="55">
        <v>1</v>
      </c>
      <c r="R63" s="55">
        <v>1</v>
      </c>
      <c r="T63" s="55">
        <v>1</v>
      </c>
      <c r="U63" s="55">
        <v>1</v>
      </c>
      <c r="V63" s="55">
        <v>0</v>
      </c>
      <c r="AE63" s="55">
        <v>1</v>
      </c>
      <c r="AS63">
        <v>1</v>
      </c>
    </row>
    <row r="64" spans="2:45" x14ac:dyDescent="0.3">
      <c r="B64" s="66" t="s">
        <v>65</v>
      </c>
      <c r="O64" s="55">
        <v>1</v>
      </c>
      <c r="Q64" s="55">
        <v>1</v>
      </c>
      <c r="S64" s="55">
        <v>1</v>
      </c>
      <c r="T64" s="55">
        <v>1</v>
      </c>
      <c r="U64" s="55">
        <v>0</v>
      </c>
      <c r="V64" s="55">
        <v>1</v>
      </c>
      <c r="AF64" s="55">
        <v>1</v>
      </c>
      <c r="AS64">
        <v>1</v>
      </c>
    </row>
    <row r="65" spans="2:45" x14ac:dyDescent="0.3">
      <c r="B65" s="14" t="s">
        <v>62</v>
      </c>
      <c r="O65" s="55">
        <v>1</v>
      </c>
      <c r="P65" s="55">
        <v>1</v>
      </c>
      <c r="Q65" s="55">
        <v>1</v>
      </c>
      <c r="R65" s="55">
        <v>1</v>
      </c>
      <c r="T65" s="55">
        <v>1</v>
      </c>
      <c r="U65" s="55">
        <v>1</v>
      </c>
      <c r="V65" s="55">
        <v>0</v>
      </c>
      <c r="W65" s="55">
        <v>1</v>
      </c>
      <c r="X65" s="55">
        <v>1</v>
      </c>
      <c r="Z65" s="55">
        <v>1</v>
      </c>
      <c r="AA65" s="55">
        <v>1</v>
      </c>
      <c r="AC65" s="55">
        <v>1</v>
      </c>
      <c r="AD65" s="55">
        <v>1</v>
      </c>
      <c r="AE65" s="55">
        <v>1</v>
      </c>
      <c r="AG65" s="55">
        <v>1</v>
      </c>
      <c r="AL65" s="55">
        <v>1</v>
      </c>
      <c r="AS65">
        <v>1</v>
      </c>
    </row>
    <row r="66" spans="2:45" x14ac:dyDescent="0.3">
      <c r="B66" s="14" t="s">
        <v>31</v>
      </c>
      <c r="O66" s="55">
        <v>1</v>
      </c>
      <c r="Q66" s="55">
        <v>1</v>
      </c>
      <c r="R66" s="55">
        <v>1</v>
      </c>
      <c r="T66" s="55">
        <v>1</v>
      </c>
      <c r="U66" s="55">
        <v>1</v>
      </c>
      <c r="V66" s="55">
        <v>0</v>
      </c>
      <c r="AE66" s="55">
        <v>1</v>
      </c>
      <c r="AS66">
        <v>1</v>
      </c>
    </row>
    <row r="67" spans="2:45" x14ac:dyDescent="0.3">
      <c r="B67" s="14" t="s">
        <v>34</v>
      </c>
      <c r="O67" s="55">
        <v>1</v>
      </c>
      <c r="Q67" s="55">
        <v>1</v>
      </c>
      <c r="R67" s="55">
        <v>1</v>
      </c>
      <c r="T67" s="55">
        <v>1</v>
      </c>
      <c r="U67" s="55">
        <v>1</v>
      </c>
      <c r="V67" s="55">
        <v>0</v>
      </c>
      <c r="AE67" s="55">
        <v>1</v>
      </c>
      <c r="AS67">
        <v>1</v>
      </c>
    </row>
    <row r="68" spans="2:45" x14ac:dyDescent="0.3">
      <c r="B68" s="14" t="s">
        <v>27</v>
      </c>
      <c r="O68" s="55">
        <v>1</v>
      </c>
      <c r="P68" s="55">
        <v>1</v>
      </c>
      <c r="Q68" s="55">
        <v>1</v>
      </c>
      <c r="R68" s="55">
        <v>1</v>
      </c>
      <c r="T68" s="55">
        <v>1</v>
      </c>
      <c r="U68" s="55">
        <v>1</v>
      </c>
      <c r="V68" s="55">
        <v>0</v>
      </c>
      <c r="W68" s="55">
        <v>1</v>
      </c>
      <c r="X68" s="55">
        <v>1</v>
      </c>
      <c r="Z68" s="55">
        <v>1</v>
      </c>
      <c r="AA68" s="55">
        <v>1</v>
      </c>
      <c r="AC68" s="55">
        <v>1</v>
      </c>
      <c r="AD68" s="55">
        <v>1</v>
      </c>
      <c r="AE68" s="55">
        <v>1</v>
      </c>
      <c r="AG68" s="55">
        <v>1</v>
      </c>
      <c r="AL68" s="55">
        <v>1</v>
      </c>
    </row>
    <row r="69" spans="2:45" x14ac:dyDescent="0.3">
      <c r="B69" s="14" t="s">
        <v>64</v>
      </c>
      <c r="O69" s="55">
        <v>1</v>
      </c>
      <c r="P69" s="55">
        <v>1</v>
      </c>
      <c r="Q69" s="55">
        <v>1</v>
      </c>
      <c r="S69" s="55">
        <v>1</v>
      </c>
      <c r="T69" s="55">
        <v>1</v>
      </c>
      <c r="U69" s="55">
        <v>0</v>
      </c>
      <c r="V69" s="55">
        <v>1</v>
      </c>
      <c r="W69" s="55">
        <v>1</v>
      </c>
      <c r="Y69" s="55">
        <v>1</v>
      </c>
      <c r="Z69" s="55">
        <v>1</v>
      </c>
      <c r="AB69" s="55">
        <v>1</v>
      </c>
      <c r="AC69" s="55">
        <v>1</v>
      </c>
      <c r="AD69" s="55">
        <v>1</v>
      </c>
      <c r="AF69" s="55">
        <v>1</v>
      </c>
      <c r="AH69" s="55">
        <v>1</v>
      </c>
      <c r="AS69">
        <v>1</v>
      </c>
    </row>
    <row r="70" spans="2:45" x14ac:dyDescent="0.3">
      <c r="B70" s="14" t="s">
        <v>32</v>
      </c>
      <c r="O70" s="55">
        <v>1</v>
      </c>
      <c r="Q70" s="55">
        <v>1</v>
      </c>
      <c r="S70" s="55">
        <v>1</v>
      </c>
      <c r="T70" s="55">
        <v>1</v>
      </c>
      <c r="U70" s="55">
        <v>0</v>
      </c>
      <c r="V70" s="55">
        <v>1</v>
      </c>
      <c r="AF70" s="55">
        <v>1</v>
      </c>
      <c r="AS70">
        <v>1</v>
      </c>
    </row>
    <row r="71" spans="2:45" x14ac:dyDescent="0.3">
      <c r="B71" s="14" t="s">
        <v>35</v>
      </c>
      <c r="O71" s="55">
        <v>1</v>
      </c>
      <c r="Q71" s="55">
        <v>1</v>
      </c>
      <c r="S71" s="55">
        <v>1</v>
      </c>
      <c r="T71" s="55">
        <v>1</v>
      </c>
      <c r="U71" s="55">
        <v>0</v>
      </c>
      <c r="V71" s="55">
        <v>1</v>
      </c>
      <c r="AF71" s="55">
        <v>1</v>
      </c>
      <c r="AS71">
        <v>1</v>
      </c>
    </row>
    <row r="72" spans="2:45" x14ac:dyDescent="0.3">
      <c r="B72" s="14" t="s">
        <v>28</v>
      </c>
      <c r="O72" s="55">
        <v>1</v>
      </c>
      <c r="P72" s="55">
        <v>1</v>
      </c>
      <c r="Q72" s="55">
        <v>1</v>
      </c>
      <c r="S72" s="55">
        <v>1</v>
      </c>
      <c r="T72" s="55">
        <v>1</v>
      </c>
      <c r="U72" s="55">
        <v>0</v>
      </c>
      <c r="V72" s="55">
        <v>1</v>
      </c>
      <c r="W72" s="55">
        <v>1</v>
      </c>
      <c r="Y72" s="55">
        <v>1</v>
      </c>
      <c r="Z72" s="55">
        <v>1</v>
      </c>
      <c r="AB72" s="55">
        <v>1</v>
      </c>
      <c r="AC72" s="55">
        <v>1</v>
      </c>
      <c r="AD72" s="55">
        <v>1</v>
      </c>
      <c r="AF72" s="55">
        <v>1</v>
      </c>
      <c r="AH72" s="55">
        <v>1</v>
      </c>
      <c r="AL72" s="55">
        <v>1</v>
      </c>
    </row>
    <row r="73" spans="2:45" x14ac:dyDescent="0.3">
      <c r="B73" s="14" t="s">
        <v>25</v>
      </c>
      <c r="O73" s="55">
        <v>1</v>
      </c>
      <c r="P73" s="55">
        <v>1</v>
      </c>
      <c r="Q73" s="55">
        <v>1</v>
      </c>
      <c r="R73" s="55">
        <v>1</v>
      </c>
      <c r="S73" s="55">
        <v>1</v>
      </c>
      <c r="T73" s="55">
        <v>1</v>
      </c>
      <c r="U73" s="55">
        <v>1</v>
      </c>
      <c r="V73" s="55">
        <v>1</v>
      </c>
      <c r="AE73" s="55">
        <v>1</v>
      </c>
      <c r="AF73" s="55">
        <v>1</v>
      </c>
      <c r="AG73" s="55">
        <v>1</v>
      </c>
      <c r="AH73" s="55">
        <v>1</v>
      </c>
      <c r="AS73">
        <v>1</v>
      </c>
    </row>
    <row r="74" spans="2:45" x14ac:dyDescent="0.3">
      <c r="B74" s="14" t="s">
        <v>26</v>
      </c>
      <c r="O74" s="55">
        <v>1</v>
      </c>
      <c r="P74" s="55">
        <v>1</v>
      </c>
      <c r="Q74" s="55">
        <v>1</v>
      </c>
      <c r="R74" s="55">
        <v>1</v>
      </c>
      <c r="S74" s="55">
        <v>1</v>
      </c>
      <c r="T74" s="55">
        <v>1</v>
      </c>
      <c r="U74" s="55">
        <v>1</v>
      </c>
      <c r="V74" s="55">
        <v>1</v>
      </c>
      <c r="W74" s="55">
        <v>1</v>
      </c>
      <c r="X74" s="55">
        <v>1</v>
      </c>
      <c r="Y74" s="55">
        <v>1</v>
      </c>
      <c r="Z74" s="55">
        <v>1</v>
      </c>
      <c r="AA74" s="55">
        <v>1</v>
      </c>
      <c r="AB74" s="55">
        <v>1</v>
      </c>
      <c r="AC74" s="55">
        <v>1</v>
      </c>
      <c r="AD74" s="55">
        <v>1</v>
      </c>
      <c r="AE74" s="55">
        <v>1</v>
      </c>
      <c r="AF74" s="55">
        <v>1</v>
      </c>
      <c r="AG74" s="55">
        <v>1</v>
      </c>
      <c r="AH74" s="55">
        <v>1</v>
      </c>
      <c r="AL74" s="55">
        <v>1</v>
      </c>
    </row>
    <row r="75" spans="2:45" x14ac:dyDescent="0.3">
      <c r="B75" s="14" t="s">
        <v>27</v>
      </c>
      <c r="O75" s="55">
        <v>1</v>
      </c>
      <c r="P75" s="55">
        <v>1</v>
      </c>
      <c r="Q75" s="55">
        <v>1</v>
      </c>
      <c r="R75" s="55">
        <v>1</v>
      </c>
      <c r="T75" s="55">
        <v>1</v>
      </c>
      <c r="U75" s="55">
        <v>1</v>
      </c>
      <c r="V75" s="55">
        <v>0</v>
      </c>
      <c r="W75" s="55">
        <v>1</v>
      </c>
      <c r="X75" s="55">
        <v>1</v>
      </c>
      <c r="Z75" s="55">
        <v>1</v>
      </c>
      <c r="AA75" s="55">
        <v>1</v>
      </c>
      <c r="AC75" s="55">
        <v>1</v>
      </c>
      <c r="AD75" s="55">
        <v>1</v>
      </c>
      <c r="AE75" s="55">
        <v>1</v>
      </c>
      <c r="AG75" s="55">
        <v>1</v>
      </c>
      <c r="AL75" s="55">
        <v>1</v>
      </c>
    </row>
    <row r="76" spans="2:45" x14ac:dyDescent="0.3">
      <c r="B76" s="14" t="s">
        <v>28</v>
      </c>
      <c r="O76" s="55">
        <v>1</v>
      </c>
      <c r="P76" s="55">
        <v>1</v>
      </c>
      <c r="Q76" s="55">
        <v>1</v>
      </c>
      <c r="S76" s="55">
        <v>1</v>
      </c>
      <c r="T76" s="55">
        <v>1</v>
      </c>
      <c r="U76" s="55">
        <v>0</v>
      </c>
      <c r="V76" s="55">
        <v>1</v>
      </c>
      <c r="W76" s="55">
        <v>1</v>
      </c>
      <c r="Y76" s="55">
        <v>1</v>
      </c>
      <c r="Z76" s="55">
        <v>1</v>
      </c>
      <c r="AB76" s="55">
        <v>1</v>
      </c>
      <c r="AC76" s="55">
        <v>1</v>
      </c>
      <c r="AD76" s="55">
        <v>1</v>
      </c>
      <c r="AF76" s="55">
        <v>1</v>
      </c>
      <c r="AH76" s="55">
        <v>1</v>
      </c>
      <c r="AL76" s="55">
        <v>1</v>
      </c>
    </row>
    <row r="77" spans="2:45" x14ac:dyDescent="0.3">
      <c r="B77" s="14" t="s">
        <v>30</v>
      </c>
      <c r="O77" s="55">
        <v>1</v>
      </c>
      <c r="Q77" s="55">
        <v>1</v>
      </c>
      <c r="R77" s="55">
        <v>1</v>
      </c>
      <c r="S77" s="55">
        <v>1</v>
      </c>
      <c r="T77" s="55">
        <v>1</v>
      </c>
      <c r="U77" s="55">
        <v>1</v>
      </c>
      <c r="V77" s="55">
        <v>1</v>
      </c>
      <c r="AE77" s="55">
        <v>1</v>
      </c>
      <c r="AF77" s="55">
        <v>1</v>
      </c>
      <c r="AS77">
        <v>1</v>
      </c>
    </row>
    <row r="78" spans="2:45" x14ac:dyDescent="0.3">
      <c r="B78" s="14" t="s">
        <v>31</v>
      </c>
      <c r="O78" s="55">
        <v>1</v>
      </c>
      <c r="Q78" s="55">
        <v>1</v>
      </c>
      <c r="R78" s="55">
        <v>1</v>
      </c>
      <c r="T78" s="55">
        <v>1</v>
      </c>
      <c r="U78" s="55">
        <v>1</v>
      </c>
      <c r="V78" s="55">
        <v>0</v>
      </c>
      <c r="AE78" s="55">
        <v>1</v>
      </c>
      <c r="AS78">
        <v>1</v>
      </c>
    </row>
    <row r="79" spans="2:45" x14ac:dyDescent="0.3">
      <c r="B79" s="14" t="s">
        <v>32</v>
      </c>
      <c r="O79" s="55">
        <v>1</v>
      </c>
      <c r="Q79" s="55">
        <v>1</v>
      </c>
      <c r="S79" s="55">
        <v>1</v>
      </c>
      <c r="T79" s="55">
        <v>1</v>
      </c>
      <c r="U79" s="55">
        <v>0</v>
      </c>
      <c r="V79" s="55">
        <v>1</v>
      </c>
      <c r="AF79" s="55">
        <v>1</v>
      </c>
      <c r="AS79">
        <v>1</v>
      </c>
    </row>
    <row r="80" spans="2:45" x14ac:dyDescent="0.3">
      <c r="B80" s="14" t="s">
        <v>33</v>
      </c>
      <c r="O80" s="55">
        <v>1</v>
      </c>
      <c r="Q80" s="55">
        <v>1</v>
      </c>
      <c r="R80" s="55">
        <v>1</v>
      </c>
      <c r="S80" s="55">
        <v>1</v>
      </c>
      <c r="T80" s="55">
        <v>1</v>
      </c>
      <c r="U80" s="55">
        <v>1</v>
      </c>
      <c r="V80" s="55">
        <v>1</v>
      </c>
      <c r="AE80" s="55">
        <v>1</v>
      </c>
      <c r="AF80" s="55">
        <v>1</v>
      </c>
      <c r="AS80">
        <v>1</v>
      </c>
    </row>
    <row r="81" spans="2:45" x14ac:dyDescent="0.3">
      <c r="B81" s="14" t="s">
        <v>59</v>
      </c>
      <c r="AR81">
        <v>1</v>
      </c>
      <c r="AS81">
        <v>1</v>
      </c>
    </row>
    <row r="82" spans="2:45" x14ac:dyDescent="0.3">
      <c r="B82" s="14" t="s">
        <v>157</v>
      </c>
      <c r="N82" s="55">
        <v>1</v>
      </c>
      <c r="O82" s="55">
        <v>1</v>
      </c>
      <c r="Q82" s="55">
        <v>1</v>
      </c>
      <c r="R82" s="55">
        <v>1</v>
      </c>
      <c r="S82" s="55">
        <v>1</v>
      </c>
      <c r="AE82" s="55">
        <v>1</v>
      </c>
      <c r="AF82" s="55">
        <v>1</v>
      </c>
      <c r="AS82">
        <v>1</v>
      </c>
    </row>
    <row r="83" spans="2:45" ht="13.5" customHeight="1" x14ac:dyDescent="0.3">
      <c r="B83" s="14" t="s">
        <v>36</v>
      </c>
      <c r="N83" s="55">
        <v>1</v>
      </c>
      <c r="AS83">
        <v>1</v>
      </c>
    </row>
    <row r="84" spans="2:45" x14ac:dyDescent="0.3">
      <c r="B84" s="14" t="s">
        <v>33</v>
      </c>
      <c r="O84" s="55">
        <v>1</v>
      </c>
      <c r="Q84" s="55">
        <v>1</v>
      </c>
      <c r="R84" s="55">
        <v>1</v>
      </c>
      <c r="S84" s="55">
        <v>1</v>
      </c>
      <c r="T84" s="55">
        <v>1</v>
      </c>
      <c r="U84" s="55">
        <v>1</v>
      </c>
      <c r="V84" s="55">
        <v>1</v>
      </c>
      <c r="AE84" s="55">
        <v>1</v>
      </c>
      <c r="AF84" s="55">
        <v>1</v>
      </c>
      <c r="AS84">
        <v>1</v>
      </c>
    </row>
    <row r="85" spans="2:45" x14ac:dyDescent="0.3">
      <c r="B85" s="14" t="s">
        <v>60</v>
      </c>
      <c r="N85" s="55">
        <v>1</v>
      </c>
      <c r="O85" s="55">
        <v>1</v>
      </c>
      <c r="Q85" s="55">
        <v>1</v>
      </c>
      <c r="R85" s="55">
        <v>1</v>
      </c>
      <c r="S85" s="55">
        <v>1</v>
      </c>
      <c r="T85" s="55">
        <v>1</v>
      </c>
      <c r="U85" s="55">
        <v>1</v>
      </c>
      <c r="V85" s="55">
        <v>1</v>
      </c>
      <c r="AE85" s="55">
        <v>1</v>
      </c>
      <c r="AF85" s="55">
        <v>1</v>
      </c>
    </row>
    <row r="86" spans="2:45" x14ac:dyDescent="0.3">
      <c r="B86" s="66" t="s">
        <v>37</v>
      </c>
      <c r="AR86">
        <v>1</v>
      </c>
    </row>
    <row r="87" spans="2:45" x14ac:dyDescent="0.3">
      <c r="B87" s="66" t="s">
        <v>57</v>
      </c>
      <c r="P87" s="55">
        <v>1</v>
      </c>
      <c r="Z87" s="55">
        <v>1</v>
      </c>
      <c r="AA87" s="55">
        <v>1</v>
      </c>
      <c r="AB87" s="55">
        <v>1</v>
      </c>
      <c r="AC87" s="55">
        <v>1</v>
      </c>
      <c r="AD87" s="55">
        <v>1</v>
      </c>
      <c r="AG87" s="55">
        <v>1</v>
      </c>
      <c r="AH87" s="55">
        <v>1</v>
      </c>
    </row>
    <row r="88" spans="2:45" x14ac:dyDescent="0.3">
      <c r="B88" s="15"/>
    </row>
    <row r="89" spans="2:45" x14ac:dyDescent="0.3">
      <c r="B89" s="15"/>
    </row>
    <row r="90" spans="2:45" x14ac:dyDescent="0.3">
      <c r="B90" s="15"/>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16"/>
      <c r="AS90" s="16"/>
    </row>
    <row r="91" spans="2:45" x14ac:dyDescent="0.3">
      <c r="B91" s="14" t="s">
        <v>11</v>
      </c>
      <c r="L91" s="55">
        <v>1</v>
      </c>
      <c r="M91" s="55">
        <v>1</v>
      </c>
    </row>
    <row r="92" spans="2:45" x14ac:dyDescent="0.3">
      <c r="B92" s="66" t="s">
        <v>160</v>
      </c>
      <c r="AP92" s="55">
        <v>1</v>
      </c>
    </row>
    <row r="93" spans="2:45" x14ac:dyDescent="0.3">
      <c r="B93" s="14" t="s">
        <v>12</v>
      </c>
      <c r="F93" s="55">
        <v>1</v>
      </c>
      <c r="G93" s="55">
        <v>1</v>
      </c>
      <c r="H93" s="55">
        <v>1</v>
      </c>
      <c r="J93" s="55">
        <v>1</v>
      </c>
      <c r="K93" s="55">
        <v>1</v>
      </c>
      <c r="L93" s="55">
        <v>1</v>
      </c>
      <c r="M93" s="55">
        <v>1</v>
      </c>
      <c r="N93" s="55">
        <v>1</v>
      </c>
    </row>
    <row r="94" spans="2:45" x14ac:dyDescent="0.3">
      <c r="B94" s="14" t="s">
        <v>13</v>
      </c>
      <c r="F94" s="55">
        <v>1</v>
      </c>
      <c r="G94" s="55">
        <v>1</v>
      </c>
      <c r="J94" s="55">
        <v>1</v>
      </c>
      <c r="K94" s="55">
        <v>1</v>
      </c>
      <c r="L94" s="55">
        <v>1</v>
      </c>
      <c r="M94" s="55">
        <v>1</v>
      </c>
      <c r="N94" s="55">
        <v>1</v>
      </c>
    </row>
    <row r="95" spans="2:45" x14ac:dyDescent="0.3">
      <c r="B95" s="66" t="s">
        <v>14</v>
      </c>
      <c r="F95" s="55">
        <v>1</v>
      </c>
      <c r="G95" s="55">
        <v>1</v>
      </c>
      <c r="J95" s="55">
        <v>1</v>
      </c>
      <c r="K95" s="55">
        <v>1</v>
      </c>
      <c r="L95" s="55">
        <v>1</v>
      </c>
      <c r="M95" s="55">
        <v>1</v>
      </c>
      <c r="N95" s="55">
        <v>1</v>
      </c>
    </row>
    <row r="96" spans="2:45" x14ac:dyDescent="0.3">
      <c r="B96" s="66" t="s">
        <v>15</v>
      </c>
      <c r="F96" s="55">
        <v>1</v>
      </c>
      <c r="G96" s="55">
        <v>1</v>
      </c>
      <c r="J96" s="55">
        <v>1</v>
      </c>
      <c r="K96" s="55">
        <v>1</v>
      </c>
      <c r="L96" s="55">
        <v>1</v>
      </c>
      <c r="M96" s="55">
        <v>1</v>
      </c>
      <c r="N96" s="55">
        <v>1</v>
      </c>
    </row>
    <row r="97" spans="2:45" x14ac:dyDescent="0.3">
      <c r="B97" s="14" t="s">
        <v>16</v>
      </c>
      <c r="F97" s="55">
        <v>1</v>
      </c>
      <c r="H97" s="55">
        <v>1</v>
      </c>
      <c r="J97" s="55">
        <v>1</v>
      </c>
      <c r="K97" s="55">
        <v>1</v>
      </c>
      <c r="L97" s="55">
        <v>1</v>
      </c>
      <c r="M97" s="55">
        <v>1</v>
      </c>
      <c r="N97" s="55">
        <v>1</v>
      </c>
    </row>
    <row r="98" spans="2:45" x14ac:dyDescent="0.3">
      <c r="B98" s="14" t="s">
        <v>127</v>
      </c>
      <c r="O98" s="55">
        <v>1</v>
      </c>
      <c r="P98" s="55">
        <v>1</v>
      </c>
      <c r="Q98" s="55">
        <v>1</v>
      </c>
      <c r="R98" s="55">
        <v>1</v>
      </c>
      <c r="S98" s="55">
        <v>1</v>
      </c>
      <c r="T98" s="55">
        <v>1</v>
      </c>
      <c r="U98" s="55">
        <v>1</v>
      </c>
      <c r="V98" s="55">
        <v>1</v>
      </c>
      <c r="W98" s="55">
        <v>1</v>
      </c>
      <c r="X98" s="55">
        <v>1</v>
      </c>
      <c r="Y98" s="55">
        <v>1</v>
      </c>
      <c r="Z98" s="55">
        <v>1</v>
      </c>
      <c r="AA98" s="55">
        <v>1</v>
      </c>
      <c r="AB98" s="55">
        <v>1</v>
      </c>
      <c r="AE98" s="55">
        <v>1</v>
      </c>
      <c r="AF98" s="55">
        <v>1</v>
      </c>
      <c r="AG98" s="55">
        <v>1</v>
      </c>
      <c r="AH98" s="55">
        <v>1</v>
      </c>
      <c r="AL98" s="55">
        <v>1</v>
      </c>
      <c r="AO98" s="55">
        <v>1</v>
      </c>
      <c r="AP98" s="55">
        <v>1</v>
      </c>
      <c r="AQ98" s="55">
        <v>1</v>
      </c>
      <c r="AS98">
        <v>1</v>
      </c>
    </row>
    <row r="99" spans="2:45" x14ac:dyDescent="0.3">
      <c r="B99" s="14" t="s">
        <v>18</v>
      </c>
      <c r="O99" s="55">
        <v>1</v>
      </c>
      <c r="Q99" s="55">
        <v>1</v>
      </c>
      <c r="R99" s="55">
        <v>1</v>
      </c>
      <c r="S99" s="55">
        <v>1</v>
      </c>
      <c r="T99" s="55">
        <v>1</v>
      </c>
      <c r="U99" s="55">
        <v>1</v>
      </c>
      <c r="AE99" s="55">
        <v>1</v>
      </c>
      <c r="AF99" s="55">
        <v>1</v>
      </c>
      <c r="AL99" s="55">
        <v>1</v>
      </c>
      <c r="AS99">
        <v>1</v>
      </c>
    </row>
    <row r="100" spans="2:45" x14ac:dyDescent="0.3">
      <c r="B100" s="14" t="s">
        <v>19</v>
      </c>
      <c r="O100" s="55">
        <v>1</v>
      </c>
      <c r="Q100" s="55">
        <v>1</v>
      </c>
      <c r="R100" s="55">
        <v>1</v>
      </c>
      <c r="T100" s="55">
        <v>1</v>
      </c>
      <c r="U100" s="55">
        <v>1</v>
      </c>
      <c r="AE100" s="55">
        <v>1</v>
      </c>
      <c r="AL100" s="55">
        <v>1</v>
      </c>
      <c r="AS100">
        <v>1</v>
      </c>
    </row>
    <row r="101" spans="2:45" x14ac:dyDescent="0.3">
      <c r="B101" s="14" t="s">
        <v>20</v>
      </c>
      <c r="O101" s="55">
        <v>1</v>
      </c>
      <c r="Q101" s="55">
        <v>1</v>
      </c>
      <c r="S101" s="55">
        <v>1</v>
      </c>
      <c r="T101" s="55">
        <v>1</v>
      </c>
      <c r="V101" s="55">
        <v>1</v>
      </c>
      <c r="AF101" s="55">
        <v>1</v>
      </c>
      <c r="AL101" s="55">
        <v>1</v>
      </c>
      <c r="AS101">
        <v>1</v>
      </c>
    </row>
    <row r="102" spans="2:45" x14ac:dyDescent="0.3">
      <c r="B102" s="14" t="s">
        <v>21</v>
      </c>
      <c r="P102" s="55">
        <v>1</v>
      </c>
      <c r="W102" s="55">
        <v>1</v>
      </c>
      <c r="X102" s="55">
        <v>1</v>
      </c>
      <c r="Y102" s="55">
        <v>1</v>
      </c>
      <c r="Z102" s="55">
        <v>1</v>
      </c>
      <c r="AA102" s="55">
        <v>1</v>
      </c>
      <c r="AB102" s="55">
        <v>1</v>
      </c>
      <c r="AC102" s="55">
        <v>1</v>
      </c>
      <c r="AD102" s="55">
        <v>1</v>
      </c>
      <c r="AG102" s="55">
        <v>1</v>
      </c>
      <c r="AH102" s="55">
        <v>1</v>
      </c>
      <c r="AS102">
        <v>1</v>
      </c>
    </row>
    <row r="103" spans="2:45" x14ac:dyDescent="0.3">
      <c r="B103" s="14" t="s">
        <v>22</v>
      </c>
      <c r="P103" s="55">
        <v>1</v>
      </c>
      <c r="W103" s="55">
        <v>1</v>
      </c>
      <c r="X103" s="55">
        <v>1</v>
      </c>
      <c r="Z103" s="55">
        <v>1</v>
      </c>
      <c r="AA103" s="55">
        <v>1</v>
      </c>
      <c r="AC103" s="55">
        <v>1</v>
      </c>
      <c r="AD103" s="55">
        <v>1</v>
      </c>
      <c r="AG103" s="55">
        <v>1</v>
      </c>
      <c r="AS103">
        <v>1</v>
      </c>
    </row>
    <row r="104" spans="2:45" x14ac:dyDescent="0.3">
      <c r="B104" s="14" t="s">
        <v>23</v>
      </c>
      <c r="P104" s="55">
        <v>1</v>
      </c>
      <c r="W104" s="55">
        <v>1</v>
      </c>
      <c r="Y104" s="55">
        <v>1</v>
      </c>
      <c r="Z104" s="55">
        <v>1</v>
      </c>
      <c r="AB104" s="55">
        <v>1</v>
      </c>
      <c r="AC104" s="55">
        <v>1</v>
      </c>
      <c r="AD104" s="55">
        <v>1</v>
      </c>
      <c r="AH104" s="55">
        <v>1</v>
      </c>
      <c r="AS104">
        <v>1</v>
      </c>
    </row>
    <row r="105" spans="2:45" x14ac:dyDescent="0.3">
      <c r="B105" s="66" t="s">
        <v>61</v>
      </c>
      <c r="AO105" s="55">
        <v>1</v>
      </c>
      <c r="AP105" s="55">
        <v>1</v>
      </c>
      <c r="AS105">
        <v>1</v>
      </c>
    </row>
    <row r="106" spans="2:45" x14ac:dyDescent="0.3">
      <c r="B106" s="14" t="s">
        <v>161</v>
      </c>
      <c r="AO106" s="55">
        <v>1</v>
      </c>
      <c r="AP106" s="55">
        <v>1</v>
      </c>
      <c r="AQ106" s="55">
        <v>1</v>
      </c>
      <c r="AS106">
        <v>1</v>
      </c>
    </row>
    <row r="107" spans="2:45" x14ac:dyDescent="0.3">
      <c r="B107" s="14" t="s">
        <v>162</v>
      </c>
      <c r="AO107" s="55">
        <v>1</v>
      </c>
      <c r="AP107" s="55">
        <v>1</v>
      </c>
      <c r="AQ107" s="55">
        <v>1</v>
      </c>
      <c r="AS107">
        <v>1</v>
      </c>
    </row>
    <row r="108" spans="2:45" x14ac:dyDescent="0.3">
      <c r="B108" s="66" t="s">
        <v>163</v>
      </c>
      <c r="AO108" s="55">
        <v>1</v>
      </c>
      <c r="AP108" s="55">
        <v>1</v>
      </c>
    </row>
    <row r="109" spans="2:45" x14ac:dyDescent="0.3">
      <c r="B109" s="66" t="s">
        <v>159</v>
      </c>
      <c r="AO109" s="55">
        <v>1</v>
      </c>
      <c r="AP109" s="55">
        <v>1</v>
      </c>
    </row>
    <row r="110" spans="2:45" x14ac:dyDescent="0.3">
      <c r="B110" s="66" t="s">
        <v>158</v>
      </c>
      <c r="AO110" s="55">
        <v>1</v>
      </c>
      <c r="AP110" s="55">
        <v>1</v>
      </c>
      <c r="AS110">
        <v>1</v>
      </c>
    </row>
    <row r="111" spans="2:45" x14ac:dyDescent="0.3">
      <c r="B111" s="14" t="s">
        <v>36</v>
      </c>
      <c r="AO111" s="55">
        <v>1</v>
      </c>
      <c r="AQ111" s="55">
        <v>1</v>
      </c>
    </row>
    <row r="112" spans="2:45" x14ac:dyDescent="0.3">
      <c r="B112" s="14" t="s">
        <v>129</v>
      </c>
      <c r="AO112" s="55">
        <v>1</v>
      </c>
      <c r="AQ112" s="55">
        <v>1</v>
      </c>
    </row>
    <row r="113" spans="1:45" x14ac:dyDescent="0.3">
      <c r="B113" s="14" t="s">
        <v>130</v>
      </c>
      <c r="AO113" s="55">
        <v>1</v>
      </c>
      <c r="AQ113" s="55">
        <v>1</v>
      </c>
    </row>
    <row r="114" spans="1:45" x14ac:dyDescent="0.3">
      <c r="A114" s="13"/>
      <c r="B114" s="14" t="s">
        <v>127</v>
      </c>
      <c r="O114" s="55">
        <v>1</v>
      </c>
      <c r="P114" s="55">
        <v>1</v>
      </c>
      <c r="Q114" s="55">
        <v>1</v>
      </c>
      <c r="R114" s="55">
        <v>1</v>
      </c>
      <c r="S114" s="55">
        <v>1</v>
      </c>
      <c r="T114" s="55">
        <v>1</v>
      </c>
      <c r="U114" s="55">
        <v>1</v>
      </c>
      <c r="V114" s="55">
        <v>1</v>
      </c>
      <c r="W114" s="55">
        <v>1</v>
      </c>
      <c r="X114" s="55">
        <v>1</v>
      </c>
      <c r="Y114" s="55">
        <v>1</v>
      </c>
      <c r="Z114" s="55">
        <v>1</v>
      </c>
      <c r="AA114" s="55">
        <v>1</v>
      </c>
      <c r="AB114" s="55">
        <v>1</v>
      </c>
      <c r="AE114" s="55">
        <v>1</v>
      </c>
      <c r="AF114" s="55">
        <v>1</v>
      </c>
      <c r="AG114" s="55">
        <v>1</v>
      </c>
      <c r="AH114" s="55">
        <v>1</v>
      </c>
      <c r="AO114" s="55">
        <v>1</v>
      </c>
      <c r="AP114" s="55">
        <v>1</v>
      </c>
      <c r="AQ114" s="55">
        <v>1</v>
      </c>
      <c r="AS114">
        <v>1</v>
      </c>
    </row>
    <row r="115" spans="1:45" x14ac:dyDescent="0.3">
      <c r="A115" s="13"/>
      <c r="B115" s="14" t="s">
        <v>131</v>
      </c>
      <c r="O115" s="55">
        <v>1</v>
      </c>
      <c r="P115" s="55">
        <v>1</v>
      </c>
      <c r="Q115" s="55">
        <v>1</v>
      </c>
      <c r="R115" s="55">
        <v>1</v>
      </c>
      <c r="T115" s="55">
        <v>1</v>
      </c>
      <c r="U115" s="55">
        <v>1</v>
      </c>
      <c r="W115" s="55">
        <v>1</v>
      </c>
      <c r="X115" s="55">
        <v>1</v>
      </c>
      <c r="Z115" s="55">
        <v>1</v>
      </c>
      <c r="AA115" s="55">
        <v>1</v>
      </c>
      <c r="AE115" s="55">
        <v>1</v>
      </c>
      <c r="AG115" s="55">
        <v>1</v>
      </c>
      <c r="AO115" s="55">
        <v>1</v>
      </c>
      <c r="AP115" s="55">
        <v>1</v>
      </c>
      <c r="AQ115" s="55">
        <v>1</v>
      </c>
      <c r="AS115">
        <v>1</v>
      </c>
    </row>
    <row r="116" spans="1:45" x14ac:dyDescent="0.3">
      <c r="A116" s="13"/>
      <c r="B116" s="14" t="s">
        <v>132</v>
      </c>
      <c r="O116" s="55">
        <v>1</v>
      </c>
      <c r="P116" s="55">
        <v>1</v>
      </c>
      <c r="Q116" s="55">
        <v>1</v>
      </c>
      <c r="S116" s="55">
        <v>1</v>
      </c>
      <c r="T116" s="55">
        <v>1</v>
      </c>
      <c r="V116" s="55">
        <v>1</v>
      </c>
      <c r="W116" s="55">
        <v>1</v>
      </c>
      <c r="Y116" s="55">
        <v>1</v>
      </c>
      <c r="Z116" s="55">
        <v>1</v>
      </c>
      <c r="AB116" s="55">
        <v>1</v>
      </c>
      <c r="AF116" s="55">
        <v>1</v>
      </c>
      <c r="AH116" s="55">
        <v>1</v>
      </c>
      <c r="AO116" s="55">
        <v>1</v>
      </c>
      <c r="AP116" s="55">
        <v>1</v>
      </c>
      <c r="AQ116" s="55">
        <v>1</v>
      </c>
      <c r="AS116">
        <v>1</v>
      </c>
    </row>
    <row r="117" spans="1:45" x14ac:dyDescent="0.3">
      <c r="A117" s="13"/>
      <c r="B117" s="14" t="s">
        <v>164</v>
      </c>
      <c r="AI117" s="55">
        <v>1</v>
      </c>
      <c r="AK117" s="55">
        <v>1</v>
      </c>
      <c r="AL117" s="55">
        <v>1</v>
      </c>
      <c r="AM117" s="55">
        <v>1</v>
      </c>
      <c r="AR117">
        <v>1</v>
      </c>
      <c r="AS117">
        <v>1</v>
      </c>
    </row>
    <row r="118" spans="1:45" x14ac:dyDescent="0.3">
      <c r="A118" s="13"/>
      <c r="B118" s="14" t="s">
        <v>39</v>
      </c>
      <c r="AI118" s="55">
        <v>1</v>
      </c>
      <c r="AK118" s="55">
        <v>1</v>
      </c>
      <c r="AM118" s="55">
        <v>1</v>
      </c>
      <c r="AR118">
        <v>1</v>
      </c>
      <c r="AS118">
        <v>1</v>
      </c>
    </row>
    <row r="119" spans="1:45" x14ac:dyDescent="0.3">
      <c r="A119" s="13"/>
      <c r="B119" s="14" t="s">
        <v>40</v>
      </c>
      <c r="AI119" s="55">
        <v>1</v>
      </c>
      <c r="AK119" s="55">
        <v>1</v>
      </c>
      <c r="AM119" s="55">
        <v>1</v>
      </c>
      <c r="AR119">
        <v>1</v>
      </c>
      <c r="AS119">
        <v>1</v>
      </c>
    </row>
    <row r="120" spans="1:45" x14ac:dyDescent="0.3">
      <c r="A120" s="13"/>
      <c r="B120" s="14" t="s">
        <v>41</v>
      </c>
      <c r="AI120" s="55">
        <v>1</v>
      </c>
      <c r="AK120" s="55">
        <v>1</v>
      </c>
      <c r="AM120" s="55">
        <v>1</v>
      </c>
      <c r="AR120">
        <v>1</v>
      </c>
      <c r="AS120">
        <v>1</v>
      </c>
    </row>
    <row r="121" spans="1:45" x14ac:dyDescent="0.3">
      <c r="A121" s="13"/>
      <c r="B121" s="14" t="s">
        <v>42</v>
      </c>
      <c r="AR121">
        <v>1</v>
      </c>
      <c r="AS121">
        <v>1</v>
      </c>
    </row>
    <row r="122" spans="1:45" x14ac:dyDescent="0.3">
      <c r="A122" s="13"/>
      <c r="B122" s="14" t="s">
        <v>43</v>
      </c>
      <c r="AR122">
        <v>1</v>
      </c>
    </row>
    <row r="123" spans="1:45" x14ac:dyDescent="0.3">
      <c r="A123" s="13"/>
      <c r="B123" s="14" t="s">
        <v>47</v>
      </c>
      <c r="AI123" s="55">
        <v>1</v>
      </c>
      <c r="AL123" s="55">
        <v>1</v>
      </c>
      <c r="AS123">
        <v>1</v>
      </c>
    </row>
    <row r="124" spans="1:45" x14ac:dyDescent="0.3">
      <c r="A124" s="13"/>
      <c r="B124" s="14" t="s">
        <v>133</v>
      </c>
      <c r="AI124" s="55">
        <v>1</v>
      </c>
      <c r="AL124" s="55">
        <v>1</v>
      </c>
      <c r="AS124">
        <v>1</v>
      </c>
    </row>
    <row r="125" spans="1:45" x14ac:dyDescent="0.3">
      <c r="A125" s="13"/>
      <c r="B125" s="14" t="s">
        <v>134</v>
      </c>
      <c r="AI125" s="55">
        <v>1</v>
      </c>
      <c r="AL125" s="55">
        <v>1</v>
      </c>
      <c r="AS125">
        <v>1</v>
      </c>
    </row>
    <row r="126" spans="1:45" x14ac:dyDescent="0.3">
      <c r="A126" s="13"/>
      <c r="B126" s="14" t="s">
        <v>167</v>
      </c>
      <c r="AJ126" s="55">
        <v>1</v>
      </c>
      <c r="AR126">
        <v>1</v>
      </c>
      <c r="AS126">
        <v>1</v>
      </c>
    </row>
    <row r="127" spans="1:45" x14ac:dyDescent="0.3">
      <c r="A127" s="13"/>
      <c r="B127" s="14" t="s">
        <v>54</v>
      </c>
      <c r="AJ127" s="55">
        <v>1</v>
      </c>
      <c r="AS127">
        <v>1</v>
      </c>
    </row>
    <row r="128" spans="1:45" x14ac:dyDescent="0.3">
      <c r="A128" s="13"/>
      <c r="B128" s="14" t="s">
        <v>135</v>
      </c>
      <c r="AJ128" s="55">
        <v>1</v>
      </c>
      <c r="AS128">
        <v>1</v>
      </c>
    </row>
    <row r="129" spans="1:45" x14ac:dyDescent="0.3">
      <c r="A129" s="13"/>
      <c r="B129" s="14" t="s">
        <v>136</v>
      </c>
      <c r="AJ129" s="55">
        <v>1</v>
      </c>
      <c r="AS129">
        <v>1</v>
      </c>
    </row>
    <row r="130" spans="1:45" x14ac:dyDescent="0.3">
      <c r="A130" s="13"/>
      <c r="B130" s="14" t="s">
        <v>55</v>
      </c>
      <c r="AJ130" s="55">
        <v>1</v>
      </c>
      <c r="AS130">
        <v>1</v>
      </c>
    </row>
    <row r="131" spans="1:45" x14ac:dyDescent="0.3">
      <c r="A131" s="13"/>
      <c r="B131" s="14" t="s">
        <v>56</v>
      </c>
      <c r="AJ131" s="55">
        <v>1</v>
      </c>
      <c r="AS131">
        <v>1</v>
      </c>
    </row>
    <row r="132" spans="1:45" x14ac:dyDescent="0.3">
      <c r="A132" s="13"/>
      <c r="B132" s="14" t="s">
        <v>49</v>
      </c>
      <c r="AR132">
        <v>1</v>
      </c>
      <c r="AS132">
        <v>1</v>
      </c>
    </row>
    <row r="133" spans="1:45" x14ac:dyDescent="0.3">
      <c r="A133" s="13"/>
      <c r="B133" s="14" t="s">
        <v>137</v>
      </c>
      <c r="AR133">
        <v>1</v>
      </c>
      <c r="AS133">
        <v>1</v>
      </c>
    </row>
    <row r="134" spans="1:45" x14ac:dyDescent="0.3">
      <c r="A134" s="13"/>
      <c r="B134" s="14" t="s">
        <v>138</v>
      </c>
      <c r="AR134">
        <v>1</v>
      </c>
      <c r="AS134">
        <v>1</v>
      </c>
    </row>
    <row r="135" spans="1:45" x14ac:dyDescent="0.3">
      <c r="A135" s="13"/>
      <c r="B135" s="14" t="s">
        <v>50</v>
      </c>
      <c r="AR135">
        <v>1</v>
      </c>
      <c r="AS135">
        <v>1</v>
      </c>
    </row>
    <row r="136" spans="1:45" x14ac:dyDescent="0.3">
      <c r="A136" s="13"/>
      <c r="B136" s="14" t="s">
        <v>51</v>
      </c>
      <c r="AR136">
        <v>1</v>
      </c>
      <c r="AS136">
        <v>1</v>
      </c>
    </row>
    <row r="137" spans="1:45" x14ac:dyDescent="0.3">
      <c r="A137" s="13"/>
      <c r="B137" s="14" t="s">
        <v>52</v>
      </c>
      <c r="AR137">
        <v>1</v>
      </c>
      <c r="AS137">
        <v>1</v>
      </c>
    </row>
    <row r="138" spans="1:45" x14ac:dyDescent="0.3">
      <c r="A138" s="13"/>
      <c r="B138" s="14" t="s">
        <v>53</v>
      </c>
      <c r="AR138">
        <v>1</v>
      </c>
      <c r="AS138">
        <v>1</v>
      </c>
    </row>
    <row r="139" spans="1:45" x14ac:dyDescent="0.3">
      <c r="A139" s="13"/>
      <c r="B139" s="14" t="s">
        <v>165</v>
      </c>
      <c r="AI139" s="55">
        <v>1</v>
      </c>
      <c r="AK139" s="55">
        <v>1</v>
      </c>
      <c r="AL139" s="55">
        <v>1</v>
      </c>
      <c r="AM139" s="55">
        <v>1</v>
      </c>
      <c r="AR139">
        <v>1</v>
      </c>
      <c r="AS139">
        <v>1</v>
      </c>
    </row>
    <row r="140" spans="1:45" x14ac:dyDescent="0.3">
      <c r="A140" s="13"/>
      <c r="B140" s="14" t="s">
        <v>166</v>
      </c>
      <c r="AI140" s="55">
        <v>1</v>
      </c>
      <c r="AK140" s="55">
        <v>1</v>
      </c>
      <c r="AL140" s="55">
        <v>1</v>
      </c>
      <c r="AM140" s="55">
        <v>1</v>
      </c>
      <c r="AR140">
        <v>1</v>
      </c>
      <c r="AS140">
        <v>1</v>
      </c>
    </row>
    <row r="141" spans="1:45" x14ac:dyDescent="0.3">
      <c r="A141" s="13"/>
      <c r="B141" s="14" t="s">
        <v>168</v>
      </c>
      <c r="AJ141" s="55">
        <v>1</v>
      </c>
      <c r="AS141">
        <v>1</v>
      </c>
    </row>
    <row r="142" spans="1:45" x14ac:dyDescent="0.3">
      <c r="A142" s="13"/>
      <c r="B142" s="14" t="s">
        <v>169</v>
      </c>
      <c r="AJ142" s="55">
        <v>1</v>
      </c>
      <c r="AS142">
        <v>1</v>
      </c>
    </row>
    <row r="143" spans="1:45" x14ac:dyDescent="0.3">
      <c r="A143" s="13"/>
      <c r="B143" s="14" t="s">
        <v>139</v>
      </c>
      <c r="AR143">
        <v>1</v>
      </c>
      <c r="AS143">
        <v>1</v>
      </c>
    </row>
    <row r="144" spans="1:45" x14ac:dyDescent="0.3">
      <c r="A144" s="13"/>
      <c r="B144" s="14" t="s">
        <v>140</v>
      </c>
      <c r="AR144">
        <v>1</v>
      </c>
      <c r="AS144">
        <v>1</v>
      </c>
    </row>
    <row r="145" spans="1:45" x14ac:dyDescent="0.3">
      <c r="A145" s="13"/>
      <c r="B145" s="14" t="s">
        <v>58</v>
      </c>
      <c r="AR145">
        <v>1</v>
      </c>
      <c r="AS145">
        <v>1</v>
      </c>
    </row>
    <row r="146" spans="1:45" x14ac:dyDescent="0.3">
      <c r="A146" s="13"/>
      <c r="B146" s="14" t="s">
        <v>48</v>
      </c>
      <c r="AR146">
        <v>1</v>
      </c>
      <c r="AS146">
        <v>1</v>
      </c>
    </row>
    <row r="147" spans="1:45" x14ac:dyDescent="0.3">
      <c r="A147" s="13"/>
      <c r="B147" s="14" t="s">
        <v>45</v>
      </c>
      <c r="AR147">
        <v>1</v>
      </c>
      <c r="AS147">
        <v>1</v>
      </c>
    </row>
    <row r="148" spans="1:45" x14ac:dyDescent="0.3">
      <c r="A148" s="13"/>
      <c r="B148" s="14" t="s">
        <v>44</v>
      </c>
      <c r="AO148" s="55">
        <v>1</v>
      </c>
      <c r="AP148" s="55">
        <v>1</v>
      </c>
      <c r="AS148">
        <v>1</v>
      </c>
    </row>
    <row r="149" spans="1:45" x14ac:dyDescent="0.3">
      <c r="A149" s="13"/>
      <c r="B149" s="14" t="s">
        <v>25</v>
      </c>
      <c r="P149" s="55">
        <v>1</v>
      </c>
      <c r="W149" s="55">
        <v>1</v>
      </c>
      <c r="X149" s="55">
        <v>1</v>
      </c>
      <c r="Y149" s="55">
        <v>1</v>
      </c>
      <c r="Z149" s="55">
        <v>1</v>
      </c>
      <c r="AA149" s="55">
        <v>1</v>
      </c>
      <c r="AB149" s="55">
        <v>1</v>
      </c>
      <c r="AC149" s="55">
        <v>1</v>
      </c>
      <c r="AD149" s="55">
        <v>1</v>
      </c>
      <c r="AG149" s="55">
        <v>1</v>
      </c>
      <c r="AH149" s="55">
        <v>1</v>
      </c>
      <c r="AN149" s="55">
        <v>1</v>
      </c>
      <c r="AO149" s="55">
        <v>1</v>
      </c>
      <c r="AQ149" s="55">
        <v>1</v>
      </c>
      <c r="AR149">
        <v>1</v>
      </c>
      <c r="AS149">
        <v>1</v>
      </c>
    </row>
    <row r="150" spans="1:45" x14ac:dyDescent="0.3">
      <c r="A150" s="13"/>
      <c r="B150" s="14" t="s">
        <v>62</v>
      </c>
      <c r="P150" s="55">
        <v>1</v>
      </c>
      <c r="W150" s="55">
        <v>1</v>
      </c>
      <c r="X150" s="55">
        <v>1</v>
      </c>
      <c r="Z150" s="55">
        <v>1</v>
      </c>
      <c r="AA150" s="55">
        <v>1</v>
      </c>
      <c r="AC150" s="55">
        <v>1</v>
      </c>
      <c r="AD150" s="55">
        <v>1</v>
      </c>
      <c r="AG150" s="55">
        <v>1</v>
      </c>
      <c r="AN150" s="55">
        <v>1</v>
      </c>
      <c r="AO150" s="55">
        <v>1</v>
      </c>
      <c r="AQ150" s="55">
        <v>1</v>
      </c>
      <c r="AR150">
        <v>1</v>
      </c>
      <c r="AS150">
        <v>1</v>
      </c>
    </row>
    <row r="151" spans="1:45" x14ac:dyDescent="0.3">
      <c r="A151" s="13"/>
      <c r="B151" s="14" t="s">
        <v>31</v>
      </c>
      <c r="P151" s="55">
        <v>1</v>
      </c>
      <c r="W151" s="55">
        <v>1</v>
      </c>
      <c r="X151" s="55">
        <v>1</v>
      </c>
      <c r="Z151" s="55">
        <v>1</v>
      </c>
      <c r="AA151" s="55">
        <v>1</v>
      </c>
      <c r="AC151" s="55">
        <v>1</v>
      </c>
      <c r="AD151" s="55">
        <v>1</v>
      </c>
      <c r="AG151" s="55">
        <v>1</v>
      </c>
      <c r="AN151" s="55">
        <v>1</v>
      </c>
      <c r="AR151">
        <v>1</v>
      </c>
      <c r="AS151">
        <v>1</v>
      </c>
    </row>
    <row r="152" spans="1:45" x14ac:dyDescent="0.3">
      <c r="A152" s="13"/>
      <c r="B152" s="14" t="s">
        <v>34</v>
      </c>
      <c r="P152" s="55">
        <v>1</v>
      </c>
      <c r="W152" s="55">
        <v>1</v>
      </c>
      <c r="X152" s="55">
        <v>1</v>
      </c>
      <c r="Z152" s="55">
        <v>1</v>
      </c>
      <c r="AA152" s="55">
        <v>1</v>
      </c>
      <c r="AC152" s="55">
        <v>1</v>
      </c>
      <c r="AD152" s="55">
        <v>1</v>
      </c>
      <c r="AG152" s="55">
        <v>1</v>
      </c>
      <c r="AO152" s="55">
        <v>1</v>
      </c>
      <c r="AQ152" s="55">
        <v>1</v>
      </c>
      <c r="AR152" s="55">
        <v>1</v>
      </c>
      <c r="AS152">
        <v>1</v>
      </c>
    </row>
    <row r="153" spans="1:45" x14ac:dyDescent="0.3">
      <c r="A153" s="13"/>
      <c r="B153" s="14" t="s">
        <v>27</v>
      </c>
      <c r="AO153" s="55">
        <v>1</v>
      </c>
      <c r="AQ153" s="55">
        <v>1</v>
      </c>
      <c r="AR153">
        <v>1</v>
      </c>
    </row>
    <row r="154" spans="1:45" x14ac:dyDescent="0.3">
      <c r="A154" s="13"/>
      <c r="B154" s="14" t="s">
        <v>64</v>
      </c>
      <c r="P154" s="55">
        <v>1</v>
      </c>
      <c r="W154" s="55">
        <v>1</v>
      </c>
      <c r="Y154" s="55">
        <v>1</v>
      </c>
      <c r="Z154" s="55">
        <v>1</v>
      </c>
      <c r="AB154" s="55">
        <v>1</v>
      </c>
      <c r="AC154" s="55">
        <v>1</v>
      </c>
      <c r="AD154" s="55">
        <v>1</v>
      </c>
      <c r="AH154" s="55">
        <v>1</v>
      </c>
      <c r="AN154" s="55">
        <v>1</v>
      </c>
      <c r="AO154" s="55">
        <v>1</v>
      </c>
      <c r="AQ154" s="55">
        <v>1</v>
      </c>
      <c r="AR154">
        <v>1</v>
      </c>
      <c r="AS154">
        <v>1</v>
      </c>
    </row>
    <row r="155" spans="1:45" x14ac:dyDescent="0.3">
      <c r="A155" s="13"/>
      <c r="B155" s="14" t="s">
        <v>32</v>
      </c>
      <c r="P155" s="55">
        <v>1</v>
      </c>
      <c r="W155" s="55">
        <v>1</v>
      </c>
      <c r="Y155" s="55">
        <v>1</v>
      </c>
      <c r="Z155" s="55">
        <v>1</v>
      </c>
      <c r="AB155" s="55">
        <v>1</v>
      </c>
      <c r="AC155" s="55">
        <v>1</v>
      </c>
      <c r="AD155" s="55">
        <v>1</v>
      </c>
      <c r="AH155" s="55">
        <v>1</v>
      </c>
      <c r="AN155" s="55">
        <v>1</v>
      </c>
      <c r="AR155">
        <v>1</v>
      </c>
      <c r="AS155">
        <v>1</v>
      </c>
    </row>
    <row r="156" spans="1:45" x14ac:dyDescent="0.3">
      <c r="A156" s="13"/>
      <c r="B156" s="14" t="s">
        <v>35</v>
      </c>
      <c r="P156" s="55">
        <v>1</v>
      </c>
      <c r="W156" s="55">
        <v>1</v>
      </c>
      <c r="Y156" s="55">
        <v>1</v>
      </c>
      <c r="Z156" s="55">
        <v>1</v>
      </c>
      <c r="AB156" s="55">
        <v>1</v>
      </c>
      <c r="AC156" s="55">
        <v>1</v>
      </c>
      <c r="AD156" s="55">
        <v>1</v>
      </c>
      <c r="AH156" s="55">
        <v>1</v>
      </c>
      <c r="AO156" s="55">
        <v>1</v>
      </c>
      <c r="AQ156" s="55">
        <v>1</v>
      </c>
      <c r="AR156" s="55">
        <v>1</v>
      </c>
      <c r="AS156">
        <v>1</v>
      </c>
    </row>
    <row r="157" spans="1:45" x14ac:dyDescent="0.3">
      <c r="A157" s="13"/>
      <c r="B157" s="14" t="s">
        <v>28</v>
      </c>
      <c r="AO157" s="55">
        <v>1</v>
      </c>
      <c r="AQ157" s="55">
        <v>1</v>
      </c>
      <c r="AR157">
        <v>1</v>
      </c>
    </row>
    <row r="158" spans="1:45" x14ac:dyDescent="0.3">
      <c r="A158" s="13"/>
      <c r="B158" s="14" t="s">
        <v>25</v>
      </c>
      <c r="P158" s="55">
        <v>1</v>
      </c>
      <c r="W158" s="55">
        <v>1</v>
      </c>
      <c r="X158" s="55">
        <v>1</v>
      </c>
      <c r="Y158" s="55">
        <v>1</v>
      </c>
      <c r="Z158" s="55">
        <v>1</v>
      </c>
      <c r="AA158" s="55">
        <v>1</v>
      </c>
      <c r="AB158" s="55">
        <v>1</v>
      </c>
      <c r="AC158" s="55">
        <v>1</v>
      </c>
      <c r="AD158" s="55">
        <v>1</v>
      </c>
      <c r="AG158" s="55">
        <v>1</v>
      </c>
      <c r="AH158" s="55">
        <v>1</v>
      </c>
      <c r="AN158" s="55">
        <v>1</v>
      </c>
      <c r="AO158" s="55">
        <v>1</v>
      </c>
      <c r="AQ158" s="55">
        <v>1</v>
      </c>
      <c r="AR158">
        <v>1</v>
      </c>
      <c r="AS158">
        <v>1</v>
      </c>
    </row>
    <row r="159" spans="1:45" x14ac:dyDescent="0.3">
      <c r="A159" s="13"/>
      <c r="B159" s="66" t="s">
        <v>29</v>
      </c>
      <c r="P159" s="55">
        <v>1</v>
      </c>
      <c r="W159" s="55">
        <v>1</v>
      </c>
      <c r="X159" s="55">
        <v>1</v>
      </c>
      <c r="Y159" s="55">
        <v>1</v>
      </c>
      <c r="Z159" s="55">
        <v>1</v>
      </c>
      <c r="AA159" s="55">
        <v>1</v>
      </c>
      <c r="AB159" s="55">
        <v>1</v>
      </c>
      <c r="AC159" s="55">
        <v>1</v>
      </c>
      <c r="AD159" s="55">
        <v>1</v>
      </c>
      <c r="AG159" s="55">
        <v>1</v>
      </c>
      <c r="AH159" s="55">
        <v>1</v>
      </c>
      <c r="AN159" s="55">
        <v>1</v>
      </c>
      <c r="AO159" s="55">
        <v>1</v>
      </c>
      <c r="AQ159" s="55">
        <v>1</v>
      </c>
      <c r="AR159">
        <v>1</v>
      </c>
      <c r="AS159">
        <v>1</v>
      </c>
    </row>
    <row r="160" spans="1:45" x14ac:dyDescent="0.3">
      <c r="A160" s="13"/>
      <c r="B160" s="66" t="s">
        <v>63</v>
      </c>
      <c r="P160" s="55">
        <v>1</v>
      </c>
      <c r="W160" s="55">
        <v>1</v>
      </c>
      <c r="X160" s="55">
        <v>1</v>
      </c>
      <c r="Z160" s="55">
        <v>1</v>
      </c>
      <c r="AA160" s="55">
        <v>1</v>
      </c>
      <c r="AC160" s="55">
        <v>1</v>
      </c>
      <c r="AD160" s="55">
        <v>1</v>
      </c>
      <c r="AG160" s="55">
        <v>1</v>
      </c>
      <c r="AN160" s="55">
        <v>1</v>
      </c>
      <c r="AO160" s="55">
        <v>1</v>
      </c>
      <c r="AQ160" s="55">
        <v>1</v>
      </c>
      <c r="AR160">
        <v>1</v>
      </c>
      <c r="AS160">
        <v>1</v>
      </c>
    </row>
    <row r="161" spans="1:45" x14ac:dyDescent="0.3">
      <c r="A161" s="13"/>
      <c r="B161" s="66" t="s">
        <v>65</v>
      </c>
      <c r="P161" s="55">
        <v>1</v>
      </c>
      <c r="W161" s="55">
        <v>1</v>
      </c>
      <c r="Y161" s="55">
        <v>1</v>
      </c>
      <c r="Z161" s="55">
        <v>1</v>
      </c>
      <c r="AB161" s="55">
        <v>1</v>
      </c>
      <c r="AC161" s="55">
        <v>1</v>
      </c>
      <c r="AD161" s="55">
        <v>1</v>
      </c>
      <c r="AH161" s="55">
        <v>1</v>
      </c>
      <c r="AN161" s="55">
        <v>1</v>
      </c>
      <c r="AO161" s="55">
        <v>1</v>
      </c>
      <c r="AQ161" s="55">
        <v>1</v>
      </c>
      <c r="AR161">
        <v>1</v>
      </c>
      <c r="AS161">
        <v>1</v>
      </c>
    </row>
    <row r="162" spans="1:45" x14ac:dyDescent="0.3">
      <c r="A162" s="13"/>
      <c r="B162" s="14" t="s">
        <v>26</v>
      </c>
      <c r="AO162" s="55">
        <v>1</v>
      </c>
      <c r="AQ162" s="55">
        <v>1</v>
      </c>
      <c r="AR162">
        <v>1</v>
      </c>
    </row>
    <row r="163" spans="1:45" x14ac:dyDescent="0.3">
      <c r="A163" s="13"/>
      <c r="B163" s="14" t="s">
        <v>27</v>
      </c>
      <c r="AO163" s="55">
        <v>1</v>
      </c>
      <c r="AQ163" s="55">
        <v>1</v>
      </c>
      <c r="AR163">
        <v>1</v>
      </c>
    </row>
    <row r="164" spans="1:45" x14ac:dyDescent="0.3">
      <c r="A164" s="13"/>
      <c r="B164" s="14" t="s">
        <v>28</v>
      </c>
      <c r="AO164" s="55">
        <v>1</v>
      </c>
      <c r="AQ164" s="55">
        <v>1</v>
      </c>
      <c r="AR164">
        <v>1</v>
      </c>
    </row>
    <row r="165" spans="1:45" x14ac:dyDescent="0.3">
      <c r="A165" s="13"/>
      <c r="B165" s="14" t="s">
        <v>30</v>
      </c>
      <c r="P165" s="55">
        <v>1</v>
      </c>
      <c r="W165" s="55">
        <v>1</v>
      </c>
      <c r="X165" s="55">
        <v>1</v>
      </c>
      <c r="Y165" s="55">
        <v>1</v>
      </c>
      <c r="Z165" s="55">
        <v>1</v>
      </c>
      <c r="AA165" s="55">
        <v>1</v>
      </c>
      <c r="AB165" s="55">
        <v>1</v>
      </c>
      <c r="AC165" s="55">
        <v>1</v>
      </c>
      <c r="AD165" s="55">
        <v>1</v>
      </c>
      <c r="AG165" s="55">
        <v>1</v>
      </c>
      <c r="AH165" s="55">
        <v>1</v>
      </c>
      <c r="AN165" s="55">
        <v>1</v>
      </c>
      <c r="AR165">
        <v>1</v>
      </c>
      <c r="AS165">
        <v>1</v>
      </c>
    </row>
    <row r="166" spans="1:45" x14ac:dyDescent="0.3">
      <c r="A166" s="13"/>
      <c r="B166" s="14" t="s">
        <v>31</v>
      </c>
      <c r="P166" s="55">
        <v>1</v>
      </c>
      <c r="W166" s="55">
        <v>1</v>
      </c>
      <c r="X166" s="55">
        <v>1</v>
      </c>
      <c r="Z166" s="55">
        <v>1</v>
      </c>
      <c r="AA166" s="55">
        <v>1</v>
      </c>
      <c r="AC166" s="55">
        <v>1</v>
      </c>
      <c r="AD166" s="55">
        <v>1</v>
      </c>
      <c r="AG166" s="55">
        <v>1</v>
      </c>
      <c r="AN166" s="55">
        <v>1</v>
      </c>
      <c r="AR166">
        <v>1</v>
      </c>
      <c r="AS166">
        <v>1</v>
      </c>
    </row>
    <row r="167" spans="1:45" x14ac:dyDescent="0.3">
      <c r="A167" s="13"/>
      <c r="B167" s="14" t="s">
        <v>32</v>
      </c>
      <c r="P167" s="55">
        <v>1</v>
      </c>
      <c r="W167" s="55">
        <v>1</v>
      </c>
      <c r="Y167" s="55">
        <v>1</v>
      </c>
      <c r="Z167" s="55">
        <v>1</v>
      </c>
      <c r="AB167" s="55">
        <v>1</v>
      </c>
      <c r="AC167" s="55">
        <v>1</v>
      </c>
      <c r="AD167" s="55">
        <v>1</v>
      </c>
      <c r="AH167" s="55">
        <v>1</v>
      </c>
      <c r="AN167" s="55">
        <v>1</v>
      </c>
      <c r="AR167">
        <v>1</v>
      </c>
      <c r="AS167">
        <v>1</v>
      </c>
    </row>
    <row r="168" spans="1:45" x14ac:dyDescent="0.3">
      <c r="A168" s="13"/>
      <c r="B168" s="14" t="s">
        <v>33</v>
      </c>
      <c r="P168" s="55">
        <v>1</v>
      </c>
      <c r="W168" s="55">
        <v>1</v>
      </c>
      <c r="X168" s="55">
        <v>1</v>
      </c>
      <c r="Y168" s="55">
        <v>1</v>
      </c>
      <c r="Z168" s="55">
        <v>1</v>
      </c>
      <c r="AA168" s="55">
        <v>1</v>
      </c>
      <c r="AB168" s="55">
        <v>1</v>
      </c>
      <c r="AC168" s="55">
        <v>1</v>
      </c>
      <c r="AD168" s="55">
        <v>1</v>
      </c>
      <c r="AG168" s="55">
        <v>1</v>
      </c>
      <c r="AH168" s="55">
        <v>1</v>
      </c>
      <c r="AO168" s="55">
        <v>1</v>
      </c>
      <c r="AQ168" s="55">
        <v>1</v>
      </c>
      <c r="AR168" s="55">
        <v>1</v>
      </c>
      <c r="AS168">
        <v>1</v>
      </c>
    </row>
    <row r="169" spans="1:45" x14ac:dyDescent="0.3">
      <c r="A169" s="13"/>
      <c r="B169" s="14" t="s">
        <v>59</v>
      </c>
      <c r="AJ169" s="55">
        <v>1</v>
      </c>
      <c r="AR169">
        <v>1</v>
      </c>
      <c r="AS169">
        <v>1</v>
      </c>
    </row>
    <row r="170" spans="1:45" x14ac:dyDescent="0.3">
      <c r="A170" s="13"/>
      <c r="B170" s="14" t="s">
        <v>157</v>
      </c>
      <c r="AO170" s="55">
        <v>1</v>
      </c>
      <c r="AQ170" s="55">
        <v>1</v>
      </c>
      <c r="AR170" s="55">
        <v>1</v>
      </c>
      <c r="AS170">
        <v>1</v>
      </c>
    </row>
    <row r="171" spans="1:45" x14ac:dyDescent="0.3">
      <c r="A171" s="13"/>
      <c r="B171" s="14" t="s">
        <v>36</v>
      </c>
      <c r="AO171" s="55">
        <v>1</v>
      </c>
      <c r="AQ171" s="55">
        <v>1</v>
      </c>
      <c r="AS171">
        <v>1</v>
      </c>
    </row>
    <row r="172" spans="1:45" x14ac:dyDescent="0.3">
      <c r="A172" s="13"/>
      <c r="B172" s="14" t="s">
        <v>33</v>
      </c>
      <c r="P172" s="55">
        <v>1</v>
      </c>
      <c r="Q172" s="55">
        <v>1</v>
      </c>
      <c r="R172" s="55">
        <v>1</v>
      </c>
      <c r="S172" s="55">
        <v>1</v>
      </c>
      <c r="T172" s="55">
        <v>1</v>
      </c>
      <c r="U172" s="55">
        <v>1</v>
      </c>
      <c r="V172" s="55">
        <v>1</v>
      </c>
      <c r="W172" s="55">
        <v>1</v>
      </c>
      <c r="X172" s="55">
        <v>1</v>
      </c>
      <c r="Y172" s="55">
        <v>1</v>
      </c>
      <c r="Z172" s="55">
        <v>1</v>
      </c>
      <c r="AA172" s="55">
        <v>1</v>
      </c>
      <c r="AB172" s="55">
        <v>1</v>
      </c>
      <c r="AC172" s="55">
        <v>1</v>
      </c>
      <c r="AD172" s="55">
        <v>1</v>
      </c>
      <c r="AE172" s="55">
        <v>1</v>
      </c>
      <c r="AF172" s="55">
        <v>1</v>
      </c>
      <c r="AG172" s="55">
        <v>1</v>
      </c>
      <c r="AH172" s="55">
        <v>1</v>
      </c>
      <c r="AO172" s="55">
        <v>1</v>
      </c>
      <c r="AQ172" s="55">
        <v>1</v>
      </c>
      <c r="AR172" s="55">
        <v>1</v>
      </c>
      <c r="AS172">
        <v>1</v>
      </c>
    </row>
    <row r="173" spans="1:45" x14ac:dyDescent="0.3">
      <c r="A173" s="13"/>
      <c r="B173" s="14" t="s">
        <v>60</v>
      </c>
      <c r="W173" s="55">
        <v>1</v>
      </c>
      <c r="X173" s="55">
        <v>1</v>
      </c>
      <c r="Y173" s="55">
        <v>1</v>
      </c>
      <c r="AM173" s="55">
        <v>1</v>
      </c>
      <c r="AO173" s="55">
        <v>1</v>
      </c>
      <c r="AQ173" s="55">
        <v>1</v>
      </c>
    </row>
    <row r="174" spans="1:45" x14ac:dyDescent="0.3">
      <c r="A174" s="13"/>
      <c r="B174" s="14" t="s">
        <v>37</v>
      </c>
      <c r="W174" s="55">
        <v>1</v>
      </c>
      <c r="X174" s="55">
        <v>1</v>
      </c>
      <c r="Y174" s="55">
        <v>1</v>
      </c>
      <c r="AM174" s="55">
        <v>1</v>
      </c>
      <c r="AO174" s="55">
        <v>1</v>
      </c>
      <c r="AQ174" s="55">
        <v>1</v>
      </c>
    </row>
    <row r="175" spans="1:45" x14ac:dyDescent="0.3">
      <c r="B175" s="14" t="s">
        <v>57</v>
      </c>
    </row>
  </sheetData>
  <conditionalFormatting sqref="C3:AS38 Q39:AS39 C39:P54 Q40:AF50 AG40:AS87 Q51:AD51 AE51:AF53 X52:AD52 Q52:W54 X53:AB53 X54:AF54 C55:AF87 C91:AS175">
    <cfRule type="cellIs" dxfId="8" priority="11" operator="equal">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BBB59"/>
  </sheetPr>
  <dimension ref="A1:H98"/>
  <sheetViews>
    <sheetView topLeftCell="A34" zoomScale="80" zoomScaleNormal="80" workbookViewId="0">
      <selection activeCell="B91" sqref="B91"/>
    </sheetView>
  </sheetViews>
  <sheetFormatPr baseColWidth="10" defaultColWidth="9" defaultRowHeight="12.4" x14ac:dyDescent="0.3"/>
  <cols>
    <col min="1" max="1" width="46" customWidth="1"/>
    <col min="2" max="2" width="55" customWidth="1"/>
    <col min="3" max="3" width="24" customWidth="1"/>
    <col min="4" max="4" width="26" customWidth="1"/>
    <col min="5" max="5" width="29" customWidth="1"/>
    <col min="6" max="6" width="24" customWidth="1"/>
    <col min="7" max="7" width="73" customWidth="1"/>
    <col min="8" max="8" width="18" customWidth="1"/>
  </cols>
  <sheetData>
    <row r="1" spans="1:8" x14ac:dyDescent="0.3">
      <c r="A1" s="75" t="s">
        <v>176</v>
      </c>
      <c r="B1" s="75" t="s">
        <v>177</v>
      </c>
      <c r="C1" s="75" t="s">
        <v>178</v>
      </c>
      <c r="D1" s="75" t="s">
        <v>179</v>
      </c>
      <c r="E1" s="75" t="s">
        <v>180</v>
      </c>
      <c r="F1" s="75" t="s">
        <v>181</v>
      </c>
      <c r="G1" s="75" t="s">
        <v>182</v>
      </c>
      <c r="H1" s="75" t="s">
        <v>183</v>
      </c>
    </row>
    <row r="2" spans="1:8" x14ac:dyDescent="0.3">
      <c r="A2" t="s">
        <v>158</v>
      </c>
      <c r="B2" t="s">
        <v>84</v>
      </c>
      <c r="C2" s="76">
        <v>5600</v>
      </c>
      <c r="D2" s="77">
        <v>0.3</v>
      </c>
      <c r="E2" s="76">
        <v>5600</v>
      </c>
      <c r="F2" t="s">
        <v>97</v>
      </c>
      <c r="G2" s="78">
        <v>1</v>
      </c>
      <c r="H2" t="s">
        <v>100</v>
      </c>
    </row>
    <row r="3" spans="1:8" x14ac:dyDescent="0.3">
      <c r="A3" t="s">
        <v>12</v>
      </c>
      <c r="B3" t="s">
        <v>85</v>
      </c>
      <c r="C3" s="76">
        <v>19800</v>
      </c>
      <c r="D3" s="77">
        <v>0.15</v>
      </c>
      <c r="E3" s="76">
        <v>19800</v>
      </c>
      <c r="F3" t="s">
        <v>97</v>
      </c>
      <c r="G3" s="78">
        <v>1</v>
      </c>
      <c r="H3" t="s">
        <v>101</v>
      </c>
    </row>
    <row r="4" spans="1:8" x14ac:dyDescent="0.3">
      <c r="A4" t="s">
        <v>11</v>
      </c>
      <c r="B4" t="s">
        <v>85</v>
      </c>
      <c r="C4" s="76">
        <v>6500</v>
      </c>
      <c r="D4" s="77">
        <v>0.15</v>
      </c>
      <c r="E4" s="76">
        <v>6500</v>
      </c>
      <c r="F4" t="s">
        <v>97</v>
      </c>
      <c r="G4" s="78">
        <v>1</v>
      </c>
      <c r="H4" t="s">
        <v>102</v>
      </c>
    </row>
    <row r="5" spans="1:8" x14ac:dyDescent="0.3">
      <c r="A5" t="s">
        <v>68</v>
      </c>
      <c r="B5" t="s">
        <v>15</v>
      </c>
      <c r="C5" s="76">
        <v>43119.932999999997</v>
      </c>
      <c r="D5" s="77">
        <v>0.1785657691072943</v>
      </c>
      <c r="E5" s="76">
        <v>43119.932999999997</v>
      </c>
      <c r="F5" t="s">
        <v>103</v>
      </c>
      <c r="G5" s="78">
        <v>1</v>
      </c>
      <c r="H5" t="s">
        <v>184</v>
      </c>
    </row>
    <row r="6" spans="1:8" x14ac:dyDescent="0.3">
      <c r="A6" t="s">
        <v>68</v>
      </c>
      <c r="B6" t="s">
        <v>14</v>
      </c>
      <c r="C6" s="76">
        <v>2780850.3250000002</v>
      </c>
      <c r="D6" s="77">
        <v>1.931334366224834E-2</v>
      </c>
      <c r="E6" s="76">
        <v>2780850.3250000002</v>
      </c>
      <c r="F6" t="s">
        <v>103</v>
      </c>
      <c r="G6" s="78">
        <v>1</v>
      </c>
      <c r="H6" t="s">
        <v>184</v>
      </c>
    </row>
    <row r="7" spans="1:8" x14ac:dyDescent="0.3">
      <c r="A7" t="s">
        <v>68</v>
      </c>
      <c r="B7" t="s">
        <v>16</v>
      </c>
      <c r="C7" s="76">
        <v>1263122.226</v>
      </c>
      <c r="D7" s="77">
        <v>3.434792461644167E-2</v>
      </c>
      <c r="E7" s="76">
        <v>1263122.226</v>
      </c>
      <c r="F7" t="s">
        <v>103</v>
      </c>
      <c r="G7" s="78">
        <v>1</v>
      </c>
      <c r="H7" t="s">
        <v>184</v>
      </c>
    </row>
    <row r="8" spans="1:8" x14ac:dyDescent="0.3">
      <c r="A8" t="s">
        <v>67</v>
      </c>
      <c r="B8" t="s">
        <v>15</v>
      </c>
      <c r="C8" s="76">
        <v>3060.8220000000001</v>
      </c>
      <c r="D8" s="77">
        <v>0.15948003510168179</v>
      </c>
      <c r="E8" s="76">
        <v>3060.8220000000001</v>
      </c>
      <c r="F8" t="s">
        <v>103</v>
      </c>
      <c r="G8" s="78">
        <v>1</v>
      </c>
      <c r="H8" t="s">
        <v>185</v>
      </c>
    </row>
    <row r="9" spans="1:8" x14ac:dyDescent="0.3">
      <c r="A9" t="s">
        <v>67</v>
      </c>
      <c r="B9" t="s">
        <v>14</v>
      </c>
      <c r="C9" s="76">
        <v>79936.209000000003</v>
      </c>
      <c r="D9" s="77">
        <v>1.6711888350872381E-2</v>
      </c>
      <c r="E9" s="76">
        <v>79936.209000000003</v>
      </c>
      <c r="F9" t="s">
        <v>103</v>
      </c>
      <c r="G9" s="78">
        <v>1</v>
      </c>
      <c r="H9" t="s">
        <v>185</v>
      </c>
    </row>
    <row r="10" spans="1:8" x14ac:dyDescent="0.3">
      <c r="A10" t="s">
        <v>67</v>
      </c>
      <c r="B10" t="s">
        <v>16</v>
      </c>
      <c r="C10" s="76">
        <v>44579.423000000003</v>
      </c>
      <c r="D10" s="77">
        <v>3.3520016622915913E-2</v>
      </c>
      <c r="E10" s="76">
        <v>44579.423000000003</v>
      </c>
      <c r="F10" t="s">
        <v>103</v>
      </c>
      <c r="G10" s="78">
        <v>1</v>
      </c>
      <c r="H10" t="s">
        <v>185</v>
      </c>
    </row>
    <row r="11" spans="1:8" x14ac:dyDescent="0.3">
      <c r="A11" t="s">
        <v>15</v>
      </c>
      <c r="B11" t="s">
        <v>88</v>
      </c>
      <c r="C11" s="76">
        <v>2627.02</v>
      </c>
      <c r="D11" s="77">
        <v>0.27460696911329191</v>
      </c>
      <c r="E11" s="76">
        <v>2627.02</v>
      </c>
      <c r="F11" t="s">
        <v>103</v>
      </c>
      <c r="G11" s="78">
        <v>1</v>
      </c>
      <c r="H11" t="s">
        <v>185</v>
      </c>
    </row>
    <row r="12" spans="1:8" x14ac:dyDescent="0.3">
      <c r="A12" t="s">
        <v>14</v>
      </c>
      <c r="B12" t="s">
        <v>88</v>
      </c>
      <c r="C12" s="76">
        <v>33005.945</v>
      </c>
      <c r="D12" s="77">
        <v>6.0594932215999271E-2</v>
      </c>
      <c r="E12" s="76">
        <v>33005.945</v>
      </c>
      <c r="F12" t="s">
        <v>103</v>
      </c>
      <c r="G12" s="78">
        <v>1</v>
      </c>
      <c r="H12" t="s">
        <v>185</v>
      </c>
    </row>
    <row r="13" spans="1:8" x14ac:dyDescent="0.3">
      <c r="A13" t="s">
        <v>16</v>
      </c>
      <c r="B13" t="s">
        <v>88</v>
      </c>
      <c r="C13" s="76">
        <v>30318.874</v>
      </c>
      <c r="D13" s="77">
        <v>7.949335453552793E-2</v>
      </c>
      <c r="E13" s="76">
        <v>30318.874</v>
      </c>
      <c r="F13" t="s">
        <v>103</v>
      </c>
      <c r="G13" s="78">
        <v>1</v>
      </c>
      <c r="H13" t="s">
        <v>185</v>
      </c>
    </row>
    <row r="14" spans="1:8" x14ac:dyDescent="0.3">
      <c r="A14" t="s">
        <v>15</v>
      </c>
      <c r="B14" t="s">
        <v>70</v>
      </c>
      <c r="C14" s="76">
        <v>166.00917418953921</v>
      </c>
      <c r="D14" s="77">
        <v>0.46885966155230813</v>
      </c>
      <c r="E14" s="76">
        <v>166.00917418953921</v>
      </c>
      <c r="F14" t="s">
        <v>103</v>
      </c>
      <c r="G14" s="78">
        <v>1</v>
      </c>
      <c r="H14" t="s">
        <v>185</v>
      </c>
    </row>
    <row r="15" spans="1:8" x14ac:dyDescent="0.3">
      <c r="A15" t="s">
        <v>14</v>
      </c>
      <c r="B15" t="s">
        <v>70</v>
      </c>
      <c r="C15" s="76">
        <v>10054.07609375446</v>
      </c>
      <c r="D15" s="77">
        <v>4.9404589602186771E-2</v>
      </c>
      <c r="E15" s="76">
        <v>10054.07609375446</v>
      </c>
      <c r="F15" t="s">
        <v>103</v>
      </c>
      <c r="G15" s="78">
        <v>1</v>
      </c>
      <c r="H15" t="s">
        <v>185</v>
      </c>
    </row>
    <row r="16" spans="1:8" x14ac:dyDescent="0.3">
      <c r="A16" t="s">
        <v>16</v>
      </c>
      <c r="B16" t="s">
        <v>70</v>
      </c>
      <c r="C16" s="76">
        <v>4663.8599732813491</v>
      </c>
      <c r="D16" s="77">
        <v>0.1048858039768483</v>
      </c>
      <c r="E16" s="76">
        <v>4663.8599732813491</v>
      </c>
      <c r="F16" t="s">
        <v>103</v>
      </c>
      <c r="G16" s="78">
        <v>1</v>
      </c>
      <c r="H16" t="s">
        <v>185</v>
      </c>
    </row>
    <row r="17" spans="1:8" x14ac:dyDescent="0.3">
      <c r="A17" t="s">
        <v>90</v>
      </c>
      <c r="B17" t="s">
        <v>19</v>
      </c>
      <c r="C17" s="76">
        <v>125.33602004363109</v>
      </c>
      <c r="D17" s="77">
        <v>0.5</v>
      </c>
      <c r="E17" s="76">
        <v>115.1775333333333</v>
      </c>
      <c r="F17" t="s">
        <v>93</v>
      </c>
      <c r="G17" s="78">
        <v>1.0881985089999999</v>
      </c>
      <c r="H17" t="s">
        <v>94</v>
      </c>
    </row>
    <row r="18" spans="1:8" x14ac:dyDescent="0.3">
      <c r="A18" t="s">
        <v>90</v>
      </c>
      <c r="B18" t="s">
        <v>22</v>
      </c>
      <c r="C18" s="76">
        <v>86.569709899462438</v>
      </c>
      <c r="D18" s="77">
        <v>0.5</v>
      </c>
      <c r="E18" s="76">
        <v>79.553233333333324</v>
      </c>
      <c r="F18" t="s">
        <v>93</v>
      </c>
      <c r="G18" s="78">
        <v>1.0881985089999999</v>
      </c>
      <c r="H18" t="s">
        <v>94</v>
      </c>
    </row>
    <row r="19" spans="1:8" x14ac:dyDescent="0.3">
      <c r="A19" t="s">
        <v>90</v>
      </c>
      <c r="B19" t="s">
        <v>158</v>
      </c>
      <c r="C19" s="76">
        <v>174.50862183193561</v>
      </c>
      <c r="D19" s="77">
        <v>0.5</v>
      </c>
      <c r="E19" s="76">
        <v>143.4796</v>
      </c>
      <c r="F19" t="s">
        <v>93</v>
      </c>
      <c r="G19" s="78">
        <v>1.2162608610000001</v>
      </c>
      <c r="H19" t="s">
        <v>94</v>
      </c>
    </row>
    <row r="20" spans="1:8" x14ac:dyDescent="0.3">
      <c r="A20" t="s">
        <v>90</v>
      </c>
      <c r="B20" t="s">
        <v>42</v>
      </c>
      <c r="C20" s="76">
        <v>111.8143839397158</v>
      </c>
      <c r="D20" s="77">
        <v>0.5</v>
      </c>
      <c r="E20" s="76">
        <v>59.082299999999996</v>
      </c>
      <c r="F20" t="s">
        <v>93</v>
      </c>
      <c r="G20" s="78">
        <v>1.8925191459999999</v>
      </c>
      <c r="H20" t="s">
        <v>94</v>
      </c>
    </row>
    <row r="21" spans="1:8" x14ac:dyDescent="0.3">
      <c r="A21" t="s">
        <v>90</v>
      </c>
      <c r="B21" t="s">
        <v>40</v>
      </c>
      <c r="C21" s="76">
        <v>182.88920214717649</v>
      </c>
      <c r="D21" s="77">
        <v>0.5</v>
      </c>
      <c r="E21" s="76">
        <v>96.637966666666671</v>
      </c>
      <c r="F21" t="s">
        <v>93</v>
      </c>
      <c r="G21" s="78">
        <v>1.8925191459999999</v>
      </c>
      <c r="H21" t="s">
        <v>94</v>
      </c>
    </row>
    <row r="22" spans="1:8" x14ac:dyDescent="0.3">
      <c r="A22" t="s">
        <v>90</v>
      </c>
      <c r="B22" t="s">
        <v>47</v>
      </c>
      <c r="C22" s="76">
        <v>183.16471772069829</v>
      </c>
      <c r="D22" s="77">
        <v>0.5</v>
      </c>
      <c r="E22" s="76">
        <v>80.569166666666675</v>
      </c>
      <c r="F22" t="s">
        <v>93</v>
      </c>
      <c r="G22" s="78">
        <v>2.2733847859999998</v>
      </c>
      <c r="H22" t="s">
        <v>94</v>
      </c>
    </row>
    <row r="23" spans="1:8" x14ac:dyDescent="0.3">
      <c r="A23" t="s">
        <v>90</v>
      </c>
      <c r="B23" t="s">
        <v>140</v>
      </c>
      <c r="C23" s="76">
        <v>65.743517740766137</v>
      </c>
      <c r="D23" s="77">
        <v>0.5</v>
      </c>
      <c r="E23" s="76">
        <v>31.080933333333331</v>
      </c>
      <c r="F23" t="s">
        <v>93</v>
      </c>
      <c r="G23" s="78">
        <v>2.1152362779999998</v>
      </c>
      <c r="H23" t="s">
        <v>94</v>
      </c>
    </row>
    <row r="24" spans="1:8" x14ac:dyDescent="0.3">
      <c r="A24" t="s">
        <v>42</v>
      </c>
      <c r="B24" t="s">
        <v>90</v>
      </c>
      <c r="C24" s="76">
        <v>140.87426776243191</v>
      </c>
      <c r="D24" s="77">
        <v>0.5</v>
      </c>
      <c r="E24" s="76">
        <v>74.437433333333331</v>
      </c>
      <c r="F24" t="s">
        <v>93</v>
      </c>
      <c r="G24" s="78">
        <v>1.8925191459999999</v>
      </c>
      <c r="H24" t="s">
        <v>94</v>
      </c>
    </row>
    <row r="25" spans="1:8" x14ac:dyDescent="0.3">
      <c r="A25" t="s">
        <v>47</v>
      </c>
      <c r="B25" t="s">
        <v>90</v>
      </c>
      <c r="C25" s="76">
        <v>134.03149215124481</v>
      </c>
      <c r="D25" s="77">
        <v>0.5</v>
      </c>
      <c r="E25" s="76">
        <v>58.956800000000008</v>
      </c>
      <c r="F25" t="s">
        <v>93</v>
      </c>
      <c r="G25" s="78">
        <v>2.2733847859999998</v>
      </c>
      <c r="H25" t="s">
        <v>94</v>
      </c>
    </row>
    <row r="26" spans="1:8" x14ac:dyDescent="0.3">
      <c r="A26" t="s">
        <v>48</v>
      </c>
      <c r="B26" t="s">
        <v>90</v>
      </c>
      <c r="C26" s="76">
        <v>206.07473971598159</v>
      </c>
      <c r="D26" s="77">
        <v>0.5</v>
      </c>
      <c r="E26" s="76">
        <v>98.208733333333328</v>
      </c>
      <c r="F26" t="s">
        <v>93</v>
      </c>
      <c r="G26" s="78">
        <v>2.0983341574779999</v>
      </c>
      <c r="H26" t="s">
        <v>94</v>
      </c>
    </row>
    <row r="27" spans="1:8" x14ac:dyDescent="0.3">
      <c r="A27" t="s">
        <v>140</v>
      </c>
      <c r="B27" t="s">
        <v>90</v>
      </c>
      <c r="C27" s="76">
        <v>15.6472488428772</v>
      </c>
      <c r="D27" s="77">
        <v>0.5</v>
      </c>
      <c r="E27" s="76">
        <v>7.3974000000000011</v>
      </c>
      <c r="F27" t="s">
        <v>93</v>
      </c>
      <c r="G27" s="78">
        <v>2.1152362779999998</v>
      </c>
      <c r="H27" t="s">
        <v>94</v>
      </c>
    </row>
    <row r="28" spans="1:8" x14ac:dyDescent="0.3">
      <c r="A28" t="s">
        <v>90</v>
      </c>
      <c r="B28" t="s">
        <v>23</v>
      </c>
      <c r="C28" s="76">
        <v>564.29850301039016</v>
      </c>
      <c r="D28" s="77">
        <v>0.3</v>
      </c>
      <c r="E28" s="76">
        <v>449.23126666666673</v>
      </c>
      <c r="F28" t="s">
        <v>93</v>
      </c>
      <c r="G28" s="78">
        <v>1.2561425369999999</v>
      </c>
      <c r="H28" t="s">
        <v>94</v>
      </c>
    </row>
    <row r="29" spans="1:8" x14ac:dyDescent="0.3">
      <c r="A29" t="s">
        <v>90</v>
      </c>
      <c r="B29" t="s">
        <v>30</v>
      </c>
      <c r="C29" s="76">
        <v>650.07988368201461</v>
      </c>
      <c r="D29" s="77">
        <v>0.3</v>
      </c>
      <c r="E29" s="76">
        <v>381.77893333333333</v>
      </c>
      <c r="F29" t="s">
        <v>93</v>
      </c>
      <c r="G29" s="78">
        <v>1.7027652049999999</v>
      </c>
      <c r="H29" t="s">
        <v>94</v>
      </c>
    </row>
    <row r="30" spans="1:8" x14ac:dyDescent="0.3">
      <c r="A30" t="s">
        <v>90</v>
      </c>
      <c r="B30" t="s">
        <v>33</v>
      </c>
      <c r="C30" s="76">
        <v>771.51865747248746</v>
      </c>
      <c r="D30" s="77">
        <v>0.3</v>
      </c>
      <c r="E30" s="76">
        <v>453.09750000000003</v>
      </c>
      <c r="F30" t="s">
        <v>93</v>
      </c>
      <c r="G30" s="78">
        <v>1.7027652049999999</v>
      </c>
      <c r="H30" t="s">
        <v>94</v>
      </c>
    </row>
    <row r="31" spans="1:8" x14ac:dyDescent="0.3">
      <c r="A31" t="s">
        <v>90</v>
      </c>
      <c r="B31" t="s">
        <v>45</v>
      </c>
      <c r="C31" s="76">
        <v>854.03755394494112</v>
      </c>
      <c r="D31" s="77">
        <v>0.3</v>
      </c>
      <c r="E31" s="76">
        <v>438.86430000000001</v>
      </c>
      <c r="F31" t="s">
        <v>93</v>
      </c>
      <c r="G31" s="78">
        <v>1.946017377</v>
      </c>
      <c r="H31" t="s">
        <v>94</v>
      </c>
    </row>
    <row r="32" spans="1:8" x14ac:dyDescent="0.3">
      <c r="A32" t="s">
        <v>90</v>
      </c>
      <c r="B32" t="s">
        <v>48</v>
      </c>
      <c r="C32" s="76">
        <v>601.4350278871317</v>
      </c>
      <c r="D32" s="77">
        <v>0.3</v>
      </c>
      <c r="E32" s="76">
        <v>286.625</v>
      </c>
      <c r="F32" t="s">
        <v>93</v>
      </c>
      <c r="G32" s="78">
        <v>2.0983341574779999</v>
      </c>
      <c r="H32" t="s">
        <v>94</v>
      </c>
    </row>
    <row r="33" spans="1:8" x14ac:dyDescent="0.3">
      <c r="A33" t="s">
        <v>22</v>
      </c>
      <c r="B33" t="s">
        <v>90</v>
      </c>
      <c r="C33" s="76">
        <v>509.25444904943089</v>
      </c>
      <c r="D33" s="77">
        <v>0.3</v>
      </c>
      <c r="E33" s="76">
        <v>467.97936666666669</v>
      </c>
      <c r="F33" t="s">
        <v>93</v>
      </c>
      <c r="G33" s="78">
        <v>1.0881985089999999</v>
      </c>
      <c r="H33" t="s">
        <v>94</v>
      </c>
    </row>
    <row r="34" spans="1:8" x14ac:dyDescent="0.3">
      <c r="A34" t="s">
        <v>158</v>
      </c>
      <c r="B34" t="s">
        <v>90</v>
      </c>
      <c r="C34" s="76">
        <v>555.93998774000227</v>
      </c>
      <c r="D34" s="77">
        <v>0.3</v>
      </c>
      <c r="E34" s="76">
        <v>457.08943333333332</v>
      </c>
      <c r="F34" t="s">
        <v>93</v>
      </c>
      <c r="G34" s="78">
        <v>1.2162608610000001</v>
      </c>
      <c r="H34" t="s">
        <v>94</v>
      </c>
    </row>
    <row r="35" spans="1:8" x14ac:dyDescent="0.3">
      <c r="A35" t="s">
        <v>40</v>
      </c>
      <c r="B35" t="s">
        <v>90</v>
      </c>
      <c r="C35" s="76">
        <v>562.80485063009246</v>
      </c>
      <c r="D35" s="77">
        <v>0.3</v>
      </c>
      <c r="E35" s="76">
        <v>297.38396666666671</v>
      </c>
      <c r="F35" t="s">
        <v>93</v>
      </c>
      <c r="G35" s="78">
        <v>1.8925191459999999</v>
      </c>
      <c r="H35" t="s">
        <v>94</v>
      </c>
    </row>
    <row r="36" spans="1:8" x14ac:dyDescent="0.3">
      <c r="A36" t="s">
        <v>41</v>
      </c>
      <c r="B36" t="s">
        <v>90</v>
      </c>
      <c r="C36" s="76">
        <v>1014.817966858343</v>
      </c>
      <c r="D36" s="77">
        <v>0.3</v>
      </c>
      <c r="E36" s="76">
        <v>464.53353333333342</v>
      </c>
      <c r="F36" t="s">
        <v>93</v>
      </c>
      <c r="G36" s="78">
        <v>2.184595716</v>
      </c>
      <c r="H36" t="s">
        <v>94</v>
      </c>
    </row>
    <row r="37" spans="1:8" x14ac:dyDescent="0.3">
      <c r="A37" t="s">
        <v>33</v>
      </c>
      <c r="B37" t="s">
        <v>90</v>
      </c>
      <c r="C37" s="76">
        <v>503.01216644384499</v>
      </c>
      <c r="D37" s="77">
        <v>0.3</v>
      </c>
      <c r="E37" s="76">
        <v>295.40899999999999</v>
      </c>
      <c r="F37" t="s">
        <v>93</v>
      </c>
      <c r="G37" s="78">
        <v>1.7027652049999999</v>
      </c>
      <c r="H37" t="s">
        <v>94</v>
      </c>
    </row>
    <row r="38" spans="1:8" x14ac:dyDescent="0.3">
      <c r="A38" t="s">
        <v>45</v>
      </c>
      <c r="B38" t="s">
        <v>90</v>
      </c>
      <c r="C38" s="76">
        <v>397.53703534801889</v>
      </c>
      <c r="D38" s="77">
        <v>0.3</v>
      </c>
      <c r="E38" s="76">
        <v>204.28236666666669</v>
      </c>
      <c r="F38" t="s">
        <v>93</v>
      </c>
      <c r="G38" s="78">
        <v>1.946017377</v>
      </c>
      <c r="H38" t="s">
        <v>94</v>
      </c>
    </row>
    <row r="39" spans="1:8" x14ac:dyDescent="0.3">
      <c r="A39" t="s">
        <v>90</v>
      </c>
      <c r="B39" t="s">
        <v>20</v>
      </c>
      <c r="C39" s="76">
        <v>268.30266670559041</v>
      </c>
      <c r="D39" s="77">
        <v>0.2</v>
      </c>
      <c r="E39" s="76">
        <v>213.59253333333331</v>
      </c>
      <c r="F39" t="s">
        <v>93</v>
      </c>
      <c r="G39" s="78">
        <v>1.2561425369999999</v>
      </c>
      <c r="H39" t="s">
        <v>94</v>
      </c>
    </row>
    <row r="40" spans="1:8" x14ac:dyDescent="0.3">
      <c r="A40" t="s">
        <v>90</v>
      </c>
      <c r="B40" t="s">
        <v>41</v>
      </c>
      <c r="C40" s="76">
        <v>2698.182299194877</v>
      </c>
      <c r="D40" s="77">
        <v>0.2</v>
      </c>
      <c r="E40" s="76">
        <v>1235.0945666666671</v>
      </c>
      <c r="F40" t="s">
        <v>93</v>
      </c>
      <c r="G40" s="78">
        <v>2.184595716</v>
      </c>
      <c r="H40" t="s">
        <v>94</v>
      </c>
    </row>
    <row r="41" spans="1:8" x14ac:dyDescent="0.3">
      <c r="A41" t="s">
        <v>90</v>
      </c>
      <c r="B41" t="s">
        <v>49</v>
      </c>
      <c r="C41" s="76">
        <v>2138.1097289173631</v>
      </c>
      <c r="D41" s="77">
        <v>0.2</v>
      </c>
      <c r="E41" s="76">
        <v>954.81846666666661</v>
      </c>
      <c r="F41" t="s">
        <v>93</v>
      </c>
      <c r="G41" s="78">
        <v>2.2392840142499999</v>
      </c>
      <c r="H41" t="s">
        <v>94</v>
      </c>
    </row>
    <row r="42" spans="1:8" x14ac:dyDescent="0.3">
      <c r="A42" t="s">
        <v>19</v>
      </c>
      <c r="B42" t="s">
        <v>90</v>
      </c>
      <c r="C42" s="76">
        <v>1389.4639809997809</v>
      </c>
      <c r="D42" s="77">
        <v>0.2</v>
      </c>
      <c r="E42" s="76">
        <v>1276.8479</v>
      </c>
      <c r="F42" t="s">
        <v>93</v>
      </c>
      <c r="G42" s="78">
        <v>1.0881985089999999</v>
      </c>
      <c r="H42" t="s">
        <v>94</v>
      </c>
    </row>
    <row r="43" spans="1:8" x14ac:dyDescent="0.3">
      <c r="A43" t="s">
        <v>20</v>
      </c>
      <c r="B43" t="s">
        <v>90</v>
      </c>
      <c r="C43" s="76">
        <v>819.27793576870806</v>
      </c>
      <c r="D43" s="77">
        <v>0.2</v>
      </c>
      <c r="E43" s="76">
        <v>652.21733333333339</v>
      </c>
      <c r="F43" t="s">
        <v>93</v>
      </c>
      <c r="G43" s="78">
        <v>1.2561425369999999</v>
      </c>
      <c r="H43" t="s">
        <v>94</v>
      </c>
    </row>
    <row r="44" spans="1:8" x14ac:dyDescent="0.3">
      <c r="A44" t="s">
        <v>23</v>
      </c>
      <c r="B44" t="s">
        <v>90</v>
      </c>
      <c r="C44" s="76">
        <v>669.38227934282634</v>
      </c>
      <c r="D44" s="77">
        <v>0.2</v>
      </c>
      <c r="E44" s="76">
        <v>532.88720000000012</v>
      </c>
      <c r="F44" t="s">
        <v>93</v>
      </c>
      <c r="G44" s="78">
        <v>1.2561425369999999</v>
      </c>
      <c r="H44" t="s">
        <v>94</v>
      </c>
    </row>
    <row r="45" spans="1:8" x14ac:dyDescent="0.3">
      <c r="A45" t="s">
        <v>30</v>
      </c>
      <c r="B45" t="s">
        <v>90</v>
      </c>
      <c r="C45" s="76">
        <v>601.28413851421089</v>
      </c>
      <c r="D45" s="77">
        <v>0.2</v>
      </c>
      <c r="E45" s="76">
        <v>353.12216666666671</v>
      </c>
      <c r="F45" t="s">
        <v>93</v>
      </c>
      <c r="G45" s="78">
        <v>1.7027652049999999</v>
      </c>
      <c r="H45" t="s">
        <v>94</v>
      </c>
    </row>
    <row r="46" spans="1:8" x14ac:dyDescent="0.3">
      <c r="A46" t="s">
        <v>49</v>
      </c>
      <c r="B46" t="s">
        <v>90</v>
      </c>
      <c r="C46" s="76">
        <v>4327.948859276712</v>
      </c>
      <c r="D46" s="77">
        <v>0.2</v>
      </c>
      <c r="E46" s="76">
        <v>1932.7378000000001</v>
      </c>
      <c r="F46" t="s">
        <v>93</v>
      </c>
      <c r="G46" s="78">
        <v>2.2392840142499999</v>
      </c>
      <c r="H46" t="s">
        <v>94</v>
      </c>
    </row>
    <row r="47" spans="1:8" x14ac:dyDescent="0.3">
      <c r="A47" t="s">
        <v>90</v>
      </c>
      <c r="B47" t="s">
        <v>54</v>
      </c>
      <c r="C47" s="76">
        <v>4373.4308023856674</v>
      </c>
      <c r="D47" s="77">
        <v>0.2</v>
      </c>
      <c r="E47" s="76">
        <v>1997.666666666667</v>
      </c>
      <c r="F47" t="s">
        <v>93</v>
      </c>
      <c r="G47" s="78">
        <v>2.189269549</v>
      </c>
      <c r="H47" t="s">
        <v>95</v>
      </c>
    </row>
    <row r="48" spans="1:8" x14ac:dyDescent="0.3">
      <c r="A48" t="s">
        <v>90</v>
      </c>
      <c r="B48" t="s">
        <v>59</v>
      </c>
      <c r="C48" s="76">
        <v>2004.443365424333</v>
      </c>
      <c r="D48" s="77">
        <v>0.2</v>
      </c>
      <c r="E48" s="76">
        <v>979.66666666666663</v>
      </c>
      <c r="F48" t="s">
        <v>93</v>
      </c>
      <c r="G48" s="78">
        <v>2.0460463070000001</v>
      </c>
      <c r="H48" t="s">
        <v>95</v>
      </c>
    </row>
    <row r="49" spans="1:8" x14ac:dyDescent="0.3">
      <c r="A49" t="s">
        <v>90</v>
      </c>
      <c r="B49" t="s">
        <v>58</v>
      </c>
      <c r="C49" s="76">
        <v>10686.499861460999</v>
      </c>
      <c r="D49" s="77">
        <v>0.2</v>
      </c>
      <c r="E49" s="76">
        <v>5223</v>
      </c>
      <c r="F49" t="s">
        <v>93</v>
      </c>
      <c r="G49" s="78">
        <v>2.0460463070000001</v>
      </c>
      <c r="H49" t="s">
        <v>95</v>
      </c>
    </row>
    <row r="50" spans="1:8" x14ac:dyDescent="0.3">
      <c r="A50" t="s">
        <v>87</v>
      </c>
      <c r="B50" t="s">
        <v>59</v>
      </c>
      <c r="C50" s="76">
        <v>14829.556760906629</v>
      </c>
      <c r="D50" s="77">
        <v>0.15</v>
      </c>
      <c r="E50" s="76">
        <v>7247.9086666666662</v>
      </c>
      <c r="F50" t="s">
        <v>93</v>
      </c>
      <c r="G50" s="78">
        <v>2.0460463070000001</v>
      </c>
      <c r="H50" t="s">
        <v>95</v>
      </c>
    </row>
    <row r="51" spans="1:8" x14ac:dyDescent="0.3">
      <c r="A51" t="s">
        <v>78</v>
      </c>
      <c r="B51" t="s">
        <v>54</v>
      </c>
      <c r="C51" s="76">
        <v>3721.7582333</v>
      </c>
      <c r="D51" s="77">
        <v>0.1</v>
      </c>
      <c r="E51" s="76">
        <v>1700</v>
      </c>
      <c r="F51" t="s">
        <v>93</v>
      </c>
      <c r="G51" s="78">
        <v>2.189269549</v>
      </c>
      <c r="H51" t="s">
        <v>95</v>
      </c>
    </row>
    <row r="52" spans="1:8" x14ac:dyDescent="0.3">
      <c r="A52" t="s">
        <v>81</v>
      </c>
      <c r="B52" t="s">
        <v>58</v>
      </c>
      <c r="C52" s="76">
        <v>16413.383474753999</v>
      </c>
      <c r="D52" s="77">
        <v>0.1</v>
      </c>
      <c r="E52" s="76">
        <v>8022</v>
      </c>
      <c r="F52" t="s">
        <v>93</v>
      </c>
      <c r="G52" s="78">
        <v>2.0460463070000001</v>
      </c>
      <c r="H52" t="s">
        <v>95</v>
      </c>
    </row>
    <row r="53" spans="1:8" x14ac:dyDescent="0.3">
      <c r="A53" t="s">
        <v>54</v>
      </c>
      <c r="B53" t="s">
        <v>90</v>
      </c>
      <c r="C53" s="76">
        <v>1106.310878761333</v>
      </c>
      <c r="D53" s="77">
        <v>0.2</v>
      </c>
      <c r="E53" s="76">
        <v>505.33333333333331</v>
      </c>
      <c r="F53" t="s">
        <v>93</v>
      </c>
      <c r="G53" s="78">
        <v>2.189269549</v>
      </c>
      <c r="H53" t="s">
        <v>95</v>
      </c>
    </row>
    <row r="54" spans="1:8" x14ac:dyDescent="0.3">
      <c r="A54" t="s">
        <v>59</v>
      </c>
      <c r="B54" t="s">
        <v>90</v>
      </c>
      <c r="C54" s="76">
        <v>5854.4204997626666</v>
      </c>
      <c r="D54" s="77">
        <v>0.2</v>
      </c>
      <c r="E54" s="76">
        <v>2861.333333333333</v>
      </c>
      <c r="F54" t="s">
        <v>93</v>
      </c>
      <c r="G54" s="78">
        <v>2.0460463070000001</v>
      </c>
      <c r="H54" t="s">
        <v>95</v>
      </c>
    </row>
    <row r="55" spans="1:8" x14ac:dyDescent="0.3">
      <c r="A55" t="s">
        <v>58</v>
      </c>
      <c r="B55" t="s">
        <v>90</v>
      </c>
      <c r="C55" s="76">
        <v>8896.8913582716687</v>
      </c>
      <c r="D55" s="77">
        <v>0.2</v>
      </c>
      <c r="E55" s="76">
        <v>4348.333333333333</v>
      </c>
      <c r="F55" t="s">
        <v>93</v>
      </c>
      <c r="G55" s="78">
        <v>2.0460463070000001</v>
      </c>
      <c r="H55" t="s">
        <v>95</v>
      </c>
    </row>
    <row r="56" spans="1:8" x14ac:dyDescent="0.3">
      <c r="A56" t="s">
        <v>59</v>
      </c>
      <c r="B56" t="s">
        <v>81</v>
      </c>
      <c r="C56" s="76">
        <v>10944.59087068772</v>
      </c>
      <c r="D56" s="77">
        <v>0.15</v>
      </c>
      <c r="E56" s="76">
        <v>5349.141333333333</v>
      </c>
      <c r="F56" t="s">
        <v>93</v>
      </c>
      <c r="G56" s="78">
        <v>2.0460463070000001</v>
      </c>
      <c r="H56" t="s">
        <v>95</v>
      </c>
    </row>
    <row r="57" spans="1:8" x14ac:dyDescent="0.3">
      <c r="A57" t="s">
        <v>58</v>
      </c>
      <c r="B57" t="s">
        <v>87</v>
      </c>
      <c r="C57" s="76">
        <v>18202.991977943329</v>
      </c>
      <c r="D57" s="77">
        <v>0.15</v>
      </c>
      <c r="E57" s="76">
        <v>8896.6666666666661</v>
      </c>
      <c r="F57" t="s">
        <v>93</v>
      </c>
      <c r="G57" s="78">
        <v>2.0460463070000001</v>
      </c>
      <c r="H57" t="s">
        <v>95</v>
      </c>
    </row>
    <row r="58" spans="1:8" x14ac:dyDescent="0.3">
      <c r="A58" t="s">
        <v>71</v>
      </c>
      <c r="B58" t="s">
        <v>36</v>
      </c>
      <c r="C58" s="76">
        <v>2820</v>
      </c>
      <c r="D58" s="77">
        <v>0.75</v>
      </c>
      <c r="E58" s="76">
        <v>2820</v>
      </c>
      <c r="F58" t="s">
        <v>104</v>
      </c>
      <c r="G58" s="78">
        <v>1</v>
      </c>
      <c r="H58" t="s">
        <v>105</v>
      </c>
    </row>
    <row r="59" spans="1:8" x14ac:dyDescent="0.3">
      <c r="A59" t="s">
        <v>71</v>
      </c>
      <c r="B59" t="s">
        <v>158</v>
      </c>
      <c r="C59" s="76">
        <v>4809.666666666667</v>
      </c>
      <c r="D59" s="77">
        <v>0.3</v>
      </c>
      <c r="E59" s="76">
        <v>4809.666666666667</v>
      </c>
      <c r="F59" t="s">
        <v>104</v>
      </c>
      <c r="G59" s="78">
        <v>1</v>
      </c>
      <c r="H59" t="s">
        <v>105</v>
      </c>
    </row>
    <row r="60" spans="1:8" x14ac:dyDescent="0.3">
      <c r="A60" t="s">
        <v>71</v>
      </c>
      <c r="B60" t="s">
        <v>20</v>
      </c>
      <c r="C60" s="76">
        <v>13917</v>
      </c>
      <c r="D60" s="77">
        <v>0.15</v>
      </c>
      <c r="E60" s="76">
        <v>13917</v>
      </c>
      <c r="F60" t="s">
        <v>104</v>
      </c>
      <c r="G60" s="78">
        <v>1</v>
      </c>
      <c r="H60" t="s">
        <v>105</v>
      </c>
    </row>
    <row r="61" spans="1:8" x14ac:dyDescent="0.3">
      <c r="A61" t="s">
        <v>71</v>
      </c>
      <c r="B61" t="s">
        <v>19</v>
      </c>
      <c r="C61" s="76">
        <v>5252.666666666667</v>
      </c>
      <c r="D61" s="77">
        <v>0.15</v>
      </c>
      <c r="E61" s="76">
        <v>5252.666666666667</v>
      </c>
      <c r="F61" t="s">
        <v>104</v>
      </c>
      <c r="G61" s="78">
        <v>1</v>
      </c>
      <c r="H61" t="s">
        <v>105</v>
      </c>
    </row>
    <row r="62" spans="1:8" x14ac:dyDescent="0.3">
      <c r="A62" t="s">
        <v>71</v>
      </c>
      <c r="B62" t="s">
        <v>23</v>
      </c>
      <c r="C62" s="76">
        <v>6129.333333333333</v>
      </c>
      <c r="D62" s="77">
        <v>0.15</v>
      </c>
      <c r="E62" s="76">
        <v>6129.333333333333</v>
      </c>
      <c r="F62" t="s">
        <v>104</v>
      </c>
      <c r="G62" s="78">
        <v>1</v>
      </c>
      <c r="H62" t="s">
        <v>105</v>
      </c>
    </row>
    <row r="63" spans="1:8" x14ac:dyDescent="0.3">
      <c r="A63" t="s">
        <v>71</v>
      </c>
      <c r="B63" t="s">
        <v>22</v>
      </c>
      <c r="C63" s="76">
        <v>4685.333333333333</v>
      </c>
      <c r="D63" s="77">
        <v>0.15</v>
      </c>
      <c r="E63" s="76">
        <v>4685.333333333333</v>
      </c>
      <c r="F63" t="s">
        <v>104</v>
      </c>
      <c r="G63" s="78">
        <v>1</v>
      </c>
      <c r="H63" t="s">
        <v>105</v>
      </c>
    </row>
    <row r="64" spans="1:8" x14ac:dyDescent="0.3">
      <c r="A64" t="s">
        <v>74</v>
      </c>
      <c r="B64" t="s">
        <v>41</v>
      </c>
      <c r="C64" s="76">
        <v>6359</v>
      </c>
      <c r="D64" s="77">
        <v>0.15</v>
      </c>
      <c r="E64" s="76">
        <v>6359</v>
      </c>
      <c r="F64" t="s">
        <v>106</v>
      </c>
      <c r="G64" s="78">
        <v>1</v>
      </c>
      <c r="H64" t="s">
        <v>107</v>
      </c>
    </row>
    <row r="65" spans="1:8" x14ac:dyDescent="0.3">
      <c r="A65" t="s">
        <v>73</v>
      </c>
      <c r="B65" t="s">
        <v>40</v>
      </c>
      <c r="C65" s="76">
        <v>1297</v>
      </c>
      <c r="D65" s="77">
        <v>0.15</v>
      </c>
      <c r="E65" s="76">
        <v>1297</v>
      </c>
      <c r="F65" t="s">
        <v>106</v>
      </c>
      <c r="G65" s="78">
        <v>1</v>
      </c>
      <c r="H65" t="s">
        <v>107</v>
      </c>
    </row>
    <row r="66" spans="1:8" x14ac:dyDescent="0.3">
      <c r="A66" t="s">
        <v>73</v>
      </c>
      <c r="B66" t="s">
        <v>43</v>
      </c>
      <c r="C66" s="76">
        <v>80</v>
      </c>
      <c r="D66" s="77">
        <v>0.15</v>
      </c>
      <c r="E66" s="76">
        <v>80</v>
      </c>
      <c r="F66" t="s">
        <v>106</v>
      </c>
      <c r="G66" s="78">
        <v>1</v>
      </c>
      <c r="H66" t="s">
        <v>107</v>
      </c>
    </row>
    <row r="67" spans="1:8" x14ac:dyDescent="0.3">
      <c r="A67" t="s">
        <v>73</v>
      </c>
      <c r="B67" t="s">
        <v>42</v>
      </c>
      <c r="C67" s="76">
        <v>148.33333333333329</v>
      </c>
      <c r="D67" s="77">
        <v>0.15</v>
      </c>
      <c r="E67" s="76">
        <v>148.33333333333329</v>
      </c>
      <c r="F67" t="s">
        <v>106</v>
      </c>
      <c r="G67" s="78">
        <v>1</v>
      </c>
      <c r="H67" t="s">
        <v>107</v>
      </c>
    </row>
    <row r="68" spans="1:8" x14ac:dyDescent="0.3">
      <c r="A68" t="s">
        <v>23</v>
      </c>
      <c r="B68" t="s">
        <v>78</v>
      </c>
      <c r="C68" s="76">
        <v>4597.3016383230297</v>
      </c>
      <c r="D68" s="77">
        <v>0.2</v>
      </c>
      <c r="E68" s="76">
        <v>3659.856666666667</v>
      </c>
      <c r="F68" t="s">
        <v>93</v>
      </c>
      <c r="G68" s="78">
        <v>1.2561425369999999</v>
      </c>
      <c r="H68" t="s">
        <v>96</v>
      </c>
    </row>
    <row r="69" spans="1:8" x14ac:dyDescent="0.3">
      <c r="A69" t="s">
        <v>65</v>
      </c>
      <c r="B69" t="s">
        <v>78</v>
      </c>
      <c r="C69" s="76">
        <v>2978.73350717312</v>
      </c>
      <c r="D69" s="77">
        <v>0.2</v>
      </c>
      <c r="E69" s="76">
        <v>1693.81</v>
      </c>
      <c r="F69" t="s">
        <v>93</v>
      </c>
      <c r="G69" s="78">
        <v>1.758599552</v>
      </c>
      <c r="H69" t="s">
        <v>96</v>
      </c>
    </row>
    <row r="70" spans="1:8" x14ac:dyDescent="0.3">
      <c r="A70" t="s">
        <v>23</v>
      </c>
      <c r="B70" t="s">
        <v>76</v>
      </c>
      <c r="C70" s="76">
        <v>1696.4707419199799</v>
      </c>
      <c r="D70" s="77">
        <v>0.2</v>
      </c>
      <c r="E70" s="76">
        <v>1350.54</v>
      </c>
      <c r="F70" t="s">
        <v>93</v>
      </c>
      <c r="G70" s="78">
        <v>1.2561425369999999</v>
      </c>
      <c r="H70" t="s">
        <v>96</v>
      </c>
    </row>
    <row r="71" spans="1:8" x14ac:dyDescent="0.3">
      <c r="A71" t="s">
        <v>64</v>
      </c>
      <c r="B71" t="s">
        <v>76</v>
      </c>
      <c r="C71" s="76">
        <v>2234.23038683392</v>
      </c>
      <c r="D71" s="77">
        <v>0.2</v>
      </c>
      <c r="E71" s="76">
        <v>1270.46</v>
      </c>
      <c r="F71" t="s">
        <v>93</v>
      </c>
      <c r="G71" s="78">
        <v>1.758599552</v>
      </c>
      <c r="H71" t="s">
        <v>96</v>
      </c>
    </row>
    <row r="72" spans="1:8" x14ac:dyDescent="0.3">
      <c r="A72" t="s">
        <v>22</v>
      </c>
      <c r="B72" t="s">
        <v>78</v>
      </c>
      <c r="C72" s="76">
        <v>1931.0822520148729</v>
      </c>
      <c r="D72" s="77">
        <v>0.2</v>
      </c>
      <c r="E72" s="76">
        <v>1478.8066666666671</v>
      </c>
      <c r="F72" t="s">
        <v>93</v>
      </c>
      <c r="G72" s="78">
        <v>1.305838211</v>
      </c>
      <c r="H72" t="s">
        <v>96</v>
      </c>
    </row>
    <row r="73" spans="1:8" x14ac:dyDescent="0.3">
      <c r="A73" t="s">
        <v>63</v>
      </c>
      <c r="B73" t="s">
        <v>78</v>
      </c>
      <c r="C73" s="76">
        <v>317.68577093818021</v>
      </c>
      <c r="D73" s="77">
        <v>0.2</v>
      </c>
      <c r="E73" s="76">
        <v>208.5266666666667</v>
      </c>
      <c r="F73" t="s">
        <v>93</v>
      </c>
      <c r="G73" s="78">
        <v>1.523477913</v>
      </c>
      <c r="H73" t="s">
        <v>96</v>
      </c>
    </row>
    <row r="74" spans="1:8" x14ac:dyDescent="0.3">
      <c r="A74" t="s">
        <v>22</v>
      </c>
      <c r="B74" t="s">
        <v>76</v>
      </c>
      <c r="C74" s="76">
        <v>1109.679547737617</v>
      </c>
      <c r="D74" s="77">
        <v>0.2</v>
      </c>
      <c r="E74" s="76">
        <v>849.7833333333333</v>
      </c>
      <c r="F74" t="s">
        <v>93</v>
      </c>
      <c r="G74" s="78">
        <v>1.305838211</v>
      </c>
      <c r="H74" t="s">
        <v>96</v>
      </c>
    </row>
    <row r="75" spans="1:8" x14ac:dyDescent="0.3">
      <c r="A75" t="s">
        <v>62</v>
      </c>
      <c r="B75" t="s">
        <v>76</v>
      </c>
      <c r="C75" s="76">
        <v>296.39262797415</v>
      </c>
      <c r="D75" s="77">
        <v>0.2</v>
      </c>
      <c r="E75" s="76">
        <v>194.55</v>
      </c>
      <c r="F75" t="s">
        <v>93</v>
      </c>
      <c r="G75" s="78">
        <v>1.523477913</v>
      </c>
      <c r="H75" t="s">
        <v>96</v>
      </c>
    </row>
    <row r="76" spans="1:8" x14ac:dyDescent="0.3">
      <c r="A76" t="s">
        <v>20</v>
      </c>
      <c r="B76" t="s">
        <v>77</v>
      </c>
      <c r="C76" s="76">
        <v>255</v>
      </c>
      <c r="D76" s="77">
        <v>0.2</v>
      </c>
      <c r="E76" s="76">
        <v>255</v>
      </c>
      <c r="F76" t="s">
        <v>97</v>
      </c>
      <c r="G76" s="78">
        <v>1</v>
      </c>
      <c r="H76" t="s">
        <v>96</v>
      </c>
    </row>
    <row r="77" spans="1:8" x14ac:dyDescent="0.3">
      <c r="A77" t="s">
        <v>19</v>
      </c>
      <c r="B77" t="s">
        <v>77</v>
      </c>
      <c r="C77" s="76">
        <v>98</v>
      </c>
      <c r="D77" s="77">
        <v>0.2</v>
      </c>
      <c r="E77" s="76">
        <v>98</v>
      </c>
      <c r="F77" t="s">
        <v>97</v>
      </c>
      <c r="G77" s="78">
        <v>1</v>
      </c>
      <c r="H77" t="s">
        <v>96</v>
      </c>
    </row>
    <row r="78" spans="1:8" x14ac:dyDescent="0.3">
      <c r="A78" t="s">
        <v>47</v>
      </c>
      <c r="B78" t="s">
        <v>77</v>
      </c>
      <c r="C78" s="76">
        <v>121.024804432</v>
      </c>
      <c r="D78" s="77">
        <v>0.2</v>
      </c>
      <c r="E78" s="76">
        <v>98</v>
      </c>
      <c r="F78" t="s">
        <v>97</v>
      </c>
      <c r="G78" s="78">
        <v>1.234946984</v>
      </c>
      <c r="H78" t="s">
        <v>96</v>
      </c>
    </row>
    <row r="79" spans="1:8" x14ac:dyDescent="0.3">
      <c r="A79" t="s">
        <v>79</v>
      </c>
      <c r="B79" t="s">
        <v>55</v>
      </c>
      <c r="C79" s="76">
        <v>813.53256440840005</v>
      </c>
      <c r="D79" s="77">
        <v>0.15</v>
      </c>
      <c r="E79" s="76">
        <v>371.60000000000008</v>
      </c>
      <c r="F79" t="s">
        <v>93</v>
      </c>
      <c r="G79" s="78">
        <v>2.189269549</v>
      </c>
      <c r="H79" t="s">
        <v>96</v>
      </c>
    </row>
    <row r="80" spans="1:8" x14ac:dyDescent="0.3">
      <c r="A80" t="s">
        <v>80</v>
      </c>
      <c r="B80" t="s">
        <v>56</v>
      </c>
      <c r="C80" s="76">
        <v>2907.9337662850671</v>
      </c>
      <c r="D80" s="77">
        <v>0.15</v>
      </c>
      <c r="E80" s="76">
        <v>1328.2666666666671</v>
      </c>
      <c r="F80" t="s">
        <v>93</v>
      </c>
      <c r="G80" s="78">
        <v>2.189269549</v>
      </c>
      <c r="H80" t="s">
        <v>96</v>
      </c>
    </row>
    <row r="81" spans="1:8" x14ac:dyDescent="0.3">
      <c r="A81" t="s">
        <v>76</v>
      </c>
      <c r="B81" t="s">
        <v>50</v>
      </c>
      <c r="C81" s="76">
        <v>5047.208851060801</v>
      </c>
      <c r="D81" s="77">
        <v>0.15</v>
      </c>
      <c r="E81" s="76">
        <v>3633.6</v>
      </c>
      <c r="F81" t="s">
        <v>97</v>
      </c>
      <c r="G81" s="78">
        <v>1.3890381030000001</v>
      </c>
      <c r="H81" t="s">
        <v>96</v>
      </c>
    </row>
    <row r="82" spans="1:8" x14ac:dyDescent="0.3">
      <c r="A82" t="s">
        <v>76</v>
      </c>
      <c r="B82" t="s">
        <v>53</v>
      </c>
      <c r="C82" s="76">
        <v>772.95082679999996</v>
      </c>
      <c r="D82" s="77">
        <v>0.15</v>
      </c>
      <c r="E82" s="76">
        <v>400</v>
      </c>
      <c r="F82" t="s">
        <v>97</v>
      </c>
      <c r="G82" s="78">
        <v>1.932377067</v>
      </c>
      <c r="H82" t="s">
        <v>96</v>
      </c>
    </row>
    <row r="83" spans="1:8" x14ac:dyDescent="0.3">
      <c r="A83" t="s">
        <v>76</v>
      </c>
      <c r="B83" t="s">
        <v>52</v>
      </c>
      <c r="C83" s="76">
        <v>1672.2836604848001</v>
      </c>
      <c r="D83" s="77">
        <v>0.15</v>
      </c>
      <c r="E83" s="76">
        <v>943.06666666666661</v>
      </c>
      <c r="F83" t="s">
        <v>97</v>
      </c>
      <c r="G83" s="78">
        <v>1.773240132</v>
      </c>
      <c r="H83" t="s">
        <v>96</v>
      </c>
    </row>
    <row r="84" spans="1:8" x14ac:dyDescent="0.3">
      <c r="A84" t="s">
        <v>76</v>
      </c>
      <c r="B84" t="s">
        <v>51</v>
      </c>
      <c r="C84" s="76">
        <v>227.3384786</v>
      </c>
      <c r="D84" s="77">
        <v>0.15</v>
      </c>
      <c r="E84" s="76">
        <v>100</v>
      </c>
      <c r="F84" t="s">
        <v>97</v>
      </c>
      <c r="G84" s="78">
        <v>2.2733847859999998</v>
      </c>
      <c r="H84" t="s">
        <v>96</v>
      </c>
    </row>
    <row r="85" spans="1:8" x14ac:dyDescent="0.3">
      <c r="A85" t="s">
        <v>77</v>
      </c>
      <c r="B85" t="s">
        <v>48</v>
      </c>
      <c r="C85" s="76">
        <v>288.32875438791513</v>
      </c>
      <c r="D85" s="77">
        <v>0.15</v>
      </c>
      <c r="E85" s="76">
        <v>243.66666666666671</v>
      </c>
      <c r="F85" t="s">
        <v>97</v>
      </c>
      <c r="G85" s="78">
        <v>1.18329174167407</v>
      </c>
      <c r="H85" t="s">
        <v>96</v>
      </c>
    </row>
    <row r="86" spans="1:8" x14ac:dyDescent="0.3">
      <c r="A86" t="s">
        <v>82</v>
      </c>
      <c r="B86" t="s">
        <v>45</v>
      </c>
      <c r="C86" s="76">
        <v>4693.1452408649993</v>
      </c>
      <c r="D86" s="77">
        <v>0.15</v>
      </c>
      <c r="E86" s="76">
        <v>2411.666666666667</v>
      </c>
      <c r="F86" t="s">
        <v>93</v>
      </c>
      <c r="G86" s="78">
        <v>1.946017377</v>
      </c>
      <c r="H86" t="s">
        <v>96</v>
      </c>
    </row>
    <row r="87" spans="1:8" x14ac:dyDescent="0.3">
      <c r="A87" s="287" t="s">
        <v>156</v>
      </c>
      <c r="B87" s="287" t="s">
        <v>140</v>
      </c>
      <c r="C87" s="76">
        <v>52.141464727740008</v>
      </c>
      <c r="D87" s="77">
        <v>0.15</v>
      </c>
      <c r="E87" s="76">
        <v>3037.6366666666672</v>
      </c>
      <c r="F87" t="s">
        <v>98</v>
      </c>
      <c r="G87" s="78">
        <v>1.7165142000000001E-2</v>
      </c>
      <c r="H87" t="s">
        <v>96</v>
      </c>
    </row>
    <row r="88" spans="1:8" x14ac:dyDescent="0.3">
      <c r="A88" t="s">
        <v>60</v>
      </c>
      <c r="B88" t="s">
        <v>86</v>
      </c>
      <c r="C88" s="76">
        <v>21051</v>
      </c>
      <c r="D88" s="77">
        <v>0.25</v>
      </c>
      <c r="E88" s="76">
        <v>13211</v>
      </c>
      <c r="F88" t="s">
        <v>93</v>
      </c>
      <c r="G88" s="78">
        <v>1.5934448565589281</v>
      </c>
      <c r="H88" t="s">
        <v>108</v>
      </c>
    </row>
    <row r="89" spans="1:8" x14ac:dyDescent="0.3">
      <c r="A89" t="s">
        <v>36</v>
      </c>
      <c r="B89" t="s">
        <v>86</v>
      </c>
      <c r="C89" s="76">
        <v>10706.2578535715</v>
      </c>
      <c r="D89" s="77">
        <v>0.4</v>
      </c>
      <c r="E89" s="76">
        <v>7335.5</v>
      </c>
      <c r="F89" t="s">
        <v>93</v>
      </c>
      <c r="G89" s="78">
        <v>1.4595130329999999</v>
      </c>
      <c r="H89" t="s">
        <v>186</v>
      </c>
    </row>
    <row r="90" spans="1:8" x14ac:dyDescent="0.3">
      <c r="A90" t="s">
        <v>33</v>
      </c>
      <c r="B90" t="s">
        <v>86</v>
      </c>
      <c r="C90" s="76">
        <v>7620.7256749774997</v>
      </c>
      <c r="D90" s="77">
        <v>0.4</v>
      </c>
      <c r="E90" s="76">
        <v>4475.5</v>
      </c>
      <c r="F90" t="s">
        <v>93</v>
      </c>
      <c r="G90" s="78">
        <v>1.7027652049999999</v>
      </c>
      <c r="H90" t="s">
        <v>186</v>
      </c>
    </row>
    <row r="91" spans="1:8" x14ac:dyDescent="0.3">
      <c r="A91" t="s">
        <v>37</v>
      </c>
      <c r="B91" t="s">
        <v>86</v>
      </c>
      <c r="C91" s="76">
        <v>2724.4243277999999</v>
      </c>
      <c r="D91" s="77">
        <v>0.4</v>
      </c>
      <c r="E91" s="76">
        <v>1400</v>
      </c>
      <c r="F91" t="s">
        <v>93</v>
      </c>
      <c r="G91" s="78">
        <v>1.946017377</v>
      </c>
      <c r="H91" t="s">
        <v>186</v>
      </c>
    </row>
    <row r="92" spans="1:8" x14ac:dyDescent="0.3">
      <c r="A92" t="s">
        <v>90</v>
      </c>
      <c r="B92" t="s">
        <v>44</v>
      </c>
      <c r="C92" s="76">
        <v>439.52105862666667</v>
      </c>
      <c r="D92" s="77">
        <v>0.25</v>
      </c>
      <c r="E92" s="76">
        <v>193.33333333333329</v>
      </c>
      <c r="F92" t="s">
        <v>93</v>
      </c>
      <c r="G92" s="78">
        <v>2.2733847859999998</v>
      </c>
      <c r="H92" t="s">
        <v>99</v>
      </c>
    </row>
    <row r="93" spans="1:8" x14ac:dyDescent="0.3">
      <c r="A93" t="s">
        <v>75</v>
      </c>
      <c r="B93" t="s">
        <v>44</v>
      </c>
      <c r="C93" s="76">
        <v>2349.1642788666668</v>
      </c>
      <c r="D93" s="77">
        <v>0.15</v>
      </c>
      <c r="E93" s="76">
        <v>1033.333333333333</v>
      </c>
      <c r="F93" t="s">
        <v>93</v>
      </c>
      <c r="G93" s="78">
        <v>2.2733847859999998</v>
      </c>
      <c r="H93" t="s">
        <v>99</v>
      </c>
    </row>
    <row r="94" spans="1:8" x14ac:dyDescent="0.3">
      <c r="A94" t="s">
        <v>44</v>
      </c>
      <c r="B94" t="s">
        <v>90</v>
      </c>
      <c r="C94" s="76">
        <v>394.05336290666662</v>
      </c>
      <c r="D94" s="77">
        <v>0.25</v>
      </c>
      <c r="E94" s="76">
        <v>173.33333333333329</v>
      </c>
      <c r="F94" t="s">
        <v>93</v>
      </c>
      <c r="G94" s="78">
        <v>2.2733847859999998</v>
      </c>
      <c r="H94" t="s">
        <v>99</v>
      </c>
    </row>
    <row r="95" spans="1:8" x14ac:dyDescent="0.3">
      <c r="A95" t="s">
        <v>44</v>
      </c>
      <c r="B95" t="s">
        <v>84</v>
      </c>
      <c r="C95" s="76">
        <v>2371.8981267266672</v>
      </c>
      <c r="D95" s="77">
        <v>0.15</v>
      </c>
      <c r="E95" s="76">
        <v>1043.333333333333</v>
      </c>
      <c r="F95" t="s">
        <v>93</v>
      </c>
      <c r="G95" s="78">
        <v>2.2733847859999998</v>
      </c>
      <c r="H95" t="s">
        <v>99</v>
      </c>
    </row>
    <row r="96" spans="1:8" x14ac:dyDescent="0.3">
      <c r="A96" t="s">
        <v>37</v>
      </c>
      <c r="B96" t="s">
        <v>76</v>
      </c>
      <c r="C96" s="76">
        <v>1759.199708808</v>
      </c>
      <c r="D96" s="77">
        <v>0.2</v>
      </c>
      <c r="E96" s="76">
        <v>904</v>
      </c>
      <c r="F96" t="s">
        <v>93</v>
      </c>
      <c r="G96" s="78">
        <v>1.946017377</v>
      </c>
      <c r="H96" t="s">
        <v>96</v>
      </c>
    </row>
    <row r="97" spans="1:8" x14ac:dyDescent="0.3">
      <c r="A97" t="s">
        <v>148</v>
      </c>
      <c r="B97" t="s">
        <v>47</v>
      </c>
      <c r="C97" s="76">
        <v>77.937504160239996</v>
      </c>
      <c r="D97" s="77">
        <v>0.15</v>
      </c>
      <c r="E97" s="76">
        <v>63.11</v>
      </c>
      <c r="F97" t="s">
        <v>97</v>
      </c>
      <c r="G97" s="78">
        <v>1.234946984</v>
      </c>
      <c r="H97" t="s">
        <v>187</v>
      </c>
    </row>
    <row r="98" spans="1:8" x14ac:dyDescent="0.3">
      <c r="A98" s="79" t="s">
        <v>37</v>
      </c>
      <c r="B98" s="79" t="s">
        <v>82</v>
      </c>
      <c r="C98" s="80">
        <v>583.80521309999995</v>
      </c>
      <c r="D98" s="81">
        <v>0.5</v>
      </c>
      <c r="E98" s="82">
        <v>300</v>
      </c>
      <c r="F98" s="82" t="s">
        <v>93</v>
      </c>
      <c r="G98" s="83">
        <v>1.946017377</v>
      </c>
    </row>
  </sheetData>
  <autoFilter ref="A1:H97" xr:uid="{00000000-0001-0000-0500-000000000000}">
    <sortState xmlns:xlrd2="http://schemas.microsoft.com/office/spreadsheetml/2017/richdata2" ref="A2:H97">
      <sortCondition ref="B1:B97"/>
    </sortState>
  </autoFilter>
  <dataValidations count="1">
    <dataValidation type="list" showInputMessage="1" showErrorMessage="1" sqref="B98" xr:uid="{7023DBD4-ABE0-48AE-A303-48AFBF135123}">
      <formula1>$M$2:$M$92</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919A3-EBCA-436E-A8D3-BA48BD330822}">
  <sheetPr>
    <tabColor rgb="FF9BBB59"/>
  </sheetPr>
  <dimension ref="A1:I5"/>
  <sheetViews>
    <sheetView workbookViewId="0">
      <selection activeCell="D13" sqref="D13"/>
    </sheetView>
  </sheetViews>
  <sheetFormatPr baseColWidth="10" defaultRowHeight="12.4" x14ac:dyDescent="0.3"/>
  <cols>
    <col min="1" max="1" width="18.1171875" bestFit="1" customWidth="1"/>
    <col min="2" max="2" width="36.64453125" bestFit="1" customWidth="1"/>
    <col min="3" max="3" width="4.76171875" bestFit="1" customWidth="1"/>
  </cols>
  <sheetData>
    <row r="1" spans="1:9" x14ac:dyDescent="0.3">
      <c r="A1" s="75" t="s">
        <v>176</v>
      </c>
      <c r="B1" s="75" t="s">
        <v>177</v>
      </c>
      <c r="C1" s="75" t="s">
        <v>188</v>
      </c>
      <c r="D1" s="75" t="s">
        <v>189</v>
      </c>
      <c r="E1" s="75" t="s">
        <v>190</v>
      </c>
      <c r="F1" s="75" t="s">
        <v>191</v>
      </c>
      <c r="G1" s="75" t="s">
        <v>181</v>
      </c>
      <c r="H1" s="75" t="s">
        <v>182</v>
      </c>
      <c r="I1" s="75" t="s">
        <v>183</v>
      </c>
    </row>
    <row r="2" spans="1:9" x14ac:dyDescent="0.3">
      <c r="A2" t="s">
        <v>36</v>
      </c>
      <c r="B2" t="s">
        <v>86</v>
      </c>
      <c r="C2" s="76">
        <v>7669.7409884149993</v>
      </c>
      <c r="D2" s="76"/>
      <c r="E2" s="76">
        <v>5255</v>
      </c>
      <c r="F2" s="76"/>
      <c r="G2" t="s">
        <v>93</v>
      </c>
      <c r="H2" s="78">
        <v>1.4595130329999999</v>
      </c>
      <c r="I2" t="s">
        <v>108</v>
      </c>
    </row>
    <row r="3" spans="1:9" x14ac:dyDescent="0.3">
      <c r="A3" t="s">
        <v>33</v>
      </c>
      <c r="B3" t="s">
        <v>86</v>
      </c>
      <c r="C3" s="76">
        <v>4500</v>
      </c>
      <c r="D3" s="76"/>
      <c r="E3" s="76"/>
      <c r="F3" s="76"/>
      <c r="G3" t="s">
        <v>93</v>
      </c>
      <c r="H3" s="78">
        <v>1.7027652049999999</v>
      </c>
      <c r="I3" t="s">
        <v>192</v>
      </c>
    </row>
    <row r="4" spans="1:9" x14ac:dyDescent="0.3">
      <c r="A4" t="s">
        <v>37</v>
      </c>
      <c r="B4" t="s">
        <v>86</v>
      </c>
      <c r="C4" s="76">
        <v>2379.9792520709998</v>
      </c>
      <c r="D4" s="76"/>
      <c r="E4" s="76">
        <v>1223</v>
      </c>
      <c r="F4" s="76"/>
      <c r="G4" t="s">
        <v>93</v>
      </c>
      <c r="H4" s="78">
        <v>1.946017377</v>
      </c>
      <c r="I4" t="s">
        <v>108</v>
      </c>
    </row>
    <row r="5" spans="1:9" ht="14.25" x14ac:dyDescent="0.3">
      <c r="A5" t="s">
        <v>37</v>
      </c>
      <c r="B5" s="84" t="s">
        <v>86</v>
      </c>
      <c r="D5" s="76">
        <v>4865.0434425000003</v>
      </c>
      <c r="F5">
        <v>2500</v>
      </c>
      <c r="G5" t="s">
        <v>93</v>
      </c>
      <c r="H5" s="78">
        <v>1.946017377</v>
      </c>
      <c r="I5" t="s">
        <v>108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G74"/>
  <sheetViews>
    <sheetView topLeftCell="A6" workbookViewId="0">
      <selection activeCell="B32" sqref="B32"/>
    </sheetView>
  </sheetViews>
  <sheetFormatPr baseColWidth="10" defaultColWidth="9" defaultRowHeight="12.4" x14ac:dyDescent="0.3"/>
  <cols>
    <col min="1" max="1" width="2.76171875" bestFit="1" customWidth="1"/>
    <col min="2" max="3" width="34.46875" bestFit="1" customWidth="1"/>
    <col min="4" max="4" width="6.46875" bestFit="1" customWidth="1"/>
    <col min="5" max="6" width="7.87890625" bestFit="1" customWidth="1"/>
    <col min="7" max="7" width="185.3515625" bestFit="1" customWidth="1"/>
  </cols>
  <sheetData>
    <row r="1" spans="1:7" x14ac:dyDescent="0.3">
      <c r="A1" s="86" t="s">
        <v>193</v>
      </c>
      <c r="B1" s="86" t="s">
        <v>91</v>
      </c>
      <c r="C1" s="86" t="s">
        <v>92</v>
      </c>
      <c r="D1" s="87" t="s">
        <v>194</v>
      </c>
      <c r="E1" s="88" t="s">
        <v>195</v>
      </c>
      <c r="F1" s="89" t="s">
        <v>196</v>
      </c>
      <c r="G1" s="90" t="s">
        <v>198</v>
      </c>
    </row>
    <row r="2" spans="1:7" x14ac:dyDescent="0.3">
      <c r="A2" s="91">
        <v>1</v>
      </c>
      <c r="B2" s="93" t="s">
        <v>73</v>
      </c>
      <c r="C2" s="93" t="s">
        <v>40</v>
      </c>
      <c r="D2" s="94"/>
      <c r="E2" s="95">
        <v>1</v>
      </c>
      <c r="F2" s="96">
        <v>1</v>
      </c>
      <c r="G2" s="288" t="s">
        <v>199</v>
      </c>
    </row>
    <row r="3" spans="1:7" x14ac:dyDescent="0.3">
      <c r="A3" s="97">
        <v>1</v>
      </c>
      <c r="B3" s="99" t="s">
        <v>19</v>
      </c>
      <c r="C3" s="99" t="s">
        <v>73</v>
      </c>
      <c r="D3" s="100"/>
      <c r="E3" s="101">
        <v>-0.5</v>
      </c>
      <c r="F3" s="102">
        <v>-0.4</v>
      </c>
      <c r="G3" s="290"/>
    </row>
    <row r="4" spans="1:7" x14ac:dyDescent="0.3">
      <c r="A4" s="91">
        <v>2</v>
      </c>
      <c r="B4" s="93" t="s">
        <v>74</v>
      </c>
      <c r="C4" s="93" t="s">
        <v>41</v>
      </c>
      <c r="D4" s="94"/>
      <c r="E4" s="95">
        <v>1</v>
      </c>
      <c r="F4" s="96">
        <v>1</v>
      </c>
      <c r="G4" s="288" t="s">
        <v>200</v>
      </c>
    </row>
    <row r="5" spans="1:7" x14ac:dyDescent="0.3">
      <c r="A5" s="97">
        <v>2</v>
      </c>
      <c r="B5" s="99" t="s">
        <v>20</v>
      </c>
      <c r="C5" s="99" t="s">
        <v>74</v>
      </c>
      <c r="D5" s="100"/>
      <c r="E5" s="101">
        <v>-0.55000000000000004</v>
      </c>
      <c r="F5" s="102">
        <v>-0.45</v>
      </c>
      <c r="G5" s="290"/>
    </row>
    <row r="6" spans="1:7" ht="14.25" x14ac:dyDescent="0.3">
      <c r="A6" s="91">
        <v>3</v>
      </c>
      <c r="B6" s="103" t="s">
        <v>148</v>
      </c>
      <c r="C6" s="93" t="s">
        <v>47</v>
      </c>
      <c r="D6" s="94"/>
      <c r="E6" s="95">
        <v>1</v>
      </c>
      <c r="F6" s="96">
        <v>1</v>
      </c>
      <c r="G6" s="288" t="s">
        <v>201</v>
      </c>
    </row>
    <row r="7" spans="1:7" ht="14.25" x14ac:dyDescent="0.3">
      <c r="A7" s="104">
        <v>3</v>
      </c>
      <c r="B7" s="106" t="s">
        <v>19</v>
      </c>
      <c r="C7" s="107" t="s">
        <v>148</v>
      </c>
      <c r="D7" s="108"/>
      <c r="E7" s="108">
        <v>-0.5</v>
      </c>
      <c r="F7" s="109">
        <v>-0.4</v>
      </c>
      <c r="G7" s="289"/>
    </row>
    <row r="8" spans="1:7" ht="14.25" x14ac:dyDescent="0.3">
      <c r="A8" s="97">
        <v>3</v>
      </c>
      <c r="B8" s="99" t="s">
        <v>20</v>
      </c>
      <c r="C8" s="110" t="s">
        <v>148</v>
      </c>
      <c r="D8" s="100"/>
      <c r="E8" s="101">
        <v>-0.55000000000000004</v>
      </c>
      <c r="F8" s="102">
        <v>-0.45</v>
      </c>
      <c r="G8" s="290"/>
    </row>
    <row r="9" spans="1:7" x14ac:dyDescent="0.3">
      <c r="A9" s="111">
        <v>4</v>
      </c>
      <c r="B9" s="114" t="s">
        <v>73</v>
      </c>
      <c r="C9" s="114" t="s">
        <v>63</v>
      </c>
      <c r="D9" s="115">
        <v>-0.67</v>
      </c>
      <c r="E9" s="116"/>
      <c r="F9" s="117"/>
      <c r="G9" s="297" t="s">
        <v>202</v>
      </c>
    </row>
    <row r="10" spans="1:7" x14ac:dyDescent="0.3">
      <c r="A10" s="118">
        <v>4</v>
      </c>
      <c r="B10" s="121" t="s">
        <v>73</v>
      </c>
      <c r="C10" s="121" t="s">
        <v>34</v>
      </c>
      <c r="D10" s="122">
        <v>1</v>
      </c>
      <c r="E10" s="123"/>
      <c r="F10" s="124"/>
      <c r="G10" s="290"/>
    </row>
    <row r="11" spans="1:7" x14ac:dyDescent="0.3">
      <c r="A11" s="125">
        <v>5</v>
      </c>
      <c r="B11" s="114" t="s">
        <v>74</v>
      </c>
      <c r="C11" s="114" t="s">
        <v>65</v>
      </c>
      <c r="D11" s="115">
        <v>-0.67</v>
      </c>
      <c r="E11" s="126"/>
      <c r="F11" s="127"/>
      <c r="G11" s="297" t="s">
        <v>203</v>
      </c>
    </row>
    <row r="12" spans="1:7" x14ac:dyDescent="0.3">
      <c r="A12" s="125">
        <v>5</v>
      </c>
      <c r="B12" s="128" t="s">
        <v>74</v>
      </c>
      <c r="C12" s="128" t="s">
        <v>35</v>
      </c>
      <c r="D12" s="122">
        <v>1</v>
      </c>
      <c r="E12" s="126"/>
      <c r="F12" s="127"/>
      <c r="G12" s="290"/>
    </row>
    <row r="13" spans="1:7" x14ac:dyDescent="0.3">
      <c r="A13" s="111">
        <v>6</v>
      </c>
      <c r="B13" s="114" t="s">
        <v>148</v>
      </c>
      <c r="C13" s="114" t="s">
        <v>63</v>
      </c>
      <c r="D13" s="115">
        <v>-0.67</v>
      </c>
      <c r="E13" s="116"/>
      <c r="F13" s="117"/>
      <c r="G13" s="297" t="s">
        <v>203</v>
      </c>
    </row>
    <row r="14" spans="1:7" x14ac:dyDescent="0.3">
      <c r="A14" s="118">
        <v>6</v>
      </c>
      <c r="B14" s="121" t="s">
        <v>148</v>
      </c>
      <c r="C14" s="121" t="s">
        <v>34</v>
      </c>
      <c r="D14" s="122">
        <v>1</v>
      </c>
      <c r="E14" s="123"/>
      <c r="F14" s="124"/>
      <c r="G14" s="290"/>
    </row>
    <row r="15" spans="1:7" x14ac:dyDescent="0.3">
      <c r="A15" s="125">
        <v>7</v>
      </c>
      <c r="B15" s="128" t="s">
        <v>148</v>
      </c>
      <c r="C15" s="128" t="s">
        <v>65</v>
      </c>
      <c r="D15" s="115">
        <v>-0.67</v>
      </c>
      <c r="E15" s="126"/>
      <c r="F15" s="127"/>
      <c r="G15" s="297" t="s">
        <v>203</v>
      </c>
    </row>
    <row r="16" spans="1:7" x14ac:dyDescent="0.3">
      <c r="A16" s="125">
        <v>7</v>
      </c>
      <c r="B16" s="128" t="s">
        <v>148</v>
      </c>
      <c r="C16" s="121" t="s">
        <v>35</v>
      </c>
      <c r="D16" s="122">
        <v>1</v>
      </c>
      <c r="E16" s="126"/>
      <c r="F16" s="127"/>
      <c r="G16" s="290"/>
    </row>
    <row r="17" spans="1:7" x14ac:dyDescent="0.3">
      <c r="A17" s="91">
        <v>8</v>
      </c>
      <c r="B17" s="93" t="s">
        <v>73</v>
      </c>
      <c r="C17" s="130" t="s">
        <v>27</v>
      </c>
      <c r="D17" s="131">
        <v>-1</v>
      </c>
      <c r="E17" s="132"/>
      <c r="F17" s="133"/>
      <c r="G17" s="288" t="s">
        <v>204</v>
      </c>
    </row>
    <row r="18" spans="1:7" x14ac:dyDescent="0.3">
      <c r="A18" s="97">
        <v>8</v>
      </c>
      <c r="B18" s="99" t="s">
        <v>19</v>
      </c>
      <c r="C18" s="99" t="s">
        <v>73</v>
      </c>
      <c r="D18" s="100">
        <v>0.1202</v>
      </c>
      <c r="E18" s="101"/>
      <c r="F18" s="102"/>
      <c r="G18" s="290"/>
    </row>
    <row r="19" spans="1:7" x14ac:dyDescent="0.3">
      <c r="A19" s="104">
        <v>9</v>
      </c>
      <c r="B19" s="93" t="s">
        <v>74</v>
      </c>
      <c r="C19" s="130" t="s">
        <v>28</v>
      </c>
      <c r="D19" s="131">
        <v>-1</v>
      </c>
      <c r="E19" s="132"/>
      <c r="F19" s="133"/>
      <c r="G19" s="298" t="s">
        <v>205</v>
      </c>
    </row>
    <row r="20" spans="1:7" x14ac:dyDescent="0.3">
      <c r="A20" s="104">
        <v>9</v>
      </c>
      <c r="B20" s="135" t="s">
        <v>20</v>
      </c>
      <c r="C20" s="135" t="s">
        <v>74</v>
      </c>
      <c r="D20" s="136">
        <v>0.15</v>
      </c>
      <c r="E20" s="108"/>
      <c r="F20" s="109"/>
      <c r="G20" s="289"/>
    </row>
    <row r="21" spans="1:7" x14ac:dyDescent="0.3">
      <c r="A21" s="91">
        <v>10</v>
      </c>
      <c r="B21" s="93" t="s">
        <v>148</v>
      </c>
      <c r="C21" s="130" t="s">
        <v>27</v>
      </c>
      <c r="D21" s="131">
        <v>-1</v>
      </c>
      <c r="E21" s="132"/>
      <c r="F21" s="133"/>
      <c r="G21" s="295" t="s">
        <v>206</v>
      </c>
    </row>
    <row r="22" spans="1:7" x14ac:dyDescent="0.3">
      <c r="A22" s="97">
        <v>10</v>
      </c>
      <c r="B22" s="99" t="s">
        <v>19</v>
      </c>
      <c r="C22" s="137" t="s">
        <v>148</v>
      </c>
      <c r="D22" s="100">
        <v>0.1202</v>
      </c>
      <c r="E22" s="101"/>
      <c r="F22" s="102"/>
      <c r="G22" s="290"/>
    </row>
    <row r="23" spans="1:7" x14ac:dyDescent="0.3">
      <c r="A23" s="104">
        <v>11</v>
      </c>
      <c r="B23" s="135" t="s">
        <v>148</v>
      </c>
      <c r="C23" s="135" t="s">
        <v>27</v>
      </c>
      <c r="D23" s="131">
        <v>-1</v>
      </c>
      <c r="E23" s="108"/>
      <c r="F23" s="109"/>
      <c r="G23" s="295" t="s">
        <v>203</v>
      </c>
    </row>
    <row r="24" spans="1:7" x14ac:dyDescent="0.3">
      <c r="A24" s="104">
        <v>11</v>
      </c>
      <c r="B24" s="135" t="s">
        <v>20</v>
      </c>
      <c r="C24" s="135" t="s">
        <v>148</v>
      </c>
      <c r="D24" s="136">
        <v>0.15</v>
      </c>
      <c r="E24" s="108"/>
      <c r="F24" s="109"/>
      <c r="G24" s="290"/>
    </row>
    <row r="25" spans="1:7" x14ac:dyDescent="0.3">
      <c r="A25" s="91">
        <v>12</v>
      </c>
      <c r="B25" s="93" t="s">
        <v>151</v>
      </c>
      <c r="C25" s="95" t="s">
        <v>27</v>
      </c>
      <c r="D25" s="131">
        <v>-1</v>
      </c>
      <c r="E25" s="132"/>
      <c r="F25" s="133"/>
      <c r="G25" s="288" t="s">
        <v>207</v>
      </c>
    </row>
    <row r="26" spans="1:7" x14ac:dyDescent="0.3">
      <c r="A26" s="97">
        <v>12</v>
      </c>
      <c r="B26" s="138" t="s">
        <v>22</v>
      </c>
      <c r="C26" s="99" t="s">
        <v>151</v>
      </c>
      <c r="D26" s="100">
        <v>0.1202</v>
      </c>
      <c r="E26" s="101"/>
      <c r="F26" s="102"/>
      <c r="G26" s="290"/>
    </row>
    <row r="27" spans="1:7" x14ac:dyDescent="0.3">
      <c r="A27" s="91">
        <v>13</v>
      </c>
      <c r="B27" s="93" t="s">
        <v>152</v>
      </c>
      <c r="C27" s="95" t="s">
        <v>28</v>
      </c>
      <c r="D27" s="131">
        <v>-1</v>
      </c>
      <c r="E27" s="132"/>
      <c r="F27" s="133"/>
      <c r="G27" s="288" t="s">
        <v>203</v>
      </c>
    </row>
    <row r="28" spans="1:7" x14ac:dyDescent="0.3">
      <c r="A28" s="97">
        <v>13</v>
      </c>
      <c r="B28" s="138" t="s">
        <v>23</v>
      </c>
      <c r="C28" s="99" t="s">
        <v>152</v>
      </c>
      <c r="D28" s="100">
        <v>0.15</v>
      </c>
      <c r="E28" s="101"/>
      <c r="F28" s="102"/>
      <c r="G28" s="290"/>
    </row>
    <row r="29" spans="1:7" x14ac:dyDescent="0.3">
      <c r="A29" s="91">
        <v>14</v>
      </c>
      <c r="B29" s="95" t="s">
        <v>77</v>
      </c>
      <c r="C29" s="95" t="s">
        <v>27</v>
      </c>
      <c r="D29" s="131">
        <v>-1</v>
      </c>
      <c r="E29" s="132"/>
      <c r="F29" s="133"/>
      <c r="G29" s="288" t="s">
        <v>208</v>
      </c>
    </row>
    <row r="30" spans="1:7" x14ac:dyDescent="0.3">
      <c r="A30" s="97">
        <v>14</v>
      </c>
      <c r="B30" s="138" t="s">
        <v>19</v>
      </c>
      <c r="C30" s="138" t="s">
        <v>77</v>
      </c>
      <c r="D30" s="100">
        <v>0.1202</v>
      </c>
      <c r="E30" s="101"/>
      <c r="F30" s="102"/>
      <c r="G30" s="290"/>
    </row>
    <row r="31" spans="1:7" x14ac:dyDescent="0.3">
      <c r="A31" s="91">
        <v>15</v>
      </c>
      <c r="B31" s="95" t="s">
        <v>77</v>
      </c>
      <c r="C31" s="95" t="s">
        <v>28</v>
      </c>
      <c r="D31" s="131">
        <v>-1</v>
      </c>
      <c r="E31" s="132"/>
      <c r="F31" s="133"/>
      <c r="G31" s="288" t="s">
        <v>209</v>
      </c>
    </row>
    <row r="32" spans="1:7" x14ac:dyDescent="0.3">
      <c r="A32" s="97">
        <v>15</v>
      </c>
      <c r="B32" s="138" t="s">
        <v>20</v>
      </c>
      <c r="C32" s="138" t="s">
        <v>77</v>
      </c>
      <c r="D32" s="100">
        <v>0.15</v>
      </c>
      <c r="E32" s="101"/>
      <c r="F32" s="102"/>
      <c r="G32" s="290"/>
    </row>
    <row r="33" spans="1:7" x14ac:dyDescent="0.3">
      <c r="A33">
        <v>33</v>
      </c>
      <c r="B33" s="76" t="s">
        <v>79</v>
      </c>
      <c r="C33" s="76" t="s">
        <v>27</v>
      </c>
      <c r="D33" s="78">
        <v>-1</v>
      </c>
      <c r="E33" s="78"/>
      <c r="F33" s="78"/>
    </row>
    <row r="34" spans="1:7" x14ac:dyDescent="0.3">
      <c r="A34">
        <v>33</v>
      </c>
      <c r="B34" s="76" t="s">
        <v>22</v>
      </c>
      <c r="C34" s="76" t="s">
        <v>79</v>
      </c>
      <c r="D34" s="78">
        <v>0.1202</v>
      </c>
      <c r="E34" s="78"/>
      <c r="F34" s="78"/>
    </row>
    <row r="35" spans="1:7" x14ac:dyDescent="0.3">
      <c r="A35">
        <v>34</v>
      </c>
      <c r="B35" s="76" t="s">
        <v>79</v>
      </c>
      <c r="C35" s="76" t="s">
        <v>28</v>
      </c>
      <c r="D35" s="78">
        <v>-1</v>
      </c>
      <c r="E35" s="78"/>
      <c r="F35" s="78"/>
    </row>
    <row r="36" spans="1:7" x14ac:dyDescent="0.3">
      <c r="A36">
        <v>34</v>
      </c>
      <c r="B36" s="76" t="s">
        <v>23</v>
      </c>
      <c r="C36" s="76" t="s">
        <v>79</v>
      </c>
      <c r="D36" s="78">
        <v>0.15</v>
      </c>
      <c r="E36" s="78"/>
      <c r="F36" s="78"/>
    </row>
    <row r="37" spans="1:7" x14ac:dyDescent="0.3">
      <c r="A37">
        <v>35</v>
      </c>
      <c r="B37" s="76" t="s">
        <v>80</v>
      </c>
      <c r="C37" s="76" t="s">
        <v>27</v>
      </c>
      <c r="D37" s="78">
        <v>-1</v>
      </c>
      <c r="E37" s="78"/>
      <c r="F37" s="78"/>
    </row>
    <row r="38" spans="1:7" x14ac:dyDescent="0.3">
      <c r="A38">
        <v>35</v>
      </c>
      <c r="B38" s="76" t="s">
        <v>22</v>
      </c>
      <c r="C38" s="76" t="s">
        <v>80</v>
      </c>
      <c r="D38" s="78">
        <v>0.1202</v>
      </c>
      <c r="E38" s="78"/>
      <c r="F38" s="78"/>
    </row>
    <row r="39" spans="1:7" x14ac:dyDescent="0.3">
      <c r="A39">
        <v>36</v>
      </c>
      <c r="B39" s="76" t="s">
        <v>80</v>
      </c>
      <c r="C39" s="76" t="s">
        <v>28</v>
      </c>
      <c r="D39" s="78">
        <v>-1</v>
      </c>
      <c r="E39" s="78"/>
      <c r="F39" s="78"/>
    </row>
    <row r="40" spans="1:7" x14ac:dyDescent="0.3">
      <c r="A40">
        <v>36</v>
      </c>
      <c r="B40" s="76" t="s">
        <v>23</v>
      </c>
      <c r="C40" s="76" t="s">
        <v>80</v>
      </c>
      <c r="D40" s="78">
        <v>0.15</v>
      </c>
      <c r="E40" s="78"/>
      <c r="F40" s="78"/>
    </row>
    <row r="41" spans="1:7" x14ac:dyDescent="0.3">
      <c r="A41" s="111">
        <v>20</v>
      </c>
      <c r="B41" s="114" t="s">
        <v>78</v>
      </c>
      <c r="C41" s="139" t="s">
        <v>55</v>
      </c>
      <c r="D41" s="115"/>
      <c r="E41" s="140">
        <v>-5.5E-2</v>
      </c>
      <c r="F41" s="141">
        <v>-4.4999999999999998E-2</v>
      </c>
      <c r="G41" s="297" t="s">
        <v>210</v>
      </c>
    </row>
    <row r="42" spans="1:7" x14ac:dyDescent="0.3">
      <c r="A42" s="118">
        <v>20</v>
      </c>
      <c r="B42" s="114" t="s">
        <v>78</v>
      </c>
      <c r="C42" s="142" t="s">
        <v>57</v>
      </c>
      <c r="D42" s="122"/>
      <c r="E42" s="142">
        <v>1</v>
      </c>
      <c r="F42" s="143">
        <v>1</v>
      </c>
      <c r="G42" s="290"/>
    </row>
    <row r="43" spans="1:7" x14ac:dyDescent="0.3">
      <c r="A43" s="111">
        <v>21</v>
      </c>
      <c r="B43" s="114" t="s">
        <v>78</v>
      </c>
      <c r="C43" s="139" t="s">
        <v>56</v>
      </c>
      <c r="D43" s="115"/>
      <c r="E43" s="116">
        <v>-1.05</v>
      </c>
      <c r="F43" s="117">
        <v>-0.95</v>
      </c>
      <c r="G43" s="297" t="s">
        <v>211</v>
      </c>
    </row>
    <row r="44" spans="1:7" x14ac:dyDescent="0.3">
      <c r="A44" s="118">
        <v>21</v>
      </c>
      <c r="B44" s="114" t="s">
        <v>78</v>
      </c>
      <c r="C44" s="142" t="s">
        <v>57</v>
      </c>
      <c r="D44" s="122"/>
      <c r="E44" s="142">
        <v>1</v>
      </c>
      <c r="F44" s="143">
        <v>1</v>
      </c>
      <c r="G44" s="290"/>
    </row>
    <row r="45" spans="1:7" x14ac:dyDescent="0.3">
      <c r="A45" s="111">
        <v>22</v>
      </c>
      <c r="B45" s="139" t="s">
        <v>87</v>
      </c>
      <c r="C45" s="139" t="s">
        <v>59</v>
      </c>
      <c r="D45" s="144">
        <v>-1</v>
      </c>
      <c r="E45" s="116"/>
      <c r="F45" s="117"/>
      <c r="G45" s="291" t="s">
        <v>212</v>
      </c>
    </row>
    <row r="46" spans="1:7" x14ac:dyDescent="0.3">
      <c r="A46" s="118">
        <v>22</v>
      </c>
      <c r="B46" s="142" t="s">
        <v>58</v>
      </c>
      <c r="C46" s="142" t="s">
        <v>87</v>
      </c>
      <c r="D46" s="122">
        <v>0.77068445721662149</v>
      </c>
      <c r="E46" s="123"/>
      <c r="F46" s="124"/>
      <c r="G46" s="290"/>
    </row>
    <row r="47" spans="1:7" x14ac:dyDescent="0.3">
      <c r="A47" s="111">
        <v>23</v>
      </c>
      <c r="B47" s="139" t="s">
        <v>71</v>
      </c>
      <c r="C47" s="139" t="s">
        <v>19</v>
      </c>
      <c r="D47" s="111"/>
      <c r="E47" s="112"/>
      <c r="F47" s="145">
        <v>-1</v>
      </c>
      <c r="G47" s="294" t="s">
        <v>213</v>
      </c>
    </row>
    <row r="48" spans="1:7" x14ac:dyDescent="0.3">
      <c r="A48" s="125">
        <v>23</v>
      </c>
      <c r="B48" s="147" t="s">
        <v>71</v>
      </c>
      <c r="C48" s="147" t="s">
        <v>22</v>
      </c>
      <c r="D48" s="125"/>
      <c r="E48" s="146"/>
      <c r="F48" s="148">
        <v>-1</v>
      </c>
      <c r="G48" s="289"/>
    </row>
    <row r="49" spans="1:7" x14ac:dyDescent="0.3">
      <c r="A49" s="118">
        <v>23</v>
      </c>
      <c r="B49" s="142" t="s">
        <v>13</v>
      </c>
      <c r="C49" s="142" t="s">
        <v>71</v>
      </c>
      <c r="D49" s="118"/>
      <c r="E49" s="119"/>
      <c r="F49" s="149">
        <v>1</v>
      </c>
      <c r="G49" s="290"/>
    </row>
    <row r="50" spans="1:7" x14ac:dyDescent="0.3">
      <c r="A50" s="111">
        <v>24</v>
      </c>
      <c r="B50" s="139" t="s">
        <v>71</v>
      </c>
      <c r="C50" s="139" t="s">
        <v>20</v>
      </c>
      <c r="D50" s="111"/>
      <c r="E50" s="112"/>
      <c r="F50" s="145">
        <v>-1</v>
      </c>
      <c r="G50" s="294" t="s">
        <v>214</v>
      </c>
    </row>
    <row r="51" spans="1:7" x14ac:dyDescent="0.3">
      <c r="A51" s="125">
        <v>24</v>
      </c>
      <c r="B51" s="147" t="s">
        <v>71</v>
      </c>
      <c r="C51" s="147" t="s">
        <v>23</v>
      </c>
      <c r="D51" s="125"/>
      <c r="E51" s="146"/>
      <c r="F51" s="148">
        <v>-1</v>
      </c>
      <c r="G51" s="289"/>
    </row>
    <row r="52" spans="1:7" x14ac:dyDescent="0.3">
      <c r="A52" s="118">
        <v>24</v>
      </c>
      <c r="B52" s="142" t="s">
        <v>16</v>
      </c>
      <c r="C52" s="142" t="s">
        <v>71</v>
      </c>
      <c r="D52" s="118"/>
      <c r="E52" s="119"/>
      <c r="F52" s="149">
        <v>1</v>
      </c>
      <c r="G52" s="290"/>
    </row>
    <row r="53" spans="1:7" x14ac:dyDescent="0.3">
      <c r="A53" s="91">
        <v>25</v>
      </c>
      <c r="B53" s="92" t="s">
        <v>81</v>
      </c>
      <c r="C53" s="129" t="s">
        <v>58</v>
      </c>
      <c r="D53" s="91"/>
      <c r="E53" s="132">
        <v>-0.7</v>
      </c>
      <c r="F53" s="133">
        <v>-0.55000000000000004</v>
      </c>
      <c r="G53" s="288" t="s">
        <v>215</v>
      </c>
    </row>
    <row r="54" spans="1:7" x14ac:dyDescent="0.3">
      <c r="A54" s="97">
        <v>25</v>
      </c>
      <c r="B54" s="138" t="s">
        <v>59</v>
      </c>
      <c r="C54" s="98" t="s">
        <v>81</v>
      </c>
      <c r="D54" s="97"/>
      <c r="E54" s="138">
        <v>1</v>
      </c>
      <c r="F54" s="150">
        <v>1</v>
      </c>
      <c r="G54" s="290"/>
    </row>
    <row r="55" spans="1:7" ht="13.5" x14ac:dyDescent="0.3">
      <c r="A55" s="91">
        <v>27</v>
      </c>
      <c r="B55" s="151" t="s">
        <v>12</v>
      </c>
      <c r="C55" s="92" t="s">
        <v>147</v>
      </c>
      <c r="D55" s="91">
        <v>1</v>
      </c>
      <c r="E55" s="92"/>
      <c r="F55" s="152"/>
      <c r="G55" s="295" t="s">
        <v>216</v>
      </c>
    </row>
    <row r="56" spans="1:7" x14ac:dyDescent="0.3">
      <c r="A56" s="104">
        <v>27</v>
      </c>
      <c r="B56" s="105" t="s">
        <v>71</v>
      </c>
      <c r="C56" s="153" t="s">
        <v>18</v>
      </c>
      <c r="D56" s="104">
        <v>-0.08</v>
      </c>
      <c r="E56" s="105"/>
      <c r="F56" s="154"/>
      <c r="G56" s="289"/>
    </row>
    <row r="57" spans="1:7" x14ac:dyDescent="0.3">
      <c r="A57" s="104">
        <v>27</v>
      </c>
      <c r="B57" s="105" t="s">
        <v>71</v>
      </c>
      <c r="C57" s="153" t="s">
        <v>21</v>
      </c>
      <c r="D57" s="104">
        <v>-0.15</v>
      </c>
      <c r="E57" s="105"/>
      <c r="F57" s="154"/>
      <c r="G57" s="289"/>
    </row>
    <row r="58" spans="1:7" x14ac:dyDescent="0.3">
      <c r="A58" s="104">
        <v>27</v>
      </c>
      <c r="B58" s="105" t="s">
        <v>71</v>
      </c>
      <c r="C58" s="153" t="s">
        <v>158</v>
      </c>
      <c r="D58" s="104">
        <v>-0.15</v>
      </c>
      <c r="E58" s="105"/>
      <c r="F58" s="154"/>
      <c r="G58" s="289"/>
    </row>
    <row r="59" spans="1:7" ht="13.5" x14ac:dyDescent="0.3">
      <c r="A59" s="97">
        <v>27</v>
      </c>
      <c r="B59" s="155" t="s">
        <v>12</v>
      </c>
      <c r="C59" s="134" t="s">
        <v>85</v>
      </c>
      <c r="D59" s="97">
        <v>-0.15</v>
      </c>
      <c r="E59" s="98"/>
      <c r="F59" s="156"/>
      <c r="G59" s="290"/>
    </row>
    <row r="60" spans="1:7" ht="13.5" x14ac:dyDescent="0.3">
      <c r="A60" s="157">
        <v>28</v>
      </c>
      <c r="B60" s="151" t="s">
        <v>13</v>
      </c>
      <c r="C60" s="92" t="s">
        <v>147</v>
      </c>
      <c r="D60" s="91"/>
      <c r="E60" s="92"/>
      <c r="F60" s="152">
        <v>1</v>
      </c>
      <c r="G60" s="296" t="s">
        <v>217</v>
      </c>
    </row>
    <row r="61" spans="1:7" ht="13.5" x14ac:dyDescent="0.3">
      <c r="A61" s="104">
        <v>28</v>
      </c>
      <c r="B61" s="158" t="s">
        <v>71</v>
      </c>
      <c r="C61" s="153" t="s">
        <v>19</v>
      </c>
      <c r="D61" s="104"/>
      <c r="E61" s="105"/>
      <c r="F61" s="154">
        <v>-0.08</v>
      </c>
      <c r="G61" s="289"/>
    </row>
    <row r="62" spans="1:7" x14ac:dyDescent="0.3">
      <c r="A62" s="104">
        <v>28</v>
      </c>
      <c r="B62" s="105" t="s">
        <v>71</v>
      </c>
      <c r="C62" s="153" t="s">
        <v>22</v>
      </c>
      <c r="D62" s="104"/>
      <c r="E62" s="105"/>
      <c r="F62" s="154">
        <v>-0.15</v>
      </c>
      <c r="G62" s="289"/>
    </row>
    <row r="63" spans="1:7" ht="13.5" x14ac:dyDescent="0.3">
      <c r="A63" s="104">
        <v>28</v>
      </c>
      <c r="B63" s="158" t="s">
        <v>13</v>
      </c>
      <c r="C63" s="153" t="s">
        <v>85</v>
      </c>
      <c r="D63" s="104"/>
      <c r="E63" s="105"/>
      <c r="F63" s="154">
        <v>-0.15</v>
      </c>
      <c r="G63" s="289"/>
    </row>
    <row r="64" spans="1:7" ht="13.5" x14ac:dyDescent="0.3">
      <c r="A64" s="91">
        <v>29</v>
      </c>
      <c r="B64" s="151" t="s">
        <v>16</v>
      </c>
      <c r="C64" s="92" t="s">
        <v>147</v>
      </c>
      <c r="D64" s="91"/>
      <c r="E64" s="92"/>
      <c r="F64" s="152">
        <v>1</v>
      </c>
      <c r="G64" s="288" t="s">
        <v>218</v>
      </c>
    </row>
    <row r="65" spans="1:7" ht="13.5" x14ac:dyDescent="0.3">
      <c r="A65" s="104">
        <v>29</v>
      </c>
      <c r="B65" s="158" t="s">
        <v>71</v>
      </c>
      <c r="C65" s="153" t="s">
        <v>20</v>
      </c>
      <c r="D65" s="104"/>
      <c r="E65" s="105"/>
      <c r="F65" s="154">
        <v>-0.08</v>
      </c>
      <c r="G65" s="289"/>
    </row>
    <row r="66" spans="1:7" ht="13.5" x14ac:dyDescent="0.3">
      <c r="A66" s="104">
        <v>29</v>
      </c>
      <c r="B66" s="158" t="s">
        <v>71</v>
      </c>
      <c r="C66" s="153" t="s">
        <v>23</v>
      </c>
      <c r="D66" s="104"/>
      <c r="E66" s="105"/>
      <c r="F66" s="154">
        <v>-0.15</v>
      </c>
      <c r="G66" s="289"/>
    </row>
    <row r="67" spans="1:7" ht="13.5" x14ac:dyDescent="0.3">
      <c r="A67" s="97">
        <v>29</v>
      </c>
      <c r="B67" s="155" t="s">
        <v>16</v>
      </c>
      <c r="C67" s="134" t="s">
        <v>85</v>
      </c>
      <c r="D67" s="97"/>
      <c r="E67" s="98"/>
      <c r="F67" s="156">
        <v>-0.15</v>
      </c>
      <c r="G67" s="290"/>
    </row>
    <row r="68" spans="1:7" ht="13.5" x14ac:dyDescent="0.3">
      <c r="A68" s="111">
        <v>30</v>
      </c>
      <c r="B68" s="159" t="s">
        <v>37</v>
      </c>
      <c r="C68" s="160" t="s">
        <v>171</v>
      </c>
      <c r="D68" s="111"/>
      <c r="E68" s="112"/>
      <c r="F68" s="145">
        <v>-1.2</v>
      </c>
      <c r="G68" s="291" t="s">
        <v>219</v>
      </c>
    </row>
    <row r="69" spans="1:7" ht="13.5" x14ac:dyDescent="0.3">
      <c r="A69" s="125">
        <v>30</v>
      </c>
      <c r="B69" s="160" t="s">
        <v>21</v>
      </c>
      <c r="C69" s="160" t="s">
        <v>171</v>
      </c>
      <c r="D69" s="125"/>
      <c r="E69" s="146"/>
      <c r="F69" s="148">
        <v>1</v>
      </c>
      <c r="G69" s="289"/>
    </row>
    <row r="70" spans="1:7" ht="13.5" x14ac:dyDescent="0.3">
      <c r="A70" s="125">
        <v>30</v>
      </c>
      <c r="B70" s="160" t="s">
        <v>25</v>
      </c>
      <c r="C70" s="160" t="s">
        <v>171</v>
      </c>
      <c r="D70" s="125"/>
      <c r="E70" s="146"/>
      <c r="F70" s="148">
        <v>1</v>
      </c>
      <c r="G70" s="289"/>
    </row>
    <row r="71" spans="1:7" x14ac:dyDescent="0.3">
      <c r="A71" s="91">
        <v>31</v>
      </c>
      <c r="B71" s="92" t="s">
        <v>11</v>
      </c>
      <c r="C71" s="129" t="s">
        <v>85</v>
      </c>
      <c r="D71" s="91">
        <v>1</v>
      </c>
      <c r="E71" s="92"/>
      <c r="F71" s="152"/>
      <c r="G71" s="292" t="s">
        <v>220</v>
      </c>
    </row>
    <row r="72" spans="1:7" x14ac:dyDescent="0.3">
      <c r="A72" s="97">
        <v>31</v>
      </c>
      <c r="B72" s="134" t="s">
        <v>85</v>
      </c>
      <c r="C72" s="98" t="s">
        <v>160</v>
      </c>
      <c r="D72" s="97">
        <v>-1</v>
      </c>
      <c r="E72" s="98"/>
      <c r="F72" s="156"/>
      <c r="G72" s="290"/>
    </row>
    <row r="73" spans="1:7" x14ac:dyDescent="0.3">
      <c r="A73" s="111">
        <v>32</v>
      </c>
      <c r="B73" s="112" t="s">
        <v>71</v>
      </c>
      <c r="C73" s="113" t="s">
        <v>158</v>
      </c>
      <c r="D73" s="111"/>
      <c r="E73" s="112"/>
      <c r="F73" s="145">
        <v>-0.8</v>
      </c>
      <c r="G73" s="293" t="s">
        <v>221</v>
      </c>
    </row>
    <row r="74" spans="1:7" x14ac:dyDescent="0.3">
      <c r="A74" s="118">
        <v>32</v>
      </c>
      <c r="B74" s="120" t="s">
        <v>158</v>
      </c>
      <c r="C74" s="119" t="s">
        <v>84</v>
      </c>
      <c r="D74" s="118"/>
      <c r="E74" s="119"/>
      <c r="F74" s="149">
        <v>1</v>
      </c>
      <c r="G74" s="290"/>
    </row>
  </sheetData>
  <mergeCells count="27">
    <mergeCell ref="G13:G14"/>
    <mergeCell ref="G2:G3"/>
    <mergeCell ref="G4:G5"/>
    <mergeCell ref="G6:G8"/>
    <mergeCell ref="G9:G10"/>
    <mergeCell ref="G11:G12"/>
    <mergeCell ref="G45:G46"/>
    <mergeCell ref="G15:G16"/>
    <mergeCell ref="G17:G18"/>
    <mergeCell ref="G19:G20"/>
    <mergeCell ref="G21:G22"/>
    <mergeCell ref="G23:G24"/>
    <mergeCell ref="G25:G26"/>
    <mergeCell ref="G27:G28"/>
    <mergeCell ref="G29:G30"/>
    <mergeCell ref="G31:G32"/>
    <mergeCell ref="G41:G42"/>
    <mergeCell ref="G43:G44"/>
    <mergeCell ref="G64:G67"/>
    <mergeCell ref="G68:G70"/>
    <mergeCell ref="G71:G72"/>
    <mergeCell ref="G73:G74"/>
    <mergeCell ref="G47:G49"/>
    <mergeCell ref="G50:G52"/>
    <mergeCell ref="G53:G54"/>
    <mergeCell ref="G55:G59"/>
    <mergeCell ref="G60:G63"/>
  </mergeCells>
  <phoneticPr fontId="3" type="noConversion"/>
  <conditionalFormatting sqref="B54:B61">
    <cfRule type="cellIs" dxfId="7" priority="3" stopIfTrue="1" operator="equal">
      <formula>"NULL"</formula>
    </cfRule>
  </conditionalFormatting>
  <conditionalFormatting sqref="B63">
    <cfRule type="cellIs" dxfId="6" priority="4" stopIfTrue="1" operator="equal">
      <formula>"NULL"</formula>
    </cfRule>
  </conditionalFormatting>
  <conditionalFormatting sqref="B2:C52">
    <cfRule type="cellIs" dxfId="5" priority="2" stopIfTrue="1" operator="equal">
      <formula>"NULL"</formula>
    </cfRule>
  </conditionalFormatting>
  <conditionalFormatting sqref="B33:C40">
    <cfRule type="cellIs" dxfId="4" priority="1" stopIfTrue="1" operator="equal">
      <formula>"NULL"</formula>
    </cfRule>
  </conditionalFormatting>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C7A42-20D0-45A4-B144-863CA50458EF}">
  <sheetPr>
    <tabColor rgb="FF9BBB59"/>
  </sheetPr>
  <dimension ref="A1:T98"/>
  <sheetViews>
    <sheetView topLeftCell="A2" workbookViewId="0">
      <selection activeCell="G5" sqref="G5"/>
    </sheetView>
  </sheetViews>
  <sheetFormatPr baseColWidth="10" defaultRowHeight="12.4" x14ac:dyDescent="0.3"/>
  <cols>
    <col min="2" max="2" width="30.87890625" bestFit="1" customWidth="1"/>
  </cols>
  <sheetData>
    <row r="1" spans="1:20" ht="49.5" x14ac:dyDescent="0.3">
      <c r="A1" s="161" t="s">
        <v>222</v>
      </c>
      <c r="B1" s="162" t="s">
        <v>223</v>
      </c>
      <c r="C1" s="163" t="s">
        <v>224</v>
      </c>
      <c r="D1" s="162" t="s">
        <v>225</v>
      </c>
      <c r="E1" s="162" t="s">
        <v>226</v>
      </c>
      <c r="F1" s="162" t="s">
        <v>227</v>
      </c>
      <c r="G1" s="162" t="s">
        <v>228</v>
      </c>
      <c r="H1" s="164" t="s">
        <v>229</v>
      </c>
      <c r="I1" s="164" t="s">
        <v>230</v>
      </c>
      <c r="J1" s="165" t="s">
        <v>231</v>
      </c>
      <c r="K1" s="166" t="s">
        <v>232</v>
      </c>
      <c r="L1" s="167" t="s">
        <v>233</v>
      </c>
      <c r="M1" s="161" t="s">
        <v>234</v>
      </c>
      <c r="N1" s="162" t="s">
        <v>235</v>
      </c>
      <c r="O1" s="162" t="s">
        <v>236</v>
      </c>
      <c r="P1" s="162" t="s">
        <v>237</v>
      </c>
      <c r="Q1" s="168" t="s">
        <v>238</v>
      </c>
      <c r="R1" s="169" t="s">
        <v>239</v>
      </c>
      <c r="S1" s="170" t="s">
        <v>240</v>
      </c>
      <c r="T1" s="171" t="s">
        <v>241</v>
      </c>
    </row>
    <row r="2" spans="1:20" ht="409.5" x14ac:dyDescent="0.3">
      <c r="A2" s="299" t="s">
        <v>242</v>
      </c>
      <c r="B2" s="300"/>
      <c r="C2" s="172"/>
      <c r="D2" s="173" t="s">
        <v>243</v>
      </c>
      <c r="E2" s="173" t="s">
        <v>244</v>
      </c>
      <c r="F2" s="173" t="s">
        <v>245</v>
      </c>
      <c r="G2" s="173" t="s">
        <v>246</v>
      </c>
      <c r="H2" s="173" t="s">
        <v>246</v>
      </c>
      <c r="I2" s="173" t="s">
        <v>246</v>
      </c>
      <c r="J2" s="174" t="s">
        <v>247</v>
      </c>
      <c r="K2" s="175" t="s">
        <v>248</v>
      </c>
      <c r="L2" s="176" t="s">
        <v>249</v>
      </c>
      <c r="M2" s="177" t="s">
        <v>250</v>
      </c>
      <c r="N2" s="173" t="s">
        <v>251</v>
      </c>
      <c r="O2" s="173" t="s">
        <v>252</v>
      </c>
      <c r="P2" s="173" t="s">
        <v>253</v>
      </c>
      <c r="Q2" s="175" t="s">
        <v>254</v>
      </c>
      <c r="R2" s="175" t="s">
        <v>255</v>
      </c>
      <c r="S2" s="178" t="s">
        <v>256</v>
      </c>
      <c r="T2" s="176" t="s">
        <v>257</v>
      </c>
    </row>
    <row r="3" spans="1:20" x14ac:dyDescent="0.3">
      <c r="A3" s="179" t="s">
        <v>222</v>
      </c>
      <c r="B3" s="180" t="s">
        <v>11</v>
      </c>
      <c r="C3" s="181"/>
      <c r="D3" s="182" t="e">
        <f t="shared" ref="D3:D69" si="0">IF(E3="&gt; saturation",E3,E3/(1-E3))</f>
        <v>#REF!</v>
      </c>
      <c r="E3" s="183" t="e">
        <f>#REF!</f>
        <v>#REF!</v>
      </c>
      <c r="F3" s="184"/>
      <c r="G3" s="185"/>
      <c r="H3" s="186">
        <v>0.2</v>
      </c>
      <c r="I3" s="186">
        <f>1-H3</f>
        <v>0.8</v>
      </c>
      <c r="J3" s="187" t="s">
        <v>258</v>
      </c>
      <c r="K3" s="187">
        <v>1</v>
      </c>
      <c r="L3" s="188" t="e">
        <f>R3</f>
        <v>#REF!</v>
      </c>
      <c r="M3" s="189" t="e">
        <f>H3*#REF!+I3*#REF!</f>
        <v>#NAME?</v>
      </c>
      <c r="N3" s="190" t="e">
        <f>IF(D3="&gt; saturation",M3/(1-0.3)/(1-F3),M3/(1-E3)/(1-F3))</f>
        <v>#REF!</v>
      </c>
      <c r="O3" s="190" t="e">
        <f>IF(D3="&gt; saturation",5*(1-0.3)-0.7*0.3, 5*(1-E3)-0.7*E3)</f>
        <v>#REF!</v>
      </c>
      <c r="P3" s="191" t="e">
        <f t="shared" ref="P3:P69" si="1">O3*N3</f>
        <v>#REF!</v>
      </c>
      <c r="Q3" s="191" t="e">
        <f>(Q$5*#REF!+Q$6*#REF!)</f>
        <v>#REF!</v>
      </c>
      <c r="R3" s="191" t="e">
        <f>IF(OR(D3&gt;0.3,D3="&gt; saturation"),1,1-(0.3-D3)*(H3*#REF!+I3*#REF!))</f>
        <v>#REF!</v>
      </c>
      <c r="S3" s="191" t="e">
        <f>R3/0.4</f>
        <v>#REF!</v>
      </c>
      <c r="T3" s="192" t="e">
        <f>R3*1.5</f>
        <v>#REF!</v>
      </c>
    </row>
    <row r="4" spans="1:20" x14ac:dyDescent="0.3">
      <c r="A4" s="179" t="s">
        <v>222</v>
      </c>
      <c r="B4" s="180" t="s">
        <v>12</v>
      </c>
      <c r="C4" s="181"/>
      <c r="D4" s="182" t="e">
        <f t="shared" si="0"/>
        <v>#REF!</v>
      </c>
      <c r="E4" s="183" t="e">
        <f>#REF!</f>
        <v>#REF!</v>
      </c>
      <c r="F4" s="193"/>
      <c r="G4" s="193"/>
      <c r="H4" s="186">
        <v>0.2</v>
      </c>
      <c r="I4" s="186">
        <f t="shared" ref="I4:I69" si="2">1-H4</f>
        <v>0.8</v>
      </c>
      <c r="J4" s="187" t="s">
        <v>258</v>
      </c>
      <c r="K4" s="187">
        <v>1</v>
      </c>
      <c r="L4" s="188" t="e">
        <f t="shared" ref="L4:L21" si="3">R4</f>
        <v>#REF!</v>
      </c>
      <c r="M4" s="189" t="e">
        <f>H4*#REF!+I4*#REF!</f>
        <v>#NAME?</v>
      </c>
      <c r="N4" s="190" t="e">
        <f t="shared" ref="N4:N67" si="4">IF(D4="&gt; saturation",M4/(1-0.3)/(1-F4),M4/(1-E4)/(1-F4))</f>
        <v>#REF!</v>
      </c>
      <c r="O4" s="190" t="e">
        <f t="shared" ref="O4:O69" si="5">IF(D4="&gt; saturation",5*(1-0.3)-0.7*0.3, 5*(1-E4)-0.7*E4)</f>
        <v>#REF!</v>
      </c>
      <c r="P4" s="191" t="e">
        <f t="shared" si="1"/>
        <v>#REF!</v>
      </c>
      <c r="Q4" s="191" t="e">
        <f>(Q$5*#REF!+Q$6*#REF!)</f>
        <v>#REF!</v>
      </c>
      <c r="R4" s="191" t="e">
        <f>IF(OR(D4&gt;0.3,D4="&gt; saturation"),1,1-(0.3-D4)*(H4*#REF!+I4*#REF!))</f>
        <v>#REF!</v>
      </c>
      <c r="S4" s="191" t="e">
        <f t="shared" ref="S4:S67" si="6">R4/0.4</f>
        <v>#REF!</v>
      </c>
      <c r="T4" s="192" t="e">
        <f t="shared" ref="T4:T67" si="7">R4*1.5</f>
        <v>#REF!</v>
      </c>
    </row>
    <row r="5" spans="1:20" x14ac:dyDescent="0.3">
      <c r="A5" s="179" t="s">
        <v>222</v>
      </c>
      <c r="B5" s="180" t="s">
        <v>13</v>
      </c>
      <c r="C5" s="181"/>
      <c r="D5" s="182" t="e">
        <f t="shared" si="0"/>
        <v>#REF!</v>
      </c>
      <c r="E5" s="183" t="e">
        <f>#REF!</f>
        <v>#REF!</v>
      </c>
      <c r="F5" s="193"/>
      <c r="G5" s="193"/>
      <c r="H5" s="186">
        <v>1</v>
      </c>
      <c r="I5" s="186">
        <f t="shared" si="2"/>
        <v>0</v>
      </c>
      <c r="J5" s="187" t="s">
        <v>258</v>
      </c>
      <c r="K5" s="187">
        <v>1</v>
      </c>
      <c r="L5" s="188" t="e">
        <f t="shared" si="3"/>
        <v>#REF!</v>
      </c>
      <c r="M5" s="189" t="e">
        <f>H5*#REF!+I5*#REF!</f>
        <v>#NAME?</v>
      </c>
      <c r="N5" s="194" t="e">
        <f t="shared" si="4"/>
        <v>#REF!</v>
      </c>
      <c r="O5" s="190" t="e">
        <f t="shared" si="5"/>
        <v>#REF!</v>
      </c>
      <c r="P5" s="191" t="e">
        <f t="shared" si="1"/>
        <v>#REF!</v>
      </c>
      <c r="Q5" s="191">
        <v>0.63</v>
      </c>
      <c r="R5" s="191" t="e">
        <f>IF(OR(D5&gt;0.3,D5="&gt; saturation"),1,1-(0.3-D5)*(H5*#REF!+I5*#REF!))</f>
        <v>#REF!</v>
      </c>
      <c r="S5" s="191" t="e">
        <f t="shared" si="6"/>
        <v>#REF!</v>
      </c>
      <c r="T5" s="192" t="e">
        <f t="shared" si="7"/>
        <v>#REF!</v>
      </c>
    </row>
    <row r="6" spans="1:20" x14ac:dyDescent="0.3">
      <c r="A6" s="179" t="s">
        <v>222</v>
      </c>
      <c r="B6" s="180" t="s">
        <v>16</v>
      </c>
      <c r="C6" s="181"/>
      <c r="D6" s="182" t="e">
        <f t="shared" si="0"/>
        <v>#REF!</v>
      </c>
      <c r="E6" s="183" t="e">
        <f>#REF!</f>
        <v>#REF!</v>
      </c>
      <c r="F6" s="193"/>
      <c r="G6" s="193"/>
      <c r="H6" s="186">
        <v>0</v>
      </c>
      <c r="I6" s="186">
        <f t="shared" si="2"/>
        <v>1</v>
      </c>
      <c r="J6" s="187" t="s">
        <v>258</v>
      </c>
      <c r="K6" s="187">
        <v>1</v>
      </c>
      <c r="L6" s="188" t="e">
        <f t="shared" si="3"/>
        <v>#REF!</v>
      </c>
      <c r="M6" s="189" t="e">
        <f>H6*#REF!+I6*#REF!</f>
        <v>#NAME?</v>
      </c>
      <c r="N6" s="195" t="e">
        <f t="shared" si="4"/>
        <v>#REF!</v>
      </c>
      <c r="O6" s="190" t="e">
        <f t="shared" si="5"/>
        <v>#REF!</v>
      </c>
      <c r="P6" s="191" t="e">
        <f t="shared" si="1"/>
        <v>#REF!</v>
      </c>
      <c r="Q6" s="191">
        <v>0.78</v>
      </c>
      <c r="R6" s="191" t="e">
        <f>IF(OR(D6&gt;0.3,D6="&gt; saturation"),1,1-(0.3-D6)*(H6*#REF!+I6*#REF!))</f>
        <v>#REF!</v>
      </c>
      <c r="S6" s="191" t="e">
        <f t="shared" si="6"/>
        <v>#REF!</v>
      </c>
      <c r="T6" s="192" t="e">
        <f t="shared" si="7"/>
        <v>#REF!</v>
      </c>
    </row>
    <row r="7" spans="1:20" x14ac:dyDescent="0.3">
      <c r="A7" s="179" t="s">
        <v>222</v>
      </c>
      <c r="B7" s="180" t="s">
        <v>17</v>
      </c>
      <c r="C7" s="181"/>
      <c r="D7" s="182" t="e">
        <f t="shared" si="0"/>
        <v>#REF!</v>
      </c>
      <c r="E7" s="183" t="e">
        <f>#REF!</f>
        <v>#REF!</v>
      </c>
      <c r="F7" s="193"/>
      <c r="G7" s="193"/>
      <c r="H7" s="186">
        <v>0.2</v>
      </c>
      <c r="I7" s="186">
        <f t="shared" si="2"/>
        <v>0.8</v>
      </c>
      <c r="J7" s="187" t="s">
        <v>258</v>
      </c>
      <c r="K7" s="187">
        <v>1</v>
      </c>
      <c r="L7" s="188" t="e">
        <f t="shared" si="3"/>
        <v>#REF!</v>
      </c>
      <c r="M7" s="189" t="e">
        <f>H7*#REF!+I7*#REF!</f>
        <v>#NAME?</v>
      </c>
      <c r="N7" s="190" t="e">
        <f t="shared" si="4"/>
        <v>#REF!</v>
      </c>
      <c r="O7" s="190" t="e">
        <f t="shared" si="5"/>
        <v>#REF!</v>
      </c>
      <c r="P7" s="191" t="e">
        <f t="shared" si="1"/>
        <v>#REF!</v>
      </c>
      <c r="Q7" s="191"/>
      <c r="R7" s="191" t="e">
        <f>IF(OR(D7&gt;0.3,D7="&gt; saturation"),1,1-(0.3-D7)*(H7*#REF!+I7*#REF!))</f>
        <v>#REF!</v>
      </c>
      <c r="S7" s="191" t="e">
        <f t="shared" si="6"/>
        <v>#REF!</v>
      </c>
      <c r="T7" s="192" t="e">
        <f t="shared" si="7"/>
        <v>#REF!</v>
      </c>
    </row>
    <row r="8" spans="1:20" x14ac:dyDescent="0.3">
      <c r="A8" s="179" t="s">
        <v>222</v>
      </c>
      <c r="B8" s="180" t="s">
        <v>17</v>
      </c>
      <c r="C8" s="181"/>
      <c r="D8" s="182" t="e">
        <f t="shared" si="0"/>
        <v>#REF!</v>
      </c>
      <c r="E8" s="183" t="e">
        <f>#REF!</f>
        <v>#REF!</v>
      </c>
      <c r="F8" s="193"/>
      <c r="G8" s="193"/>
      <c r="H8" s="186">
        <v>0.2</v>
      </c>
      <c r="I8" s="186">
        <f t="shared" si="2"/>
        <v>0.8</v>
      </c>
      <c r="J8" s="187" t="s">
        <v>259</v>
      </c>
      <c r="K8" s="187">
        <v>1.7413912581760809</v>
      </c>
      <c r="L8" s="188" t="e">
        <f>N8</f>
        <v>#REF!</v>
      </c>
      <c r="M8" s="189" t="e">
        <f>H8*#REF!+I8*#REF!</f>
        <v>#NAME?</v>
      </c>
      <c r="N8" s="190" t="e">
        <f t="shared" si="4"/>
        <v>#REF!</v>
      </c>
      <c r="O8" s="190" t="e">
        <f t="shared" si="5"/>
        <v>#REF!</v>
      </c>
      <c r="P8" s="191" t="e">
        <f t="shared" si="1"/>
        <v>#REF!</v>
      </c>
      <c r="Q8" s="191"/>
      <c r="R8" s="191" t="e">
        <f>IF(OR(D8&gt;0.3,D8="&gt; saturation"),1,1-(0.3-D8)*(H8*#REF!+I8*#REF!))</f>
        <v>#REF!</v>
      </c>
      <c r="S8" s="191" t="e">
        <f t="shared" si="6"/>
        <v>#REF!</v>
      </c>
      <c r="T8" s="192" t="e">
        <f t="shared" si="7"/>
        <v>#REF!</v>
      </c>
    </row>
    <row r="9" spans="1:20" x14ac:dyDescent="0.3">
      <c r="A9" s="179" t="s">
        <v>222</v>
      </c>
      <c r="B9" s="180" t="s">
        <v>18</v>
      </c>
      <c r="C9" s="181"/>
      <c r="D9" s="182" t="e">
        <f t="shared" si="0"/>
        <v>#REF!</v>
      </c>
      <c r="E9" s="183" t="e">
        <f>#REF!</f>
        <v>#REF!</v>
      </c>
      <c r="F9" s="193"/>
      <c r="G9" s="193"/>
      <c r="H9" s="186">
        <v>0.2</v>
      </c>
      <c r="I9" s="186">
        <f t="shared" si="2"/>
        <v>0.8</v>
      </c>
      <c r="J9" s="187" t="s">
        <v>258</v>
      </c>
      <c r="K9" s="187">
        <v>1</v>
      </c>
      <c r="L9" s="188" t="e">
        <f t="shared" ref="L9" si="8">R9</f>
        <v>#REF!</v>
      </c>
      <c r="M9" s="189" t="e">
        <f>H9*#REF!+I9*#REF!</f>
        <v>#NAME?</v>
      </c>
      <c r="N9" s="190" t="e">
        <f t="shared" si="4"/>
        <v>#REF!</v>
      </c>
      <c r="O9" s="190" t="e">
        <f t="shared" si="5"/>
        <v>#REF!</v>
      </c>
      <c r="P9" s="191" t="e">
        <f t="shared" si="1"/>
        <v>#REF!</v>
      </c>
      <c r="Q9" s="191"/>
      <c r="R9" s="191" t="e">
        <f>IF(OR(D9&gt;0.3,D9="&gt; saturation"),1,1-(0.3-D9)*(H9*#REF!+I9*#REF!))</f>
        <v>#REF!</v>
      </c>
      <c r="S9" s="191" t="e">
        <f t="shared" si="6"/>
        <v>#REF!</v>
      </c>
      <c r="T9" s="192" t="e">
        <f t="shared" si="7"/>
        <v>#REF!</v>
      </c>
    </row>
    <row r="10" spans="1:20" x14ac:dyDescent="0.3">
      <c r="A10" s="179" t="s">
        <v>222</v>
      </c>
      <c r="B10" s="180" t="s">
        <v>18</v>
      </c>
      <c r="C10" s="181"/>
      <c r="D10" s="182" t="e">
        <f t="shared" si="0"/>
        <v>#REF!</v>
      </c>
      <c r="E10" s="183" t="e">
        <f>#REF!</f>
        <v>#REF!</v>
      </c>
      <c r="F10" s="193"/>
      <c r="G10" s="193"/>
      <c r="H10" s="186">
        <v>0.2</v>
      </c>
      <c r="I10" s="186">
        <f t="shared" si="2"/>
        <v>0.8</v>
      </c>
      <c r="J10" s="187" t="s">
        <v>260</v>
      </c>
      <c r="K10" s="187">
        <v>1</v>
      </c>
      <c r="L10" s="188" t="e">
        <f t="shared" si="3"/>
        <v>#REF!</v>
      </c>
      <c r="M10" s="189" t="e">
        <f>H10*#REF!+I10*#REF!</f>
        <v>#NAME?</v>
      </c>
      <c r="N10" s="190" t="e">
        <f t="shared" si="4"/>
        <v>#REF!</v>
      </c>
      <c r="O10" s="190" t="e">
        <f t="shared" si="5"/>
        <v>#REF!</v>
      </c>
      <c r="P10" s="191" t="e">
        <f t="shared" si="1"/>
        <v>#REF!</v>
      </c>
      <c r="Q10" s="191"/>
      <c r="R10" s="191" t="e">
        <f>IF(OR(D10&gt;0.3,D10="&gt; saturation"),1,1-(0.3-D10)*(H10*#REF!+I10*#REF!))</f>
        <v>#REF!</v>
      </c>
      <c r="S10" s="191" t="e">
        <f t="shared" si="6"/>
        <v>#REF!</v>
      </c>
      <c r="T10" s="192" t="e">
        <f t="shared" si="7"/>
        <v>#REF!</v>
      </c>
    </row>
    <row r="11" spans="1:20" x14ac:dyDescent="0.3">
      <c r="A11" s="179" t="s">
        <v>222</v>
      </c>
      <c r="B11" s="180" t="s">
        <v>19</v>
      </c>
      <c r="C11" s="181"/>
      <c r="D11" s="182" t="e">
        <f t="shared" si="0"/>
        <v>#REF!</v>
      </c>
      <c r="E11" s="183" t="e">
        <f>#REF!</f>
        <v>#REF!</v>
      </c>
      <c r="F11" s="193"/>
      <c r="G11" s="193"/>
      <c r="H11" s="186">
        <v>1</v>
      </c>
      <c r="I11" s="186">
        <f t="shared" si="2"/>
        <v>0</v>
      </c>
      <c r="J11" s="187" t="s">
        <v>258</v>
      </c>
      <c r="K11" s="187">
        <v>1</v>
      </c>
      <c r="L11" s="188" t="e">
        <f t="shared" si="3"/>
        <v>#REF!</v>
      </c>
      <c r="M11" s="189" t="e">
        <f>H11*#REF!+I11*#REF!</f>
        <v>#NAME?</v>
      </c>
      <c r="N11" s="194" t="e">
        <f t="shared" si="4"/>
        <v>#REF!</v>
      </c>
      <c r="O11" s="190" t="e">
        <f t="shared" si="5"/>
        <v>#REF!</v>
      </c>
      <c r="P11" s="191" t="e">
        <f t="shared" si="1"/>
        <v>#REF!</v>
      </c>
      <c r="Q11" s="191"/>
      <c r="R11" s="191" t="e">
        <f>IF(OR(D11&gt;0.3,D11="&gt; saturation"),1,1-(0.3-D11)*(H11*#REF!+I11*#REF!))</f>
        <v>#REF!</v>
      </c>
      <c r="S11" s="191" t="e">
        <f t="shared" si="6"/>
        <v>#REF!</v>
      </c>
      <c r="T11" s="192" t="e">
        <f t="shared" si="7"/>
        <v>#REF!</v>
      </c>
    </row>
    <row r="12" spans="1:20" x14ac:dyDescent="0.3">
      <c r="A12" s="179" t="s">
        <v>222</v>
      </c>
      <c r="B12" s="180" t="s">
        <v>19</v>
      </c>
      <c r="C12" s="181"/>
      <c r="D12" s="182" t="e">
        <f t="shared" si="0"/>
        <v>#REF!</v>
      </c>
      <c r="E12" s="183" t="e">
        <f>#REF!</f>
        <v>#REF!</v>
      </c>
      <c r="F12" s="193"/>
      <c r="G12" s="193"/>
      <c r="H12" s="186">
        <v>1</v>
      </c>
      <c r="I12" s="186">
        <f t="shared" si="2"/>
        <v>0</v>
      </c>
      <c r="J12" s="187" t="s">
        <v>260</v>
      </c>
      <c r="K12" s="187">
        <v>1</v>
      </c>
      <c r="L12" s="188" t="e">
        <f t="shared" si="3"/>
        <v>#REF!</v>
      </c>
      <c r="M12" s="189" t="e">
        <f>H12*#REF!+I12*#REF!</f>
        <v>#NAME?</v>
      </c>
      <c r="N12" s="194" t="e">
        <f t="shared" si="4"/>
        <v>#REF!</v>
      </c>
      <c r="O12" s="190" t="e">
        <f t="shared" si="5"/>
        <v>#REF!</v>
      </c>
      <c r="P12" s="191" t="e">
        <f t="shared" si="1"/>
        <v>#REF!</v>
      </c>
      <c r="Q12" s="191"/>
      <c r="R12" s="191" t="e">
        <f>IF(OR(D12&gt;0.3,D12="&gt; saturation"),1,1-(0.3-D12)*(H12*#REF!+I12*#REF!))</f>
        <v>#REF!</v>
      </c>
      <c r="S12" s="191" t="e">
        <f t="shared" si="6"/>
        <v>#REF!</v>
      </c>
      <c r="T12" s="192" t="e">
        <f t="shared" si="7"/>
        <v>#REF!</v>
      </c>
    </row>
    <row r="13" spans="1:20" x14ac:dyDescent="0.3">
      <c r="A13" s="179" t="s">
        <v>222</v>
      </c>
      <c r="B13" s="180" t="s">
        <v>20</v>
      </c>
      <c r="C13" s="181"/>
      <c r="D13" s="182" t="e">
        <f t="shared" si="0"/>
        <v>#REF!</v>
      </c>
      <c r="E13" s="183" t="e">
        <f>#REF!</f>
        <v>#REF!</v>
      </c>
      <c r="F13" s="193"/>
      <c r="G13" s="193"/>
      <c r="H13" s="186">
        <v>0</v>
      </c>
      <c r="I13" s="186">
        <f t="shared" si="2"/>
        <v>1</v>
      </c>
      <c r="J13" s="187" t="s">
        <v>258</v>
      </c>
      <c r="K13" s="187">
        <v>1</v>
      </c>
      <c r="L13" s="188" t="e">
        <f t="shared" si="3"/>
        <v>#REF!</v>
      </c>
      <c r="M13" s="189" t="e">
        <f>H13*#REF!+I13*#REF!</f>
        <v>#NAME?</v>
      </c>
      <c r="N13" s="195" t="e">
        <f t="shared" si="4"/>
        <v>#REF!</v>
      </c>
      <c r="O13" s="190" t="e">
        <f t="shared" si="5"/>
        <v>#REF!</v>
      </c>
      <c r="P13" s="191" t="e">
        <f t="shared" si="1"/>
        <v>#REF!</v>
      </c>
      <c r="Q13" s="191"/>
      <c r="R13" s="191" t="e">
        <f>IF(OR(D13&gt;0.3,D13="&gt; saturation"),1,1-(0.3-D13)*(H13*#REF!+I13*#REF!))</f>
        <v>#REF!</v>
      </c>
      <c r="S13" s="191" t="e">
        <f t="shared" si="6"/>
        <v>#REF!</v>
      </c>
      <c r="T13" s="192" t="e">
        <f t="shared" si="7"/>
        <v>#REF!</v>
      </c>
    </row>
    <row r="14" spans="1:20" x14ac:dyDescent="0.3">
      <c r="A14" s="179" t="s">
        <v>222</v>
      </c>
      <c r="B14" s="180" t="s">
        <v>20</v>
      </c>
      <c r="C14" s="181"/>
      <c r="D14" s="182" t="e">
        <f t="shared" si="0"/>
        <v>#REF!</v>
      </c>
      <c r="E14" s="183" t="e">
        <f>#REF!</f>
        <v>#REF!</v>
      </c>
      <c r="F14" s="193"/>
      <c r="G14" s="193"/>
      <c r="H14" s="186">
        <v>0</v>
      </c>
      <c r="I14" s="186">
        <f t="shared" si="2"/>
        <v>1</v>
      </c>
      <c r="J14" s="187" t="s">
        <v>260</v>
      </c>
      <c r="K14" s="187">
        <v>1</v>
      </c>
      <c r="L14" s="188" t="e">
        <f t="shared" si="3"/>
        <v>#REF!</v>
      </c>
      <c r="M14" s="189" t="e">
        <f>H14*#REF!+I14*#REF!</f>
        <v>#NAME?</v>
      </c>
      <c r="N14" s="195" t="e">
        <f t="shared" si="4"/>
        <v>#REF!</v>
      </c>
      <c r="O14" s="190" t="e">
        <f t="shared" si="5"/>
        <v>#REF!</v>
      </c>
      <c r="P14" s="191" t="e">
        <f t="shared" si="1"/>
        <v>#REF!</v>
      </c>
      <c r="Q14" s="191"/>
      <c r="R14" s="191" t="e">
        <f>IF(OR(D14&gt;0.3,D14="&gt; saturation"),1,1-(0.3-D14)*(H14*#REF!+I14*#REF!))</f>
        <v>#REF!</v>
      </c>
      <c r="S14" s="191" t="e">
        <f t="shared" si="6"/>
        <v>#REF!</v>
      </c>
      <c r="T14" s="192" t="e">
        <f t="shared" si="7"/>
        <v>#REF!</v>
      </c>
    </row>
    <row r="15" spans="1:20" x14ac:dyDescent="0.3">
      <c r="A15" s="179" t="s">
        <v>222</v>
      </c>
      <c r="B15" s="180" t="s">
        <v>21</v>
      </c>
      <c r="C15" s="181" t="s">
        <v>261</v>
      </c>
      <c r="D15" s="182" t="e">
        <f t="shared" si="0"/>
        <v>#REF!</v>
      </c>
      <c r="E15" s="183" t="e">
        <f>#REF!</f>
        <v>#REF!</v>
      </c>
      <c r="F15" s="193"/>
      <c r="G15" s="193"/>
      <c r="H15" s="186">
        <v>0.2</v>
      </c>
      <c r="I15" s="186">
        <f t="shared" si="2"/>
        <v>0.8</v>
      </c>
      <c r="J15" s="187" t="s">
        <v>260</v>
      </c>
      <c r="K15" s="187">
        <v>1</v>
      </c>
      <c r="L15" s="188" t="e">
        <f t="shared" si="3"/>
        <v>#REF!</v>
      </c>
      <c r="M15" s="189" t="e">
        <f>H15*#REF!+I15*#REF!</f>
        <v>#NAME?</v>
      </c>
      <c r="N15" s="190" t="e">
        <f t="shared" si="4"/>
        <v>#REF!</v>
      </c>
      <c r="O15" s="190" t="e">
        <f t="shared" si="5"/>
        <v>#REF!</v>
      </c>
      <c r="P15" s="191" t="e">
        <f t="shared" si="1"/>
        <v>#REF!</v>
      </c>
      <c r="Q15" s="191"/>
      <c r="R15" s="191" t="e">
        <f>IF(OR(D15&gt;0.3,D15="&gt; saturation"),1,1-(0.3-D15)*(H15*#REF!+I15*#REF!))</f>
        <v>#REF!</v>
      </c>
      <c r="S15" s="191" t="e">
        <f t="shared" si="6"/>
        <v>#REF!</v>
      </c>
      <c r="T15" s="192" t="e">
        <f t="shared" si="7"/>
        <v>#REF!</v>
      </c>
    </row>
    <row r="16" spans="1:20" x14ac:dyDescent="0.3">
      <c r="A16" s="179" t="s">
        <v>222</v>
      </c>
      <c r="B16" s="180" t="s">
        <v>21</v>
      </c>
      <c r="C16" s="181" t="s">
        <v>261</v>
      </c>
      <c r="D16" s="182" t="e">
        <f t="shared" si="0"/>
        <v>#REF!</v>
      </c>
      <c r="E16" s="183" t="e">
        <f>#REF!</f>
        <v>#REF!</v>
      </c>
      <c r="F16" s="193"/>
      <c r="G16" s="193"/>
      <c r="H16" s="186">
        <v>0.2</v>
      </c>
      <c r="I16" s="186">
        <f t="shared" si="2"/>
        <v>0.8</v>
      </c>
      <c r="J16" s="187" t="s">
        <v>259</v>
      </c>
      <c r="K16" s="187">
        <v>1.7413912581760809</v>
      </c>
      <c r="L16" s="188" t="e">
        <f>N16</f>
        <v>#REF!</v>
      </c>
      <c r="M16" s="189" t="e">
        <f>H16*#REF!+I16*#REF!</f>
        <v>#NAME?</v>
      </c>
      <c r="N16" s="190" t="e">
        <f t="shared" si="4"/>
        <v>#REF!</v>
      </c>
      <c r="O16" s="190" t="e">
        <f t="shared" si="5"/>
        <v>#REF!</v>
      </c>
      <c r="P16" s="191" t="e">
        <f t="shared" si="1"/>
        <v>#REF!</v>
      </c>
      <c r="Q16" s="191"/>
      <c r="R16" s="191" t="e">
        <f>IF(OR(D16&gt;0.3,D16="&gt; saturation"),1,1-(0.3-D16)*(H16*#REF!+I16*#REF!))</f>
        <v>#REF!</v>
      </c>
      <c r="S16" s="191" t="e">
        <f t="shared" si="6"/>
        <v>#REF!</v>
      </c>
      <c r="T16" s="192" t="e">
        <f t="shared" si="7"/>
        <v>#REF!</v>
      </c>
    </row>
    <row r="17" spans="1:20" x14ac:dyDescent="0.3">
      <c r="A17" s="179" t="s">
        <v>222</v>
      </c>
      <c r="B17" s="180" t="s">
        <v>22</v>
      </c>
      <c r="C17" s="181"/>
      <c r="D17" s="182" t="e">
        <f t="shared" si="0"/>
        <v>#REF!</v>
      </c>
      <c r="E17" s="183" t="e">
        <f>#REF!</f>
        <v>#REF!</v>
      </c>
      <c r="F17" s="193"/>
      <c r="G17" s="193"/>
      <c r="H17" s="186">
        <v>1</v>
      </c>
      <c r="I17" s="186">
        <f t="shared" si="2"/>
        <v>0</v>
      </c>
      <c r="J17" s="187" t="s">
        <v>258</v>
      </c>
      <c r="K17" s="187">
        <v>1</v>
      </c>
      <c r="L17" s="188" t="e">
        <f t="shared" ref="L17" si="9">R17</f>
        <v>#REF!</v>
      </c>
      <c r="M17" s="189" t="e">
        <f>H17*#REF!+I17*#REF!</f>
        <v>#NAME?</v>
      </c>
      <c r="N17" s="194" t="e">
        <f t="shared" si="4"/>
        <v>#REF!</v>
      </c>
      <c r="O17" s="190" t="e">
        <f t="shared" si="5"/>
        <v>#REF!</v>
      </c>
      <c r="P17" s="191" t="e">
        <f t="shared" si="1"/>
        <v>#REF!</v>
      </c>
      <c r="Q17" s="191"/>
      <c r="R17" s="191" t="e">
        <f>IF(OR(D17&gt;0.3,D17="&gt; saturation"),1,1-(0.3-D17)*(H17*#REF!+I17*#REF!))</f>
        <v>#REF!</v>
      </c>
      <c r="S17" s="191" t="e">
        <f t="shared" si="6"/>
        <v>#REF!</v>
      </c>
      <c r="T17" s="192" t="e">
        <f t="shared" si="7"/>
        <v>#REF!</v>
      </c>
    </row>
    <row r="18" spans="1:20" x14ac:dyDescent="0.3">
      <c r="A18" s="179" t="s">
        <v>222</v>
      </c>
      <c r="B18" s="180" t="s">
        <v>22</v>
      </c>
      <c r="C18" s="181"/>
      <c r="D18" s="182" t="e">
        <f t="shared" si="0"/>
        <v>#REF!</v>
      </c>
      <c r="E18" s="183" t="e">
        <f>#REF!</f>
        <v>#REF!</v>
      </c>
      <c r="F18" s="193"/>
      <c r="G18" s="193"/>
      <c r="H18" s="186">
        <v>1</v>
      </c>
      <c r="I18" s="186">
        <f t="shared" si="2"/>
        <v>0</v>
      </c>
      <c r="J18" s="187" t="s">
        <v>259</v>
      </c>
      <c r="K18" s="187">
        <v>1.369307787527249</v>
      </c>
      <c r="L18" s="188" t="e">
        <f>N18</f>
        <v>#REF!</v>
      </c>
      <c r="M18" s="189" t="e">
        <f>H18*#REF!+I18*#REF!</f>
        <v>#NAME?</v>
      </c>
      <c r="N18" s="194" t="e">
        <f t="shared" si="4"/>
        <v>#REF!</v>
      </c>
      <c r="O18" s="190" t="e">
        <f t="shared" si="5"/>
        <v>#REF!</v>
      </c>
      <c r="P18" s="191" t="e">
        <f t="shared" si="1"/>
        <v>#REF!</v>
      </c>
      <c r="Q18" s="191"/>
      <c r="R18" s="191" t="e">
        <f>IF(OR(D18&gt;0.3,D18="&gt; saturation"),1,1-(0.3-D18)*(H18*#REF!+I18*#REF!))</f>
        <v>#REF!</v>
      </c>
      <c r="S18" s="191" t="e">
        <f t="shared" si="6"/>
        <v>#REF!</v>
      </c>
      <c r="T18" s="192" t="e">
        <f t="shared" si="7"/>
        <v>#REF!</v>
      </c>
    </row>
    <row r="19" spans="1:20" x14ac:dyDescent="0.3">
      <c r="A19" s="179" t="s">
        <v>222</v>
      </c>
      <c r="B19" s="180" t="s">
        <v>22</v>
      </c>
      <c r="C19" s="181"/>
      <c r="D19" s="182" t="e">
        <f t="shared" si="0"/>
        <v>#REF!</v>
      </c>
      <c r="E19" s="183" t="e">
        <f>#REF!</f>
        <v>#REF!</v>
      </c>
      <c r="F19" s="193"/>
      <c r="G19" s="193"/>
      <c r="H19" s="186">
        <v>1</v>
      </c>
      <c r="I19" s="186">
        <f t="shared" si="2"/>
        <v>0</v>
      </c>
      <c r="J19" s="187" t="s">
        <v>260</v>
      </c>
      <c r="K19" s="187">
        <v>1</v>
      </c>
      <c r="L19" s="188" t="e">
        <f t="shared" si="3"/>
        <v>#REF!</v>
      </c>
      <c r="M19" s="189" t="e">
        <f>H19*#REF!+I19*#REF!</f>
        <v>#NAME?</v>
      </c>
      <c r="N19" s="194" t="e">
        <f t="shared" si="4"/>
        <v>#REF!</v>
      </c>
      <c r="O19" s="190" t="e">
        <f t="shared" si="5"/>
        <v>#REF!</v>
      </c>
      <c r="P19" s="191" t="e">
        <f t="shared" si="1"/>
        <v>#REF!</v>
      </c>
      <c r="Q19" s="191"/>
      <c r="R19" s="191" t="e">
        <f>IF(OR(D19&gt;0.3,D19="&gt; saturation"),1,1-(0.3-D19)*(H19*#REF!+I19*#REF!))</f>
        <v>#REF!</v>
      </c>
      <c r="S19" s="191" t="e">
        <f t="shared" si="6"/>
        <v>#REF!</v>
      </c>
      <c r="T19" s="192" t="e">
        <f t="shared" si="7"/>
        <v>#REF!</v>
      </c>
    </row>
    <row r="20" spans="1:20" x14ac:dyDescent="0.3">
      <c r="A20" s="179" t="s">
        <v>222</v>
      </c>
      <c r="B20" s="180" t="s">
        <v>23</v>
      </c>
      <c r="C20" s="181"/>
      <c r="D20" s="182" t="e">
        <f t="shared" si="0"/>
        <v>#REF!</v>
      </c>
      <c r="E20" s="183" t="e">
        <f>#REF!</f>
        <v>#REF!</v>
      </c>
      <c r="F20" s="193"/>
      <c r="G20" s="193"/>
      <c r="H20" s="186">
        <v>0</v>
      </c>
      <c r="I20" s="186">
        <f t="shared" si="2"/>
        <v>1</v>
      </c>
      <c r="J20" s="187" t="s">
        <v>260</v>
      </c>
      <c r="K20" s="187">
        <v>1</v>
      </c>
      <c r="L20" s="188" t="e">
        <f t="shared" si="3"/>
        <v>#REF!</v>
      </c>
      <c r="M20" s="189" t="e">
        <f>H20*#REF!+I20*#REF!</f>
        <v>#NAME?</v>
      </c>
      <c r="N20" s="195" t="e">
        <f t="shared" si="4"/>
        <v>#REF!</v>
      </c>
      <c r="O20" s="190" t="e">
        <f t="shared" si="5"/>
        <v>#REF!</v>
      </c>
      <c r="P20" s="191" t="e">
        <f t="shared" si="1"/>
        <v>#REF!</v>
      </c>
      <c r="Q20" s="191"/>
      <c r="R20" s="191" t="e">
        <f>IF(OR(D20&gt;0.3,D20="&gt; saturation"),1,1-(0.3-D20)*(H20*#REF!+I20*#REF!))</f>
        <v>#REF!</v>
      </c>
      <c r="S20" s="191" t="e">
        <f t="shared" si="6"/>
        <v>#REF!</v>
      </c>
      <c r="T20" s="192" t="e">
        <f t="shared" si="7"/>
        <v>#REF!</v>
      </c>
    </row>
    <row r="21" spans="1:20" x14ac:dyDescent="0.3">
      <c r="A21" s="179" t="s">
        <v>222</v>
      </c>
      <c r="B21" s="180" t="s">
        <v>23</v>
      </c>
      <c r="C21" s="181"/>
      <c r="D21" s="182" t="e">
        <f t="shared" si="0"/>
        <v>#REF!</v>
      </c>
      <c r="E21" s="183" t="e">
        <f>#REF!</f>
        <v>#REF!</v>
      </c>
      <c r="F21" s="193"/>
      <c r="G21" s="193"/>
      <c r="H21" s="186">
        <v>0</v>
      </c>
      <c r="I21" s="186">
        <f t="shared" si="2"/>
        <v>1</v>
      </c>
      <c r="J21" s="187" t="s">
        <v>258</v>
      </c>
      <c r="K21" s="187">
        <v>1</v>
      </c>
      <c r="L21" s="188" t="e">
        <f t="shared" si="3"/>
        <v>#REF!</v>
      </c>
      <c r="M21" s="189" t="e">
        <f>H21*#REF!+I21*#REF!</f>
        <v>#NAME?</v>
      </c>
      <c r="N21" s="195" t="e">
        <f t="shared" si="4"/>
        <v>#REF!</v>
      </c>
      <c r="O21" s="190" t="e">
        <f t="shared" si="5"/>
        <v>#REF!</v>
      </c>
      <c r="P21" s="191" t="e">
        <f t="shared" si="1"/>
        <v>#REF!</v>
      </c>
      <c r="Q21" s="191"/>
      <c r="R21" s="191" t="e">
        <f>IF(OR(D21&gt;0.3,D21="&gt; saturation"),1,1-(0.3-D21)*(H21*#REF!+I21*#REF!))</f>
        <v>#REF!</v>
      </c>
      <c r="S21" s="191" t="e">
        <f t="shared" si="6"/>
        <v>#REF!</v>
      </c>
      <c r="T21" s="192" t="e">
        <f t="shared" si="7"/>
        <v>#REF!</v>
      </c>
    </row>
    <row r="22" spans="1:20" x14ac:dyDescent="0.3">
      <c r="A22" s="179" t="s">
        <v>222</v>
      </c>
      <c r="B22" s="180" t="s">
        <v>23</v>
      </c>
      <c r="C22" s="181"/>
      <c r="D22" s="182" t="e">
        <f t="shared" si="0"/>
        <v>#REF!</v>
      </c>
      <c r="E22" s="183" t="e">
        <f>#REF!</f>
        <v>#REF!</v>
      </c>
      <c r="F22" s="193"/>
      <c r="G22" s="193"/>
      <c r="H22" s="186">
        <v>0</v>
      </c>
      <c r="I22" s="186">
        <f t="shared" si="2"/>
        <v>1</v>
      </c>
      <c r="J22" s="187" t="s">
        <v>259</v>
      </c>
      <c r="K22" s="187">
        <v>1.8683107801532015</v>
      </c>
      <c r="L22" s="188" t="e">
        <f>N22</f>
        <v>#REF!</v>
      </c>
      <c r="M22" s="189" t="e">
        <f>H22*#REF!+I22*#REF!</f>
        <v>#NAME?</v>
      </c>
      <c r="N22" s="195" t="e">
        <f t="shared" si="4"/>
        <v>#REF!</v>
      </c>
      <c r="O22" s="190" t="e">
        <f t="shared" si="5"/>
        <v>#REF!</v>
      </c>
      <c r="P22" s="191" t="e">
        <f t="shared" si="1"/>
        <v>#REF!</v>
      </c>
      <c r="Q22" s="191"/>
      <c r="R22" s="191" t="e">
        <f>IF(OR(D22&gt;0.3,D22="&gt; saturation"),1,1-(0.3-D22)*(H22*#REF!+I22*#REF!))</f>
        <v>#REF!</v>
      </c>
      <c r="S22" s="191" t="e">
        <f t="shared" si="6"/>
        <v>#REF!</v>
      </c>
      <c r="T22" s="192" t="e">
        <f t="shared" si="7"/>
        <v>#REF!</v>
      </c>
    </row>
    <row r="23" spans="1:20" x14ac:dyDescent="0.3">
      <c r="A23" s="179" t="s">
        <v>222</v>
      </c>
      <c r="B23" s="180" t="s">
        <v>159</v>
      </c>
      <c r="C23" s="181"/>
      <c r="D23" s="182" t="e">
        <f t="shared" si="0"/>
        <v>#REF!</v>
      </c>
      <c r="E23" s="183" t="e">
        <f>#REF!</f>
        <v>#REF!</v>
      </c>
      <c r="F23" s="193"/>
      <c r="G23" s="193"/>
      <c r="H23" s="185">
        <v>0.2</v>
      </c>
      <c r="I23" s="186">
        <f t="shared" si="2"/>
        <v>0.8</v>
      </c>
      <c r="J23" s="187" t="s">
        <v>258</v>
      </c>
      <c r="K23" s="187">
        <v>1.0005612238864892</v>
      </c>
      <c r="L23" s="188" t="e">
        <f>R23</f>
        <v>#REF!</v>
      </c>
      <c r="M23" s="189" t="e">
        <f>H23*#REF!+I23*#REF!</f>
        <v>#NAME?</v>
      </c>
      <c r="N23" s="196" t="e">
        <f t="shared" si="4"/>
        <v>#REF!</v>
      </c>
      <c r="O23" s="194" t="e">
        <f t="shared" si="5"/>
        <v>#REF!</v>
      </c>
      <c r="P23" s="191" t="e">
        <f t="shared" si="1"/>
        <v>#REF!</v>
      </c>
      <c r="Q23" s="191"/>
      <c r="R23" s="191" t="e">
        <f>IF(OR(D23&gt;0.3,D23="&gt; saturation"),1,1-(0.3-D23)*(H23*#REF!+I23*#REF!))</f>
        <v>#REF!</v>
      </c>
      <c r="S23" s="191" t="e">
        <f t="shared" si="6"/>
        <v>#REF!</v>
      </c>
      <c r="T23" s="192" t="e">
        <f t="shared" si="7"/>
        <v>#REF!</v>
      </c>
    </row>
    <row r="24" spans="1:20" x14ac:dyDescent="0.3">
      <c r="A24" s="179" t="s">
        <v>222</v>
      </c>
      <c r="B24" s="180" t="s">
        <v>159</v>
      </c>
      <c r="C24" s="181"/>
      <c r="D24" s="182" t="e">
        <f t="shared" si="0"/>
        <v>#REF!</v>
      </c>
      <c r="E24" s="183" t="e">
        <f>#REF!</f>
        <v>#REF!</v>
      </c>
      <c r="F24" s="193"/>
      <c r="G24" s="193"/>
      <c r="H24" s="185">
        <v>0.2</v>
      </c>
      <c r="I24" s="186">
        <f t="shared" si="2"/>
        <v>0.8</v>
      </c>
      <c r="J24" s="187" t="s">
        <v>259</v>
      </c>
      <c r="K24" s="187">
        <v>1.9155303839936892</v>
      </c>
      <c r="L24" s="188" t="e">
        <f>N24</f>
        <v>#REF!</v>
      </c>
      <c r="M24" s="189" t="e">
        <f>H24*#REF!+I24*#REF!</f>
        <v>#NAME?</v>
      </c>
      <c r="N24" s="196" t="e">
        <f t="shared" si="4"/>
        <v>#REF!</v>
      </c>
      <c r="O24" s="194" t="e">
        <f t="shared" si="5"/>
        <v>#REF!</v>
      </c>
      <c r="P24" s="191" t="e">
        <f t="shared" si="1"/>
        <v>#REF!</v>
      </c>
      <c r="Q24" s="191"/>
      <c r="R24" s="191" t="e">
        <f>IF(OR(D24&gt;0.3,D24="&gt; saturation"),1,1-(0.3-D24)*(H24*#REF!+I24*#REF!))</f>
        <v>#REF!</v>
      </c>
      <c r="S24" s="191" t="e">
        <f t="shared" si="6"/>
        <v>#REF!</v>
      </c>
      <c r="T24" s="192" t="e">
        <f t="shared" si="7"/>
        <v>#REF!</v>
      </c>
    </row>
    <row r="25" spans="1:20" x14ac:dyDescent="0.3">
      <c r="A25" s="179" t="s">
        <v>222</v>
      </c>
      <c r="B25" s="180" t="s">
        <v>159</v>
      </c>
      <c r="C25" s="181"/>
      <c r="D25" s="182" t="e">
        <f>IF(E25="&gt; saturation",E25,E25/(1-E25))</f>
        <v>#REF!</v>
      </c>
      <c r="E25" s="183" t="e">
        <f>#REF!</f>
        <v>#REF!</v>
      </c>
      <c r="F25" s="193"/>
      <c r="G25" s="193"/>
      <c r="H25" s="185">
        <v>0.2</v>
      </c>
      <c r="I25" s="186">
        <f>1-H25</f>
        <v>0.8</v>
      </c>
      <c r="J25" s="187" t="s">
        <v>262</v>
      </c>
      <c r="K25" s="187">
        <v>0.66666666666666663</v>
      </c>
      <c r="L25" s="188" t="e">
        <f>T25</f>
        <v>#REF!</v>
      </c>
      <c r="M25" s="189" t="e">
        <f>H25*#REF!+I25*#REF!</f>
        <v>#NAME?</v>
      </c>
      <c r="N25" s="196" t="e">
        <f>IF(D25="&gt; saturation",M25/(1-0.3)/(1-F25),M25/(1-E25)/(1-F25))</f>
        <v>#REF!</v>
      </c>
      <c r="O25" s="194" t="e">
        <f>IF(D25="&gt; saturation",5*(1-0.3)-0.7*0.3, 5*(1-E25)-0.7*E25)</f>
        <v>#REF!</v>
      </c>
      <c r="P25" s="191" t="e">
        <f>O25*N25</f>
        <v>#REF!</v>
      </c>
      <c r="Q25" s="191"/>
      <c r="R25" s="191" t="e">
        <f>IF(OR(D25&gt;0.3,D25="&gt; saturation"),1,1-(0.3-D25)*(H25*#REF!+I25*#REF!))</f>
        <v>#REF!</v>
      </c>
      <c r="S25" s="191" t="e">
        <f t="shared" si="6"/>
        <v>#REF!</v>
      </c>
      <c r="T25" s="192" t="e">
        <f t="shared" si="7"/>
        <v>#REF!</v>
      </c>
    </row>
    <row r="26" spans="1:20" x14ac:dyDescent="0.3">
      <c r="A26" s="179" t="s">
        <v>222</v>
      </c>
      <c r="B26" s="180" t="s">
        <v>158</v>
      </c>
      <c r="C26" s="181"/>
      <c r="D26" s="182" t="e">
        <f t="shared" si="0"/>
        <v>#REF!</v>
      </c>
      <c r="E26" s="183" t="e">
        <f>#REF!</f>
        <v>#REF!</v>
      </c>
      <c r="F26" s="184"/>
      <c r="G26" s="193"/>
      <c r="H26" s="185">
        <v>0.2</v>
      </c>
      <c r="I26" s="186">
        <f t="shared" si="2"/>
        <v>0.8</v>
      </c>
      <c r="J26" s="187" t="s">
        <v>259</v>
      </c>
      <c r="K26" s="187">
        <v>1.9155303839936892</v>
      </c>
      <c r="L26" s="188" t="e">
        <f>N26</f>
        <v>#REF!</v>
      </c>
      <c r="M26" s="189" t="e">
        <f>H26*#REF!+I26*#REF!</f>
        <v>#NAME?</v>
      </c>
      <c r="N26" s="196" t="e">
        <f t="shared" si="4"/>
        <v>#REF!</v>
      </c>
      <c r="O26" s="194" t="e">
        <f t="shared" si="5"/>
        <v>#REF!</v>
      </c>
      <c r="P26" s="191" t="e">
        <f t="shared" si="1"/>
        <v>#REF!</v>
      </c>
      <c r="Q26" s="191"/>
      <c r="R26" s="191" t="e">
        <f>IF(OR(D26&gt;0.3,D26="&gt; saturation"),1,1-(0.3-D26)*(H26*#REF!+I26*#REF!))</f>
        <v>#REF!</v>
      </c>
      <c r="S26" s="191" t="e">
        <f t="shared" si="6"/>
        <v>#REF!</v>
      </c>
      <c r="T26" s="192" t="e">
        <f t="shared" si="7"/>
        <v>#REF!</v>
      </c>
    </row>
    <row r="27" spans="1:20" x14ac:dyDescent="0.3">
      <c r="A27" s="179" t="s">
        <v>222</v>
      </c>
      <c r="B27" s="180" t="s">
        <v>158</v>
      </c>
      <c r="C27" s="181"/>
      <c r="D27" s="182" t="e">
        <f t="shared" si="0"/>
        <v>#REF!</v>
      </c>
      <c r="E27" s="183" t="e">
        <f>#REF!</f>
        <v>#REF!</v>
      </c>
      <c r="F27" s="184"/>
      <c r="G27" s="185"/>
      <c r="H27" s="185">
        <v>0.2</v>
      </c>
      <c r="I27" s="186">
        <f t="shared" si="2"/>
        <v>0.8</v>
      </c>
      <c r="J27" s="187" t="s">
        <v>258</v>
      </c>
      <c r="K27" s="187">
        <v>1.0005612238864892</v>
      </c>
      <c r="L27" s="188" t="e">
        <f>R27</f>
        <v>#REF!</v>
      </c>
      <c r="M27" s="189" t="e">
        <f>H27*#REF!+I27*#REF!</f>
        <v>#NAME?</v>
      </c>
      <c r="N27" s="196" t="e">
        <f t="shared" si="4"/>
        <v>#REF!</v>
      </c>
      <c r="O27" s="194" t="e">
        <f t="shared" si="5"/>
        <v>#REF!</v>
      </c>
      <c r="P27" s="191" t="e">
        <f t="shared" si="1"/>
        <v>#REF!</v>
      </c>
      <c r="Q27" s="191"/>
      <c r="R27" s="191" t="e">
        <f>IF(OR(D27&gt;0.3,D27="&gt; saturation"),1,1-(0.3-D27)*(H27*#REF!+I27*#REF!))</f>
        <v>#REF!</v>
      </c>
      <c r="S27" s="191" t="e">
        <f t="shared" si="6"/>
        <v>#REF!</v>
      </c>
      <c r="T27" s="192" t="e">
        <f t="shared" si="7"/>
        <v>#REF!</v>
      </c>
    </row>
    <row r="28" spans="1:20" x14ac:dyDescent="0.3">
      <c r="A28" s="179" t="s">
        <v>222</v>
      </c>
      <c r="B28" s="180" t="s">
        <v>158</v>
      </c>
      <c r="C28" s="181"/>
      <c r="D28" s="182" t="e">
        <f t="shared" si="0"/>
        <v>#REF!</v>
      </c>
      <c r="E28" s="183" t="e">
        <f>#REF!</f>
        <v>#REF!</v>
      </c>
      <c r="F28" s="184"/>
      <c r="G28" s="185"/>
      <c r="H28" s="185">
        <v>0.2</v>
      </c>
      <c r="I28" s="186">
        <f t="shared" si="2"/>
        <v>0.8</v>
      </c>
      <c r="J28" s="187" t="s">
        <v>260</v>
      </c>
      <c r="K28" s="187">
        <v>1.0005612238864892</v>
      </c>
      <c r="L28" s="188" t="e">
        <f>R28</f>
        <v>#REF!</v>
      </c>
      <c r="M28" s="189" t="e">
        <f>H28*#REF!+I28*#REF!</f>
        <v>#NAME?</v>
      </c>
      <c r="N28" s="196" t="e">
        <f t="shared" si="4"/>
        <v>#REF!</v>
      </c>
      <c r="O28" s="194" t="e">
        <f t="shared" si="5"/>
        <v>#REF!</v>
      </c>
      <c r="P28" s="191" t="e">
        <f t="shared" si="1"/>
        <v>#REF!</v>
      </c>
      <c r="Q28" s="191"/>
      <c r="R28" s="191" t="e">
        <f>IF(OR(D28&gt;0.3,D28="&gt; saturation"),1,1-(0.3-D28)*(H28*#REF!+I28*#REF!))</f>
        <v>#REF!</v>
      </c>
      <c r="S28" s="191" t="e">
        <f t="shared" si="6"/>
        <v>#REF!</v>
      </c>
      <c r="T28" s="192" t="e">
        <f t="shared" si="7"/>
        <v>#REF!</v>
      </c>
    </row>
    <row r="29" spans="1:20" x14ac:dyDescent="0.3">
      <c r="A29" s="179" t="s">
        <v>222</v>
      </c>
      <c r="B29" s="180" t="s">
        <v>158</v>
      </c>
      <c r="C29" s="181"/>
      <c r="D29" s="182" t="e">
        <f t="shared" si="0"/>
        <v>#REF!</v>
      </c>
      <c r="E29" s="183" t="e">
        <f>#REF!</f>
        <v>#REF!</v>
      </c>
      <c r="F29" s="184"/>
      <c r="G29" s="193"/>
      <c r="H29" s="185">
        <v>0.2</v>
      </c>
      <c r="I29" s="186">
        <f t="shared" si="2"/>
        <v>0.8</v>
      </c>
      <c r="J29" s="187" t="s">
        <v>262</v>
      </c>
      <c r="K29" s="187">
        <v>0.66666666666666663</v>
      </c>
      <c r="L29" s="188" t="e">
        <f>T29</f>
        <v>#REF!</v>
      </c>
      <c r="M29" s="189" t="e">
        <f>H29*#REF!+I29*#REF!</f>
        <v>#NAME?</v>
      </c>
      <c r="N29" s="196" t="e">
        <f>IF(D29="&gt; saturation",M29/(1-0.3)/(1-F29),M29/(1-E29)/(1-F29))</f>
        <v>#REF!</v>
      </c>
      <c r="O29" s="194" t="e">
        <f t="shared" si="5"/>
        <v>#REF!</v>
      </c>
      <c r="P29" s="191" t="e">
        <f t="shared" si="1"/>
        <v>#REF!</v>
      </c>
      <c r="Q29" s="191"/>
      <c r="R29" s="191" t="e">
        <f>IF(OR(D29&gt;0.3,D29="&gt; saturation"),1,1-(0.3-D29)*(H29*#REF!+I29*#REF!))</f>
        <v>#REF!</v>
      </c>
      <c r="S29" s="191" t="e">
        <f t="shared" si="6"/>
        <v>#REF!</v>
      </c>
      <c r="T29" s="192" t="e">
        <f t="shared" si="7"/>
        <v>#REF!</v>
      </c>
    </row>
    <row r="30" spans="1:20" x14ac:dyDescent="0.3">
      <c r="A30" s="179" t="s">
        <v>222</v>
      </c>
      <c r="B30" s="180" t="s">
        <v>61</v>
      </c>
      <c r="C30" s="197"/>
      <c r="D30" s="182" t="e">
        <f t="shared" si="0"/>
        <v>#REF!</v>
      </c>
      <c r="E30" s="183" t="e">
        <f>#REF!</f>
        <v>#REF!</v>
      </c>
      <c r="F30" s="184"/>
      <c r="G30" s="185"/>
      <c r="H30" s="185">
        <v>0.2</v>
      </c>
      <c r="I30" s="186">
        <f t="shared" si="2"/>
        <v>0.8</v>
      </c>
      <c r="J30" s="187" t="s">
        <v>258</v>
      </c>
      <c r="K30" s="187">
        <v>1.0005612238864892</v>
      </c>
      <c r="L30" s="188" t="e">
        <f>R30</f>
        <v>#REF!</v>
      </c>
      <c r="M30" s="189" t="e">
        <f>H30*#REF!+I30*#REF!</f>
        <v>#NAME?</v>
      </c>
      <c r="N30" s="196" t="e">
        <f t="shared" si="4"/>
        <v>#REF!</v>
      </c>
      <c r="O30" s="194" t="e">
        <f t="shared" si="5"/>
        <v>#REF!</v>
      </c>
      <c r="P30" s="191" t="e">
        <f t="shared" si="1"/>
        <v>#REF!</v>
      </c>
      <c r="Q30" s="191"/>
      <c r="R30" s="191" t="e">
        <f>IF(OR(D30&gt;0.3,D30="&gt; saturation"),1,1-(0.3-D30)*(H30*#REF!+I30*#REF!))</f>
        <v>#REF!</v>
      </c>
      <c r="S30" s="191" t="e">
        <f t="shared" si="6"/>
        <v>#REF!</v>
      </c>
      <c r="T30" s="192" t="e">
        <f t="shared" si="7"/>
        <v>#REF!</v>
      </c>
    </row>
    <row r="31" spans="1:20" x14ac:dyDescent="0.3">
      <c r="A31" s="179" t="s">
        <v>222</v>
      </c>
      <c r="B31" s="180" t="s">
        <v>61</v>
      </c>
      <c r="C31" s="197"/>
      <c r="D31" s="182" t="e">
        <f>IF(E31="&gt; saturation",E31,E31/(1-E31))</f>
        <v>#REF!</v>
      </c>
      <c r="E31" s="183" t="e">
        <f>#REF!</f>
        <v>#REF!</v>
      </c>
      <c r="F31" s="184"/>
      <c r="G31" s="185"/>
      <c r="H31" s="185">
        <v>0.2</v>
      </c>
      <c r="I31" s="186">
        <f>1-H31</f>
        <v>0.8</v>
      </c>
      <c r="J31" s="187" t="s">
        <v>262</v>
      </c>
      <c r="K31" s="187">
        <v>0.66666666666666663</v>
      </c>
      <c r="L31" s="188" t="e">
        <f>T31</f>
        <v>#REF!</v>
      </c>
      <c r="M31" s="189" t="e">
        <f>H31*#REF!+I31*#REF!</f>
        <v>#NAME?</v>
      </c>
      <c r="N31" s="196" t="e">
        <f>IF(D31="&gt; saturation",M31/(1-0.3)/(1-F31),M31/(1-E31)/(1-F31))</f>
        <v>#REF!</v>
      </c>
      <c r="O31" s="194" t="e">
        <f>IF(D31="&gt; saturation",5*(1-0.3)-0.7*0.3, 5*(1-E31)-0.7*E31)</f>
        <v>#REF!</v>
      </c>
      <c r="P31" s="191" t="e">
        <f>O31*N31</f>
        <v>#REF!</v>
      </c>
      <c r="Q31" s="191"/>
      <c r="R31" s="191" t="e">
        <f>IF(OR(D31&gt;0.3,D31="&gt; saturation"),1,1-(0.3-D31)*(H31*#REF!+I31*#REF!))</f>
        <v>#REF!</v>
      </c>
      <c r="S31" s="191" t="e">
        <f t="shared" si="6"/>
        <v>#REF!</v>
      </c>
      <c r="T31" s="192" t="e">
        <f t="shared" si="7"/>
        <v>#REF!</v>
      </c>
    </row>
    <row r="32" spans="1:20" x14ac:dyDescent="0.3">
      <c r="A32" s="179" t="s">
        <v>222</v>
      </c>
      <c r="B32" s="180" t="s">
        <v>157</v>
      </c>
      <c r="C32" s="197" t="s">
        <v>263</v>
      </c>
      <c r="D32" s="182" t="e">
        <f t="shared" si="0"/>
        <v>#REF!</v>
      </c>
      <c r="E32" s="183" t="e">
        <f>#REF!</f>
        <v>#REF!</v>
      </c>
      <c r="F32" s="184"/>
      <c r="G32" s="185"/>
      <c r="H32" s="185">
        <v>0.2</v>
      </c>
      <c r="I32" s="186">
        <f t="shared" si="2"/>
        <v>0.8</v>
      </c>
      <c r="J32" s="187" t="s">
        <v>258</v>
      </c>
      <c r="K32" s="187">
        <v>1</v>
      </c>
      <c r="L32" s="188" t="e">
        <f>R32</f>
        <v>#REF!</v>
      </c>
      <c r="M32" s="189" t="e">
        <f>H32*#REF!+I32*#REF!</f>
        <v>#NAME?</v>
      </c>
      <c r="N32" s="198" t="e">
        <f t="shared" si="4"/>
        <v>#REF!</v>
      </c>
      <c r="O32" s="191" t="e">
        <f t="shared" si="5"/>
        <v>#REF!</v>
      </c>
      <c r="P32" s="191" t="e">
        <f t="shared" si="1"/>
        <v>#REF!</v>
      </c>
      <c r="Q32" s="191"/>
      <c r="R32" s="191" t="e">
        <f>IF(OR(D32&gt;0.3,D32="&gt; saturation"),1,1-(0.3-D32)*(H32*#REF!+I32*#REF!))</f>
        <v>#REF!</v>
      </c>
      <c r="S32" s="191" t="e">
        <f t="shared" si="6"/>
        <v>#REF!</v>
      </c>
      <c r="T32" s="192" t="e">
        <f t="shared" si="7"/>
        <v>#REF!</v>
      </c>
    </row>
    <row r="33" spans="1:20" x14ac:dyDescent="0.3">
      <c r="A33" s="179" t="s">
        <v>222</v>
      </c>
      <c r="B33" s="180" t="s">
        <v>157</v>
      </c>
      <c r="C33" s="197" t="s">
        <v>263</v>
      </c>
      <c r="D33" s="182" t="e">
        <f>IF(E33="&gt; saturation",E33,E33/(1-E33))</f>
        <v>#REF!</v>
      </c>
      <c r="E33" s="183" t="e">
        <f>#REF!</f>
        <v>#REF!</v>
      </c>
      <c r="F33" s="184"/>
      <c r="G33" s="185"/>
      <c r="H33" s="185">
        <v>0.2</v>
      </c>
      <c r="I33" s="186">
        <f>1-H33</f>
        <v>0.8</v>
      </c>
      <c r="J33" s="187" t="s">
        <v>264</v>
      </c>
      <c r="K33" s="187" t="e">
        <f>1/L33</f>
        <v>#REF!</v>
      </c>
      <c r="L33" s="188" t="e">
        <f>S33</f>
        <v>#REF!</v>
      </c>
      <c r="M33" s="189" t="e">
        <f>H33*#REF!+I33*#REF!</f>
        <v>#NAME?</v>
      </c>
      <c r="N33" s="198" t="e">
        <f>IF(D33="&gt; saturation",M33/(1-0.3)/(1-F33),M33/(1-E33)/(1-F33))</f>
        <v>#REF!</v>
      </c>
      <c r="O33" s="191" t="e">
        <f>IF(D33="&gt; saturation",5*(1-0.3)-0.7*0.3, 5*(1-E33)-0.7*E33)</f>
        <v>#REF!</v>
      </c>
      <c r="P33" s="191" t="e">
        <f>O33*N33</f>
        <v>#REF!</v>
      </c>
      <c r="Q33" s="191"/>
      <c r="R33" s="191" t="e">
        <f>IF(OR(D33&gt;0.3,D33="&gt; saturation"),1,1-(0.3-D33)*(H33*#REF!+I33*#REF!))</f>
        <v>#REF!</v>
      </c>
      <c r="S33" s="191" t="e">
        <f t="shared" si="6"/>
        <v>#REF!</v>
      </c>
      <c r="T33" s="192" t="e">
        <f t="shared" si="7"/>
        <v>#REF!</v>
      </c>
    </row>
    <row r="34" spans="1:20" x14ac:dyDescent="0.3">
      <c r="A34" s="179" t="s">
        <v>222</v>
      </c>
      <c r="B34" s="180" t="s">
        <v>36</v>
      </c>
      <c r="C34" s="181"/>
      <c r="D34" s="182" t="e">
        <f t="shared" ref="D34" si="10">IF(E34="&gt; saturation",E34,E34/(1-E34))</f>
        <v>#REF!</v>
      </c>
      <c r="E34" s="183" t="e">
        <f>#REF!</f>
        <v>#REF!</v>
      </c>
      <c r="F34" s="184"/>
      <c r="G34" s="185"/>
      <c r="H34" s="185">
        <v>0.2</v>
      </c>
      <c r="I34" s="186">
        <f t="shared" ref="I34" si="11">1-H34</f>
        <v>0.8</v>
      </c>
      <c r="J34" s="187" t="s">
        <v>259</v>
      </c>
      <c r="K34" s="187">
        <v>1.4926210784366407</v>
      </c>
      <c r="L34" s="188" t="e">
        <f>N34</f>
        <v>#REF!</v>
      </c>
      <c r="M34" s="189" t="e">
        <f>H34*#REF!+I34*#REF!</f>
        <v>#NAME?</v>
      </c>
      <c r="N34" s="199" t="e">
        <f t="shared" si="4"/>
        <v>#REF!</v>
      </c>
      <c r="O34" s="191" t="e">
        <f t="shared" ref="O34" si="12">IF(D34="&gt; saturation",5*(1-0.3)-0.7*0.3, 5*(1-E34)-0.7*E34)</f>
        <v>#REF!</v>
      </c>
      <c r="P34" s="191" t="e">
        <f t="shared" ref="P34" si="13">O34*N34</f>
        <v>#REF!</v>
      </c>
      <c r="Q34" s="191"/>
      <c r="R34" s="191" t="e">
        <f>IF(OR(D34&gt;0.3,D34="&gt; saturation"),1,1-(0.3-D34)*(H34*#REF!+I34*#REF!))</f>
        <v>#REF!</v>
      </c>
      <c r="S34" s="191" t="e">
        <f t="shared" si="6"/>
        <v>#REF!</v>
      </c>
      <c r="T34" s="192" t="e">
        <f t="shared" si="7"/>
        <v>#REF!</v>
      </c>
    </row>
    <row r="35" spans="1:20" x14ac:dyDescent="0.3">
      <c r="A35" s="179" t="s">
        <v>222</v>
      </c>
      <c r="B35" s="180" t="s">
        <v>36</v>
      </c>
      <c r="C35" s="181"/>
      <c r="D35" s="182" t="e">
        <f t="shared" si="0"/>
        <v>#REF!</v>
      </c>
      <c r="E35" s="183" t="e">
        <f>#REF!</f>
        <v>#REF!</v>
      </c>
      <c r="F35" s="184"/>
      <c r="G35" s="185"/>
      <c r="H35" s="185">
        <v>0.2</v>
      </c>
      <c r="I35" s="186">
        <f t="shared" si="2"/>
        <v>0.8</v>
      </c>
      <c r="J35" s="187" t="s">
        <v>260</v>
      </c>
      <c r="K35" s="187">
        <v>1</v>
      </c>
      <c r="L35" s="188" t="e">
        <f>R35</f>
        <v>#REF!</v>
      </c>
      <c r="M35" s="189" t="e">
        <f>H35*#REF!+I35*#REF!</f>
        <v>#NAME?</v>
      </c>
      <c r="N35" s="199" t="e">
        <f t="shared" si="4"/>
        <v>#REF!</v>
      </c>
      <c r="O35" s="191" t="e">
        <f t="shared" si="5"/>
        <v>#REF!</v>
      </c>
      <c r="P35" s="191" t="e">
        <f t="shared" si="1"/>
        <v>#REF!</v>
      </c>
      <c r="Q35" s="191"/>
      <c r="R35" s="191" t="e">
        <f>IF(OR(D35&gt;0.3,D35="&gt; saturation"),1,1-(0.3-D35)*(H35*#REF!+I35*#REF!))</f>
        <v>#REF!</v>
      </c>
      <c r="S35" s="191" t="e">
        <f t="shared" si="6"/>
        <v>#REF!</v>
      </c>
      <c r="T35" s="192" t="e">
        <f t="shared" si="7"/>
        <v>#REF!</v>
      </c>
    </row>
    <row r="36" spans="1:20" x14ac:dyDescent="0.3">
      <c r="A36" s="179" t="s">
        <v>222</v>
      </c>
      <c r="B36" s="180" t="s">
        <v>36</v>
      </c>
      <c r="C36" s="181"/>
      <c r="D36" s="182" t="e">
        <f>IF(E36="&gt; saturation",E36,E36/(1-E36))</f>
        <v>#REF!</v>
      </c>
      <c r="E36" s="183" t="e">
        <f>#REF!</f>
        <v>#REF!</v>
      </c>
      <c r="F36" s="184"/>
      <c r="G36" s="185"/>
      <c r="H36" s="185">
        <v>0.2</v>
      </c>
      <c r="I36" s="186">
        <f>1-H36</f>
        <v>0.8</v>
      </c>
      <c r="J36" s="187" t="s">
        <v>264</v>
      </c>
      <c r="K36" s="187" t="e">
        <f>1/L36</f>
        <v>#REF!</v>
      </c>
      <c r="L36" s="188" t="e">
        <f>S36</f>
        <v>#REF!</v>
      </c>
      <c r="M36" s="189" t="e">
        <f>H36*#REF!+I36*#REF!</f>
        <v>#NAME?</v>
      </c>
      <c r="N36" s="199" t="e">
        <f>IF(D36="&gt; saturation",M36/(1-0.3)/(1-F36),M36/(1-E36)/(1-F36))</f>
        <v>#REF!</v>
      </c>
      <c r="O36" s="191" t="e">
        <f>IF(D36="&gt; saturation",5*(1-0.3)-0.7*0.3, 5*(1-E36)-0.7*E36)</f>
        <v>#REF!</v>
      </c>
      <c r="P36" s="191" t="e">
        <f>O36*N36</f>
        <v>#REF!</v>
      </c>
      <c r="Q36" s="191"/>
      <c r="R36" s="191" t="e">
        <f>IF(OR(D36&gt;0.3,D36="&gt; saturation"),1,1-(0.3-D36)*(H36*#REF!+I36*#REF!))</f>
        <v>#REF!</v>
      </c>
      <c r="S36" s="191" t="e">
        <f t="shared" si="6"/>
        <v>#REF!</v>
      </c>
      <c r="T36" s="192" t="e">
        <f t="shared" si="7"/>
        <v>#REF!</v>
      </c>
    </row>
    <row r="37" spans="1:20" x14ac:dyDescent="0.3">
      <c r="A37" s="179" t="s">
        <v>222</v>
      </c>
      <c r="B37" s="180" t="s">
        <v>42</v>
      </c>
      <c r="C37" s="181"/>
      <c r="D37" s="182" t="e">
        <f t="shared" si="0"/>
        <v>#REF!</v>
      </c>
      <c r="E37" s="183" t="e">
        <f>#REF!</f>
        <v>#REF!</v>
      </c>
      <c r="F37" s="184"/>
      <c r="G37" s="185"/>
      <c r="H37" s="186">
        <v>1</v>
      </c>
      <c r="I37" s="186">
        <f t="shared" si="2"/>
        <v>0</v>
      </c>
      <c r="J37" s="187" t="s">
        <v>258</v>
      </c>
      <c r="K37" s="187">
        <v>1.0006439208607618</v>
      </c>
      <c r="L37" s="188" t="e">
        <f t="shared" ref="L37:L46" si="14">R37</f>
        <v>#REF!</v>
      </c>
      <c r="M37" s="189" t="e">
        <f>H37*#REF!+I37*#REF!</f>
        <v>#NAME?</v>
      </c>
      <c r="N37" s="200" t="e">
        <f t="shared" si="4"/>
        <v>#REF!</v>
      </c>
      <c r="O37" s="191" t="e">
        <f t="shared" si="5"/>
        <v>#REF!</v>
      </c>
      <c r="P37" s="191" t="e">
        <f t="shared" si="1"/>
        <v>#REF!</v>
      </c>
      <c r="Q37" s="191"/>
      <c r="R37" s="191" t="e">
        <f>IF(OR(D37&gt;0.3,D37="&gt; saturation"),1,1-(0.3-D37)*(H37*#REF!+I37*#REF!))</f>
        <v>#REF!</v>
      </c>
      <c r="S37" s="191" t="e">
        <f t="shared" si="6"/>
        <v>#REF!</v>
      </c>
      <c r="T37" s="192" t="e">
        <f t="shared" si="7"/>
        <v>#REF!</v>
      </c>
    </row>
    <row r="38" spans="1:20" x14ac:dyDescent="0.3">
      <c r="A38" s="179" t="s">
        <v>222</v>
      </c>
      <c r="B38" s="180" t="s">
        <v>43</v>
      </c>
      <c r="C38" s="181"/>
      <c r="D38" s="182" t="e">
        <f t="shared" si="0"/>
        <v>#REF!</v>
      </c>
      <c r="E38" s="183" t="e">
        <f>#REF!</f>
        <v>#REF!</v>
      </c>
      <c r="F38" s="184"/>
      <c r="G38" s="185"/>
      <c r="H38" s="186">
        <v>1</v>
      </c>
      <c r="I38" s="186">
        <f t="shared" si="2"/>
        <v>0</v>
      </c>
      <c r="J38" s="187" t="s">
        <v>258</v>
      </c>
      <c r="K38" s="187">
        <v>1.0006439208607618</v>
      </c>
      <c r="L38" s="188" t="e">
        <f t="shared" si="14"/>
        <v>#REF!</v>
      </c>
      <c r="M38" s="189" t="e">
        <f>H38*#REF!+I38*#REF!</f>
        <v>#NAME?</v>
      </c>
      <c r="N38" s="200" t="e">
        <f t="shared" si="4"/>
        <v>#REF!</v>
      </c>
      <c r="O38" s="191" t="e">
        <f t="shared" si="5"/>
        <v>#REF!</v>
      </c>
      <c r="P38" s="191" t="e">
        <f t="shared" si="1"/>
        <v>#REF!</v>
      </c>
      <c r="Q38" s="191"/>
      <c r="R38" s="191" t="e">
        <f>IF(OR(D38&gt;0.3,D38="&gt; saturation"),1,1-(0.3-D38)*(H38*#REF!+I38*#REF!))</f>
        <v>#REF!</v>
      </c>
      <c r="S38" s="191" t="e">
        <f t="shared" si="6"/>
        <v>#REF!</v>
      </c>
      <c r="T38" s="192" t="e">
        <f t="shared" si="7"/>
        <v>#REF!</v>
      </c>
    </row>
    <row r="39" spans="1:20" x14ac:dyDescent="0.3">
      <c r="A39" s="179" t="s">
        <v>222</v>
      </c>
      <c r="B39" s="180" t="s">
        <v>39</v>
      </c>
      <c r="C39" s="201"/>
      <c r="D39" s="182" t="e">
        <f t="shared" si="0"/>
        <v>#REF!</v>
      </c>
      <c r="E39" s="183" t="e">
        <f>#REF!</f>
        <v>#REF!</v>
      </c>
      <c r="F39" s="183"/>
      <c r="G39" s="183"/>
      <c r="H39" s="185">
        <v>0.2</v>
      </c>
      <c r="I39" s="186">
        <f t="shared" si="2"/>
        <v>0.8</v>
      </c>
      <c r="J39" s="187" t="s">
        <v>258</v>
      </c>
      <c r="K39" s="187">
        <v>1.0005612238864892</v>
      </c>
      <c r="L39" s="188" t="e">
        <f t="shared" si="14"/>
        <v>#REF!</v>
      </c>
      <c r="M39" s="189" t="e">
        <f>H39*#REF!+I39*#REF!</f>
        <v>#NAME?</v>
      </c>
      <c r="N39" s="195" t="e">
        <f t="shared" si="4"/>
        <v>#REF!</v>
      </c>
      <c r="O39" s="191" t="e">
        <f t="shared" si="5"/>
        <v>#REF!</v>
      </c>
      <c r="P39" s="191" t="e">
        <f t="shared" si="1"/>
        <v>#REF!</v>
      </c>
      <c r="Q39" s="191"/>
      <c r="R39" s="191" t="e">
        <f>IF(OR(D39&gt;0.3,D39="&gt; saturation"),1,1-(0.3-D39)*(H39*#REF!+I39*#REF!))</f>
        <v>#REF!</v>
      </c>
      <c r="S39" s="191" t="e">
        <f t="shared" si="6"/>
        <v>#REF!</v>
      </c>
      <c r="T39" s="192" t="e">
        <f t="shared" si="7"/>
        <v>#REF!</v>
      </c>
    </row>
    <row r="40" spans="1:20" x14ac:dyDescent="0.3">
      <c r="A40" s="179" t="s">
        <v>222</v>
      </c>
      <c r="B40" s="180" t="s">
        <v>39</v>
      </c>
      <c r="C40" s="201"/>
      <c r="D40" s="182" t="e">
        <f t="shared" si="0"/>
        <v>#REF!</v>
      </c>
      <c r="E40" s="183" t="e">
        <f>#REF!</f>
        <v>#REF!</v>
      </c>
      <c r="F40" s="183"/>
      <c r="G40" s="183"/>
      <c r="H40" s="185">
        <v>0.2</v>
      </c>
      <c r="I40" s="186">
        <f t="shared" si="2"/>
        <v>0.8</v>
      </c>
      <c r="J40" s="187" t="s">
        <v>265</v>
      </c>
      <c r="K40" s="187">
        <v>1.0005612238864892</v>
      </c>
      <c r="L40" s="188" t="e">
        <f t="shared" si="14"/>
        <v>#REF!</v>
      </c>
      <c r="M40" s="189" t="e">
        <f>H40*#REF!+I40*#REF!</f>
        <v>#NAME?</v>
      </c>
      <c r="N40" s="195" t="e">
        <f t="shared" si="4"/>
        <v>#REF!</v>
      </c>
      <c r="O40" s="191" t="e">
        <f t="shared" si="5"/>
        <v>#REF!</v>
      </c>
      <c r="P40" s="191" t="e">
        <f t="shared" si="1"/>
        <v>#REF!</v>
      </c>
      <c r="Q40" s="191"/>
      <c r="R40" s="191" t="e">
        <f>IF(OR(D40&gt;0.3,D40="&gt; saturation"),1,1-(0.3-D40)*(H40*#REF!+I40*#REF!))</f>
        <v>#REF!</v>
      </c>
      <c r="S40" s="191" t="e">
        <f t="shared" si="6"/>
        <v>#REF!</v>
      </c>
      <c r="T40" s="192" t="e">
        <f t="shared" si="7"/>
        <v>#REF!</v>
      </c>
    </row>
    <row r="41" spans="1:20" x14ac:dyDescent="0.3">
      <c r="A41" s="179" t="s">
        <v>222</v>
      </c>
      <c r="B41" s="180" t="s">
        <v>39</v>
      </c>
      <c r="C41" s="201"/>
      <c r="D41" s="182" t="e">
        <f t="shared" si="0"/>
        <v>#REF!</v>
      </c>
      <c r="E41" s="183" t="e">
        <f>#REF!</f>
        <v>#REF!</v>
      </c>
      <c r="F41" s="183"/>
      <c r="G41" s="183"/>
      <c r="H41" s="185">
        <v>0.2</v>
      </c>
      <c r="I41" s="186">
        <f t="shared" si="2"/>
        <v>0.8</v>
      </c>
      <c r="J41" s="187" t="s">
        <v>258</v>
      </c>
      <c r="K41" s="187">
        <v>1.0005612238864892</v>
      </c>
      <c r="L41" s="188" t="e">
        <f t="shared" si="14"/>
        <v>#REF!</v>
      </c>
      <c r="M41" s="189" t="e">
        <f>H41*#REF!+I41*#REF!</f>
        <v>#NAME?</v>
      </c>
      <c r="N41" s="195" t="e">
        <f t="shared" si="4"/>
        <v>#REF!</v>
      </c>
      <c r="O41" s="191" t="e">
        <f t="shared" si="5"/>
        <v>#REF!</v>
      </c>
      <c r="P41" s="191" t="e">
        <f t="shared" si="1"/>
        <v>#REF!</v>
      </c>
      <c r="Q41" s="191"/>
      <c r="R41" s="191" t="e">
        <f>IF(OR(D41&gt;0.3,D41="&gt; saturation"),1,1-(0.3-D41)*(H41*#REF!+I41*#REF!))</f>
        <v>#REF!</v>
      </c>
      <c r="S41" s="191" t="e">
        <f t="shared" si="6"/>
        <v>#REF!</v>
      </c>
      <c r="T41" s="192" t="e">
        <f t="shared" si="7"/>
        <v>#REF!</v>
      </c>
    </row>
    <row r="42" spans="1:20" x14ac:dyDescent="0.3">
      <c r="A42" s="179" t="s">
        <v>222</v>
      </c>
      <c r="B42" s="180" t="s">
        <v>40</v>
      </c>
      <c r="C42" s="181"/>
      <c r="D42" s="182" t="e">
        <f t="shared" si="0"/>
        <v>#REF!</v>
      </c>
      <c r="E42" s="183" t="e">
        <f>#REF!</f>
        <v>#REF!</v>
      </c>
      <c r="F42" s="184"/>
      <c r="G42" s="185"/>
      <c r="H42" s="186">
        <v>1</v>
      </c>
      <c r="I42" s="186">
        <f t="shared" si="2"/>
        <v>0</v>
      </c>
      <c r="J42" s="187" t="s">
        <v>265</v>
      </c>
      <c r="K42" s="187">
        <v>1.0006439208607618</v>
      </c>
      <c r="L42" s="188" t="e">
        <f t="shared" si="14"/>
        <v>#REF!</v>
      </c>
      <c r="M42" s="189" t="e">
        <f>H42*#REF!+I42*#REF!</f>
        <v>#NAME?</v>
      </c>
      <c r="N42" s="202" t="e">
        <f t="shared" si="4"/>
        <v>#REF!</v>
      </c>
      <c r="O42" s="191" t="e">
        <f t="shared" si="5"/>
        <v>#REF!</v>
      </c>
      <c r="P42" s="191" t="e">
        <f t="shared" si="1"/>
        <v>#REF!</v>
      </c>
      <c r="Q42" s="191"/>
      <c r="R42" s="191" t="e">
        <f>IF(OR(D42&gt;0.3,D42="&gt; saturation"),1,1-(0.3-D42)*(H42*#REF!+I42*#REF!))</f>
        <v>#REF!</v>
      </c>
      <c r="S42" s="191" t="e">
        <f t="shared" si="6"/>
        <v>#REF!</v>
      </c>
      <c r="T42" s="192" t="e">
        <f t="shared" si="7"/>
        <v>#REF!</v>
      </c>
    </row>
    <row r="43" spans="1:20" x14ac:dyDescent="0.3">
      <c r="A43" s="179" t="s">
        <v>222</v>
      </c>
      <c r="B43" s="180" t="s">
        <v>40</v>
      </c>
      <c r="C43" s="181"/>
      <c r="D43" s="182" t="e">
        <f t="shared" si="0"/>
        <v>#REF!</v>
      </c>
      <c r="E43" s="183" t="e">
        <f>#REF!</f>
        <v>#REF!</v>
      </c>
      <c r="F43" s="184"/>
      <c r="G43" s="185"/>
      <c r="H43" s="186">
        <v>1</v>
      </c>
      <c r="I43" s="186">
        <f t="shared" si="2"/>
        <v>0</v>
      </c>
      <c r="J43" s="187" t="s">
        <v>258</v>
      </c>
      <c r="K43" s="187">
        <v>1.0006439208607618</v>
      </c>
      <c r="L43" s="188" t="e">
        <f t="shared" si="14"/>
        <v>#REF!</v>
      </c>
      <c r="M43" s="189" t="e">
        <f>H43*#REF!+I43*#REF!</f>
        <v>#NAME?</v>
      </c>
      <c r="N43" s="202" t="e">
        <f t="shared" si="4"/>
        <v>#REF!</v>
      </c>
      <c r="O43" s="191" t="e">
        <f t="shared" si="5"/>
        <v>#REF!</v>
      </c>
      <c r="P43" s="191" t="e">
        <f t="shared" si="1"/>
        <v>#REF!</v>
      </c>
      <c r="Q43" s="191"/>
      <c r="R43" s="191" t="e">
        <f>IF(OR(D43&gt;0.3,D43="&gt; saturation"),1,1-(0.3-D43)*(H43*#REF!+I43*#REF!))</f>
        <v>#REF!</v>
      </c>
      <c r="S43" s="191" t="e">
        <f t="shared" si="6"/>
        <v>#REF!</v>
      </c>
      <c r="T43" s="192" t="e">
        <f t="shared" si="7"/>
        <v>#REF!</v>
      </c>
    </row>
    <row r="44" spans="1:20" x14ac:dyDescent="0.3">
      <c r="A44" s="179" t="s">
        <v>222</v>
      </c>
      <c r="B44" s="180" t="s">
        <v>41</v>
      </c>
      <c r="C44" s="181"/>
      <c r="D44" s="182" t="e">
        <f t="shared" si="0"/>
        <v>#REF!</v>
      </c>
      <c r="E44" s="183" t="e">
        <f>#REF!</f>
        <v>#REF!</v>
      </c>
      <c r="F44" s="184"/>
      <c r="G44" s="185"/>
      <c r="H44" s="186">
        <v>0</v>
      </c>
      <c r="I44" s="186">
        <f t="shared" si="2"/>
        <v>1</v>
      </c>
      <c r="J44" s="187" t="s">
        <v>265</v>
      </c>
      <c r="K44" s="187">
        <v>1.0005405517786232</v>
      </c>
      <c r="L44" s="188" t="e">
        <f t="shared" si="14"/>
        <v>#REF!</v>
      </c>
      <c r="M44" s="189" t="e">
        <f>H44*#REF!+I44*#REF!</f>
        <v>#NAME?</v>
      </c>
      <c r="N44" s="203" t="e">
        <f t="shared" si="4"/>
        <v>#REF!</v>
      </c>
      <c r="O44" s="191" t="e">
        <f t="shared" si="5"/>
        <v>#REF!</v>
      </c>
      <c r="P44" s="191" t="e">
        <f t="shared" si="1"/>
        <v>#REF!</v>
      </c>
      <c r="Q44" s="191"/>
      <c r="R44" s="191" t="e">
        <f>IF(OR(D44&gt;0.3,D44="&gt; saturation"),1,1-(0.3-D44)*(H44*#REF!+I44*#REF!))</f>
        <v>#REF!</v>
      </c>
      <c r="S44" s="191" t="e">
        <f t="shared" si="6"/>
        <v>#REF!</v>
      </c>
      <c r="T44" s="192" t="e">
        <f t="shared" si="7"/>
        <v>#REF!</v>
      </c>
    </row>
    <row r="45" spans="1:20" x14ac:dyDescent="0.3">
      <c r="A45" s="179" t="s">
        <v>222</v>
      </c>
      <c r="B45" s="180" t="s">
        <v>41</v>
      </c>
      <c r="C45" s="181"/>
      <c r="D45" s="182" t="e">
        <f t="shared" si="0"/>
        <v>#REF!</v>
      </c>
      <c r="E45" s="183" t="e">
        <f>#REF!</f>
        <v>#REF!</v>
      </c>
      <c r="F45" s="184"/>
      <c r="G45" s="185"/>
      <c r="H45" s="186">
        <v>0</v>
      </c>
      <c r="I45" s="186">
        <f t="shared" si="2"/>
        <v>1</v>
      </c>
      <c r="J45" s="187" t="s">
        <v>258</v>
      </c>
      <c r="K45" s="187">
        <v>1.0005405517786232</v>
      </c>
      <c r="L45" s="188" t="e">
        <f t="shared" si="14"/>
        <v>#REF!</v>
      </c>
      <c r="M45" s="189" t="e">
        <f>H45*#REF!+I45*#REF!</f>
        <v>#NAME?</v>
      </c>
      <c r="N45" s="203" t="e">
        <f t="shared" si="4"/>
        <v>#REF!</v>
      </c>
      <c r="O45" s="191" t="e">
        <f t="shared" si="5"/>
        <v>#REF!</v>
      </c>
      <c r="P45" s="191" t="e">
        <f t="shared" si="1"/>
        <v>#REF!</v>
      </c>
      <c r="Q45" s="191"/>
      <c r="R45" s="191" t="e">
        <f>IF(OR(D45&gt;0.3,D45="&gt; saturation"),1,1-(0.3-D45)*(H45*#REF!+I45*#REF!))</f>
        <v>#REF!</v>
      </c>
      <c r="S45" s="191" t="e">
        <f t="shared" si="6"/>
        <v>#REF!</v>
      </c>
      <c r="T45" s="192" t="e">
        <f t="shared" si="7"/>
        <v>#REF!</v>
      </c>
    </row>
    <row r="46" spans="1:20" x14ac:dyDescent="0.3">
      <c r="A46" s="179" t="s">
        <v>222</v>
      </c>
      <c r="B46" s="180" t="s">
        <v>38</v>
      </c>
      <c r="C46" s="181"/>
      <c r="D46" s="182" t="e">
        <f t="shared" si="0"/>
        <v>#REF!</v>
      </c>
      <c r="E46" s="183" t="e">
        <f>#REF!</f>
        <v>#REF!</v>
      </c>
      <c r="F46" s="184"/>
      <c r="G46" s="185"/>
      <c r="H46" s="185">
        <v>0.2</v>
      </c>
      <c r="I46" s="186">
        <f t="shared" si="2"/>
        <v>0.8</v>
      </c>
      <c r="J46" s="187" t="s">
        <v>258</v>
      </c>
      <c r="K46" s="187">
        <v>1.0005612238864892</v>
      </c>
      <c r="L46" s="188" t="e">
        <f t="shared" si="14"/>
        <v>#REF!</v>
      </c>
      <c r="M46" s="189" t="e">
        <f>H46*#REF!+I46*#REF!</f>
        <v>#NAME?</v>
      </c>
      <c r="N46" s="196" t="e">
        <f t="shared" si="4"/>
        <v>#REF!</v>
      </c>
      <c r="O46" s="191" t="e">
        <f t="shared" si="5"/>
        <v>#REF!</v>
      </c>
      <c r="P46" s="191" t="e">
        <f t="shared" si="1"/>
        <v>#REF!</v>
      </c>
      <c r="Q46" s="191"/>
      <c r="R46" s="191" t="e">
        <f>IF(OR(D46&gt;0.3,D46="&gt; saturation"),1,1-(0.3-D46)*(H46*#REF!+I46*#REF!))</f>
        <v>#REF!</v>
      </c>
      <c r="S46" s="191" t="e">
        <f t="shared" si="6"/>
        <v>#REF!</v>
      </c>
      <c r="T46" s="192" t="e">
        <f t="shared" si="7"/>
        <v>#REF!</v>
      </c>
    </row>
    <row r="47" spans="1:20" x14ac:dyDescent="0.3">
      <c r="A47" s="179" t="s">
        <v>222</v>
      </c>
      <c r="B47" s="180" t="s">
        <v>25</v>
      </c>
      <c r="C47" s="181"/>
      <c r="D47" s="182" t="e">
        <f t="shared" si="0"/>
        <v>#REF!</v>
      </c>
      <c r="E47" s="183" t="e">
        <f>#REF!</f>
        <v>#REF!</v>
      </c>
      <c r="F47" s="184"/>
      <c r="G47" s="185"/>
      <c r="H47" s="185">
        <v>0.2</v>
      </c>
      <c r="I47" s="186">
        <f t="shared" si="2"/>
        <v>0.8</v>
      </c>
      <c r="J47" s="204" t="s">
        <v>259</v>
      </c>
      <c r="K47" s="187">
        <v>1.7413912581760809</v>
      </c>
      <c r="L47" s="188" t="e">
        <f t="shared" ref="L47:L53" si="15">N47</f>
        <v>#REF!</v>
      </c>
      <c r="M47" s="189" t="e">
        <f>H47*#REF!+I47*#REF!</f>
        <v>#NAME?</v>
      </c>
      <c r="N47" s="190" t="e">
        <f t="shared" si="4"/>
        <v>#REF!</v>
      </c>
      <c r="O47" s="191" t="e">
        <f t="shared" si="5"/>
        <v>#REF!</v>
      </c>
      <c r="P47" s="191" t="e">
        <f t="shared" si="1"/>
        <v>#REF!</v>
      </c>
      <c r="Q47" s="191"/>
      <c r="R47" s="191" t="e">
        <f>IF(OR(D47&gt;0.3,D47="&gt; saturation"),1,1-(0.3-D47)*(H47*#REF!+I47*#REF!))</f>
        <v>#REF!</v>
      </c>
      <c r="S47" s="191" t="e">
        <f t="shared" si="6"/>
        <v>#REF!</v>
      </c>
      <c r="T47" s="192" t="e">
        <f t="shared" si="7"/>
        <v>#REF!</v>
      </c>
    </row>
    <row r="48" spans="1:20" x14ac:dyDescent="0.3">
      <c r="A48" s="179" t="s">
        <v>222</v>
      </c>
      <c r="B48" s="180" t="s">
        <v>33</v>
      </c>
      <c r="C48" s="181"/>
      <c r="D48" s="182" t="e">
        <f t="shared" si="0"/>
        <v>#REF!</v>
      </c>
      <c r="E48" s="183" t="e">
        <f>#REF!</f>
        <v>#REF!</v>
      </c>
      <c r="F48" s="184"/>
      <c r="G48" s="185"/>
      <c r="H48" s="185">
        <v>0.2</v>
      </c>
      <c r="I48" s="186">
        <f t="shared" si="2"/>
        <v>0.8</v>
      </c>
      <c r="J48" s="204" t="s">
        <v>259</v>
      </c>
      <c r="K48" s="187">
        <v>1.7413912581760809</v>
      </c>
      <c r="L48" s="188" t="e">
        <f t="shared" si="15"/>
        <v>#REF!</v>
      </c>
      <c r="M48" s="189" t="e">
        <f>H48*#REF!+I48*#REF!</f>
        <v>#NAME?</v>
      </c>
      <c r="N48" s="190" t="e">
        <f t="shared" si="4"/>
        <v>#REF!</v>
      </c>
      <c r="O48" s="191" t="e">
        <f t="shared" si="5"/>
        <v>#REF!</v>
      </c>
      <c r="P48" s="191" t="e">
        <f t="shared" si="1"/>
        <v>#REF!</v>
      </c>
      <c r="Q48" s="191"/>
      <c r="R48" s="191" t="e">
        <f>IF(OR(D48&gt;0.3,D48="&gt; saturation"),1,1-(0.3-D48)*(H48*#REF!+I48*#REF!))</f>
        <v>#REF!</v>
      </c>
      <c r="S48" s="191" t="e">
        <f t="shared" si="6"/>
        <v>#REF!</v>
      </c>
      <c r="T48" s="192" t="e">
        <f t="shared" si="7"/>
        <v>#REF!</v>
      </c>
    </row>
    <row r="49" spans="1:20" x14ac:dyDescent="0.3">
      <c r="A49" s="179" t="s">
        <v>222</v>
      </c>
      <c r="B49" s="180" t="s">
        <v>44</v>
      </c>
      <c r="C49" s="181"/>
      <c r="D49" s="182" t="e">
        <f t="shared" si="0"/>
        <v>#REF!</v>
      </c>
      <c r="E49" s="183" t="e">
        <f>#REF!</f>
        <v>#REF!</v>
      </c>
      <c r="F49" s="184"/>
      <c r="G49" s="185"/>
      <c r="H49" s="185">
        <v>0.2</v>
      </c>
      <c r="I49" s="186">
        <f t="shared" si="2"/>
        <v>0.8</v>
      </c>
      <c r="J49" s="204" t="s">
        <v>259</v>
      </c>
      <c r="K49" s="187">
        <v>2.3249549502081512</v>
      </c>
      <c r="L49" s="188" t="e">
        <f t="shared" si="15"/>
        <v>#REF!</v>
      </c>
      <c r="M49" s="189" t="e">
        <f>H49*#REF!+I49*#REF!</f>
        <v>#NAME?</v>
      </c>
      <c r="N49" s="205" t="e">
        <f t="shared" si="4"/>
        <v>#REF!</v>
      </c>
      <c r="O49" s="191" t="e">
        <f t="shared" si="5"/>
        <v>#REF!</v>
      </c>
      <c r="P49" s="191" t="e">
        <f t="shared" si="1"/>
        <v>#REF!</v>
      </c>
      <c r="Q49" s="191"/>
      <c r="R49" s="191" t="e">
        <f>IF(OR(D49&gt;0.3,D49="&gt; saturation"),1,1-(0.3-D49)*(H49*#REF!+I49*#REF!))</f>
        <v>#REF!</v>
      </c>
      <c r="S49" s="191" t="e">
        <f t="shared" si="6"/>
        <v>#REF!</v>
      </c>
      <c r="T49" s="192" t="e">
        <f t="shared" si="7"/>
        <v>#REF!</v>
      </c>
    </row>
    <row r="50" spans="1:20" x14ac:dyDescent="0.3">
      <c r="A50" s="179" t="s">
        <v>222</v>
      </c>
      <c r="B50" s="180" t="s">
        <v>60</v>
      </c>
      <c r="C50" s="181"/>
      <c r="D50" s="182" t="e">
        <f t="shared" si="0"/>
        <v>#REF!</v>
      </c>
      <c r="E50" s="183" t="e">
        <f>#REF!</f>
        <v>#REF!</v>
      </c>
      <c r="F50" s="184"/>
      <c r="G50" s="185"/>
      <c r="H50" s="185">
        <v>0.2</v>
      </c>
      <c r="I50" s="186">
        <f t="shared" si="2"/>
        <v>0.8</v>
      </c>
      <c r="J50" s="204" t="s">
        <v>259</v>
      </c>
      <c r="K50" s="187">
        <v>1.617006168306361</v>
      </c>
      <c r="L50" s="188" t="e">
        <f t="shared" si="15"/>
        <v>#REF!</v>
      </c>
      <c r="M50" s="189" t="e">
        <f>H50*#REF!+I50*#REF!</f>
        <v>#NAME?</v>
      </c>
      <c r="N50" s="198" t="e">
        <f t="shared" si="4"/>
        <v>#REF!</v>
      </c>
      <c r="O50" s="191" t="e">
        <f t="shared" si="5"/>
        <v>#REF!</v>
      </c>
      <c r="P50" s="191" t="e">
        <f t="shared" si="1"/>
        <v>#REF!</v>
      </c>
      <c r="Q50" s="191"/>
      <c r="R50" s="191" t="e">
        <f>IF(OR(D50&gt;0.3,D50="&gt; saturation"),1,1-(0.3-D50)*(H50*#REF!+I50*#REF!))</f>
        <v>#REF!</v>
      </c>
      <c r="S50" s="191" t="e">
        <f t="shared" si="6"/>
        <v>#REF!</v>
      </c>
      <c r="T50" s="192" t="e">
        <f t="shared" si="7"/>
        <v>#REF!</v>
      </c>
    </row>
    <row r="51" spans="1:20" x14ac:dyDescent="0.3">
      <c r="A51" s="179" t="s">
        <v>222</v>
      </c>
      <c r="B51" s="180" t="s">
        <v>24</v>
      </c>
      <c r="C51" s="181"/>
      <c r="D51" s="182" t="e">
        <f t="shared" si="0"/>
        <v>#REF!</v>
      </c>
      <c r="E51" s="183" t="e">
        <f>#REF!</f>
        <v>#REF!</v>
      </c>
      <c r="F51" s="184"/>
      <c r="G51" s="185"/>
      <c r="H51" s="185">
        <v>0.2</v>
      </c>
      <c r="I51" s="186">
        <f t="shared" si="2"/>
        <v>0.8</v>
      </c>
      <c r="J51" s="204" t="s">
        <v>259</v>
      </c>
      <c r="K51" s="187">
        <v>1.617006168306361</v>
      </c>
      <c r="L51" s="188" t="e">
        <f t="shared" si="15"/>
        <v>#REF!</v>
      </c>
      <c r="M51" s="189" t="e">
        <f>H51*#REF!+I51*#REF!</f>
        <v>#NAME?</v>
      </c>
      <c r="N51" s="198" t="e">
        <f t="shared" si="4"/>
        <v>#REF!</v>
      </c>
      <c r="O51" s="191" t="e">
        <f t="shared" si="5"/>
        <v>#REF!</v>
      </c>
      <c r="P51" s="191" t="e">
        <f t="shared" si="1"/>
        <v>#REF!</v>
      </c>
      <c r="Q51" s="191"/>
      <c r="R51" s="191" t="e">
        <f>IF(OR(D51&gt;0.3,D51="&gt; saturation"),1,1-(0.3-D51)*(H51*#REF!+I51*#REF!))</f>
        <v>#REF!</v>
      </c>
      <c r="S51" s="191" t="e">
        <f t="shared" si="6"/>
        <v>#REF!</v>
      </c>
      <c r="T51" s="192" t="e">
        <f t="shared" si="7"/>
        <v>#REF!</v>
      </c>
    </row>
    <row r="52" spans="1:20" x14ac:dyDescent="0.3">
      <c r="A52" s="179" t="s">
        <v>222</v>
      </c>
      <c r="B52" s="180" t="s">
        <v>266</v>
      </c>
      <c r="C52" s="181" t="s">
        <v>267</v>
      </c>
      <c r="D52" s="182" t="e">
        <f t="shared" si="0"/>
        <v>#REF!</v>
      </c>
      <c r="E52" s="183" t="e">
        <f>#REF!</f>
        <v>#REF!</v>
      </c>
      <c r="F52" s="184"/>
      <c r="G52" s="185"/>
      <c r="H52" s="185">
        <v>0.2</v>
      </c>
      <c r="I52" s="186">
        <f t="shared" si="2"/>
        <v>0.8</v>
      </c>
      <c r="J52" s="204" t="s">
        <v>259</v>
      </c>
      <c r="K52" s="187">
        <v>1.7413912581760809</v>
      </c>
      <c r="L52" s="188" t="e">
        <f t="shared" si="15"/>
        <v>#REF!</v>
      </c>
      <c r="M52" s="189" t="e">
        <f>H52*#REF!+I52*#REF!</f>
        <v>#NAME?</v>
      </c>
      <c r="N52" s="190" t="e">
        <f t="shared" si="4"/>
        <v>#REF!</v>
      </c>
      <c r="O52" s="191" t="e">
        <f t="shared" si="5"/>
        <v>#REF!</v>
      </c>
      <c r="P52" s="191" t="e">
        <f t="shared" si="1"/>
        <v>#REF!</v>
      </c>
      <c r="Q52" s="191"/>
      <c r="R52" s="191" t="e">
        <f>IF(OR(D52&gt;0.3,D52="&gt; saturation"),1,1-(0.3-D52)*(H52*#REF!+I52*#REF!))</f>
        <v>#REF!</v>
      </c>
      <c r="S52" s="191" t="e">
        <f t="shared" si="6"/>
        <v>#REF!</v>
      </c>
      <c r="T52" s="192" t="e">
        <f t="shared" si="7"/>
        <v>#REF!</v>
      </c>
    </row>
    <row r="53" spans="1:20" x14ac:dyDescent="0.3">
      <c r="A53" s="179" t="s">
        <v>222</v>
      </c>
      <c r="B53" s="180" t="s">
        <v>45</v>
      </c>
      <c r="C53" s="181"/>
      <c r="D53" s="182" t="e">
        <f t="shared" si="0"/>
        <v>#REF!</v>
      </c>
      <c r="E53" s="183" t="e">
        <f>#REF!</f>
        <v>#REF!</v>
      </c>
      <c r="F53" s="184"/>
      <c r="G53" s="185"/>
      <c r="H53" s="185">
        <v>0.2</v>
      </c>
      <c r="I53" s="186">
        <f t="shared" si="2"/>
        <v>0.8</v>
      </c>
      <c r="J53" s="204" t="s">
        <v>259</v>
      </c>
      <c r="K53" s="187">
        <v>1.7413912581760809</v>
      </c>
      <c r="L53" s="188" t="e">
        <f t="shared" si="15"/>
        <v>#REF!</v>
      </c>
      <c r="M53" s="189" t="e">
        <f>H53*#REF!+I53*#REF!</f>
        <v>#NAME?</v>
      </c>
      <c r="N53" s="190" t="e">
        <f t="shared" si="4"/>
        <v>#REF!</v>
      </c>
      <c r="O53" s="191" t="e">
        <f t="shared" si="5"/>
        <v>#REF!</v>
      </c>
      <c r="P53" s="191" t="e">
        <f t="shared" si="1"/>
        <v>#REF!</v>
      </c>
      <c r="Q53" s="191"/>
      <c r="R53" s="191" t="e">
        <f>IF(OR(D53&gt;0.3,D53="&gt; saturation"),1,1-(0.3-D53)*(H53*#REF!+I53*#REF!))</f>
        <v>#REF!</v>
      </c>
      <c r="S53" s="191" t="e">
        <f t="shared" si="6"/>
        <v>#REF!</v>
      </c>
      <c r="T53" s="192" t="e">
        <f t="shared" si="7"/>
        <v>#REF!</v>
      </c>
    </row>
    <row r="54" spans="1:20" x14ac:dyDescent="0.3">
      <c r="A54" s="179" t="s">
        <v>222</v>
      </c>
      <c r="B54" s="180" t="s">
        <v>45</v>
      </c>
      <c r="C54" s="181"/>
      <c r="D54" s="182" t="e">
        <f t="shared" si="0"/>
        <v>#REF!</v>
      </c>
      <c r="E54" s="183" t="e">
        <f>#REF!</f>
        <v>#REF!</v>
      </c>
      <c r="F54" s="184"/>
      <c r="G54" s="185"/>
      <c r="H54" s="185">
        <v>0.2</v>
      </c>
      <c r="I54" s="186">
        <f t="shared" si="2"/>
        <v>0.8</v>
      </c>
      <c r="J54" s="204" t="s">
        <v>258</v>
      </c>
      <c r="K54" s="187">
        <v>1.0220716370010374</v>
      </c>
      <c r="L54" s="188" t="e">
        <f>R54</f>
        <v>#REF!</v>
      </c>
      <c r="M54" s="189" t="e">
        <f>H54*#REF!+I54*#REF!</f>
        <v>#NAME?</v>
      </c>
      <c r="N54" s="194" t="e">
        <f t="shared" si="4"/>
        <v>#REF!</v>
      </c>
      <c r="O54" s="191" t="e">
        <f t="shared" si="5"/>
        <v>#REF!</v>
      </c>
      <c r="P54" s="191" t="e">
        <f t="shared" si="1"/>
        <v>#REF!</v>
      </c>
      <c r="Q54" s="191"/>
      <c r="R54" s="191" t="e">
        <f>IF(OR(D54&gt;0.3,D54="&gt; saturation"),1,1-(0.3-D54)*(H54*#REF!+I54*#REF!))</f>
        <v>#REF!</v>
      </c>
      <c r="S54" s="191" t="e">
        <f t="shared" si="6"/>
        <v>#REF!</v>
      </c>
      <c r="T54" s="192" t="e">
        <f t="shared" si="7"/>
        <v>#REF!</v>
      </c>
    </row>
    <row r="55" spans="1:20" x14ac:dyDescent="0.3">
      <c r="A55" s="179" t="s">
        <v>222</v>
      </c>
      <c r="B55" s="180" t="s">
        <v>47</v>
      </c>
      <c r="C55" s="181"/>
      <c r="D55" s="182" t="e">
        <f t="shared" si="0"/>
        <v>#REF!</v>
      </c>
      <c r="E55" s="183" t="e">
        <f>#REF!</f>
        <v>#REF!</v>
      </c>
      <c r="F55" s="184"/>
      <c r="G55" s="185"/>
      <c r="H55" s="185">
        <v>0.2</v>
      </c>
      <c r="I55" s="186">
        <f t="shared" si="2"/>
        <v>0.8</v>
      </c>
      <c r="J55" s="187" t="s">
        <v>258</v>
      </c>
      <c r="K55" s="187">
        <v>1.1102931949702186</v>
      </c>
      <c r="L55" s="188" t="e">
        <f>R55</f>
        <v>#REF!</v>
      </c>
      <c r="M55" s="189" t="e">
        <f>H55*#REF!+I55*#REF!</f>
        <v>#NAME?</v>
      </c>
      <c r="N55" s="194" t="e">
        <f t="shared" si="4"/>
        <v>#REF!</v>
      </c>
      <c r="O55" s="191" t="e">
        <f t="shared" si="5"/>
        <v>#REF!</v>
      </c>
      <c r="P55" s="191" t="e">
        <f t="shared" si="1"/>
        <v>#REF!</v>
      </c>
      <c r="Q55" s="191"/>
      <c r="R55" s="191" t="e">
        <f>1-(0.3-D55)*(H55*#REF!+I55*#REF!)</f>
        <v>#REF!</v>
      </c>
      <c r="S55" s="191" t="e">
        <f t="shared" si="6"/>
        <v>#REF!</v>
      </c>
      <c r="T55" s="192" t="e">
        <f t="shared" si="7"/>
        <v>#REF!</v>
      </c>
    </row>
    <row r="56" spans="1:20" x14ac:dyDescent="0.3">
      <c r="A56" s="179" t="s">
        <v>222</v>
      </c>
      <c r="B56" s="180" t="s">
        <v>48</v>
      </c>
      <c r="C56" s="181"/>
      <c r="D56" s="182" t="e">
        <f t="shared" si="0"/>
        <v>#REF!</v>
      </c>
      <c r="E56" s="183" t="e">
        <f>#REF!</f>
        <v>#REF!</v>
      </c>
      <c r="F56" s="206">
        <v>7.6999999999999999E-2</v>
      </c>
      <c r="G56" s="206"/>
      <c r="H56" s="185">
        <v>0.2</v>
      </c>
      <c r="I56" s="186">
        <f t="shared" si="2"/>
        <v>0.8</v>
      </c>
      <c r="J56" s="187" t="s">
        <v>258</v>
      </c>
      <c r="K56" s="187">
        <v>1.0248006189575118</v>
      </c>
      <c r="L56" s="188" t="e">
        <f t="shared" ref="L56:L61" si="16">R56</f>
        <v>#REF!</v>
      </c>
      <c r="M56" s="189" t="e">
        <f>H56*#REF!+I56*#REF!</f>
        <v>#NAME?</v>
      </c>
      <c r="N56" s="194" t="e">
        <f t="shared" si="4"/>
        <v>#REF!</v>
      </c>
      <c r="O56" s="191" t="e">
        <f t="shared" si="5"/>
        <v>#REF!</v>
      </c>
      <c r="P56" s="191" t="e">
        <f t="shared" si="1"/>
        <v>#REF!</v>
      </c>
      <c r="Q56" s="191"/>
      <c r="R56" s="191" t="e">
        <f>(1-(0.3-D56)*(H56*#REF!+I56*#REF!))/(1-F56)</f>
        <v>#REF!</v>
      </c>
      <c r="S56" s="191" t="e">
        <f t="shared" si="6"/>
        <v>#REF!</v>
      </c>
      <c r="T56" s="192" t="e">
        <f t="shared" si="7"/>
        <v>#REF!</v>
      </c>
    </row>
    <row r="57" spans="1:20" x14ac:dyDescent="0.3">
      <c r="A57" s="179" t="s">
        <v>222</v>
      </c>
      <c r="B57" s="180" t="s">
        <v>49</v>
      </c>
      <c r="C57" s="181"/>
      <c r="D57" s="182" t="e">
        <f t="shared" si="0"/>
        <v>#REF!</v>
      </c>
      <c r="E57" s="183" t="e">
        <f>#REF!</f>
        <v>#REF!</v>
      </c>
      <c r="F57" s="207">
        <f>0.65*F58+0.2*F61+0.1*F59+0.05*F60</f>
        <v>3.9E-2</v>
      </c>
      <c r="G57" s="199">
        <f>0.65*G58+0.2*G61+0.1*G59+0.05*G60</f>
        <v>0.71350000000000002</v>
      </c>
      <c r="H57" s="185">
        <v>0.2</v>
      </c>
      <c r="I57" s="186">
        <f t="shared" si="2"/>
        <v>0.8</v>
      </c>
      <c r="J57" s="187" t="s">
        <v>258</v>
      </c>
      <c r="K57" s="187">
        <v>1.5625882812963106</v>
      </c>
      <c r="L57" s="188" t="e">
        <f t="shared" si="16"/>
        <v>#REF!</v>
      </c>
      <c r="M57" s="189" t="e">
        <f>H57*#REF!+I57*#REF!</f>
        <v>#NAME?</v>
      </c>
      <c r="N57" s="194" t="e">
        <f t="shared" si="4"/>
        <v>#REF!</v>
      </c>
      <c r="O57" s="191" t="e">
        <f t="shared" si="5"/>
        <v>#REF!</v>
      </c>
      <c r="P57" s="191" t="e">
        <f t="shared" si="1"/>
        <v>#REF!</v>
      </c>
      <c r="Q57" s="191"/>
      <c r="R57" s="191" t="e">
        <f>0.65*R58+0.2*R61+0.1*R59+0.05*R60</f>
        <v>#REF!</v>
      </c>
      <c r="S57" s="191" t="e">
        <f t="shared" si="6"/>
        <v>#REF!</v>
      </c>
      <c r="T57" s="192" t="e">
        <f t="shared" si="7"/>
        <v>#REF!</v>
      </c>
    </row>
    <row r="58" spans="1:20" x14ac:dyDescent="0.3">
      <c r="A58" s="179" t="s">
        <v>222</v>
      </c>
      <c r="B58" s="208" t="s">
        <v>50</v>
      </c>
      <c r="C58" s="181"/>
      <c r="D58" s="182" t="e">
        <f t="shared" si="0"/>
        <v>#REF!</v>
      </c>
      <c r="E58" s="183" t="e">
        <f>#REF!</f>
        <v>#REF!</v>
      </c>
      <c r="F58" s="206">
        <v>0.06</v>
      </c>
      <c r="G58" s="209">
        <v>0.65</v>
      </c>
      <c r="H58" s="185">
        <v>0.2</v>
      </c>
      <c r="I58" s="186">
        <f t="shared" si="2"/>
        <v>0.8</v>
      </c>
      <c r="J58" s="187" t="s">
        <v>258</v>
      </c>
      <c r="K58" s="187">
        <v>1.4205474745771804</v>
      </c>
      <c r="L58" s="188" t="e">
        <f t="shared" si="16"/>
        <v>#REF!</v>
      </c>
      <c r="M58" s="189" t="e">
        <f>H58*#REF!+I58*#REF!</f>
        <v>#NAME?</v>
      </c>
      <c r="N58" s="194" t="e">
        <f t="shared" si="4"/>
        <v>#REF!</v>
      </c>
      <c r="O58" s="191" t="e">
        <f t="shared" si="5"/>
        <v>#REF!</v>
      </c>
      <c r="P58" s="191" t="e">
        <f t="shared" si="1"/>
        <v>#REF!</v>
      </c>
      <c r="Q58" s="191"/>
      <c r="R58" s="191" t="e">
        <f>N58/G58</f>
        <v>#REF!</v>
      </c>
      <c r="S58" s="191" t="e">
        <f t="shared" si="6"/>
        <v>#REF!</v>
      </c>
      <c r="T58" s="192" t="e">
        <f t="shared" si="7"/>
        <v>#REF!</v>
      </c>
    </row>
    <row r="59" spans="1:20" x14ac:dyDescent="0.3">
      <c r="A59" s="179" t="s">
        <v>222</v>
      </c>
      <c r="B59" s="208" t="s">
        <v>53</v>
      </c>
      <c r="C59" s="181"/>
      <c r="D59" s="182" t="e">
        <f t="shared" si="0"/>
        <v>#REF!</v>
      </c>
      <c r="E59" s="183" t="e">
        <f>#REF!</f>
        <v>#REF!</v>
      </c>
      <c r="F59" s="206"/>
      <c r="G59" s="209">
        <v>0.85</v>
      </c>
      <c r="H59" s="185">
        <v>0.2</v>
      </c>
      <c r="I59" s="186">
        <f t="shared" si="2"/>
        <v>0.8</v>
      </c>
      <c r="J59" s="187" t="s">
        <v>258</v>
      </c>
      <c r="K59" s="187">
        <v>1.9762117076769286</v>
      </c>
      <c r="L59" s="188" t="e">
        <f t="shared" si="16"/>
        <v>#REF!</v>
      </c>
      <c r="M59" s="189" t="e">
        <f>H59*#REF!+I59*#REF!</f>
        <v>#NAME?</v>
      </c>
      <c r="N59" s="205" t="e">
        <f t="shared" si="4"/>
        <v>#REF!</v>
      </c>
      <c r="O59" s="191" t="e">
        <f t="shared" si="5"/>
        <v>#REF!</v>
      </c>
      <c r="P59" s="191" t="e">
        <f t="shared" si="1"/>
        <v>#REF!</v>
      </c>
      <c r="Q59" s="191"/>
      <c r="R59" s="191" t="e">
        <f>N59/G59</f>
        <v>#REF!</v>
      </c>
      <c r="S59" s="191" t="e">
        <f t="shared" si="6"/>
        <v>#REF!</v>
      </c>
      <c r="T59" s="192" t="e">
        <f t="shared" si="7"/>
        <v>#REF!</v>
      </c>
    </row>
    <row r="60" spans="1:20" x14ac:dyDescent="0.3">
      <c r="A60" s="179" t="s">
        <v>222</v>
      </c>
      <c r="B60" s="208" t="s">
        <v>51</v>
      </c>
      <c r="C60" s="181"/>
      <c r="D60" s="182" t="e">
        <f t="shared" si="0"/>
        <v>#REF!</v>
      </c>
      <c r="E60" s="183" t="e">
        <f>#REF!</f>
        <v>#REF!</v>
      </c>
      <c r="F60" s="206"/>
      <c r="G60" s="209">
        <v>1</v>
      </c>
      <c r="H60" s="185">
        <v>0.2</v>
      </c>
      <c r="I60" s="186">
        <f t="shared" si="2"/>
        <v>0.8</v>
      </c>
      <c r="J60" s="187" t="s">
        <v>258</v>
      </c>
      <c r="K60" s="187">
        <v>2.3249549502081512</v>
      </c>
      <c r="L60" s="188" t="e">
        <f t="shared" si="16"/>
        <v>#REF!</v>
      </c>
      <c r="M60" s="189" t="e">
        <f>H60*#REF!+I60*#REF!</f>
        <v>#NAME?</v>
      </c>
      <c r="N60" s="205" t="e">
        <f t="shared" si="4"/>
        <v>#REF!</v>
      </c>
      <c r="O60" s="191" t="e">
        <f t="shared" si="5"/>
        <v>#REF!</v>
      </c>
      <c r="P60" s="191" t="e">
        <f t="shared" si="1"/>
        <v>#REF!</v>
      </c>
      <c r="Q60" s="191"/>
      <c r="R60" s="191" t="e">
        <f>N60/G60</f>
        <v>#REF!</v>
      </c>
      <c r="S60" s="191" t="e">
        <f t="shared" si="6"/>
        <v>#REF!</v>
      </c>
      <c r="T60" s="192" t="e">
        <f t="shared" si="7"/>
        <v>#REF!</v>
      </c>
    </row>
    <row r="61" spans="1:20" x14ac:dyDescent="0.3">
      <c r="A61" s="179" t="s">
        <v>222</v>
      </c>
      <c r="B61" s="208" t="s">
        <v>52</v>
      </c>
      <c r="C61" s="181"/>
      <c r="D61" s="182" t="e">
        <f t="shared" si="0"/>
        <v>#REF!</v>
      </c>
      <c r="E61" s="183" t="e">
        <f>#REF!</f>
        <v>#REF!</v>
      </c>
      <c r="F61" s="206"/>
      <c r="G61" s="209">
        <v>0.78</v>
      </c>
      <c r="H61" s="185">
        <v>0.2</v>
      </c>
      <c r="I61" s="186">
        <f t="shared" si="2"/>
        <v>0.8</v>
      </c>
      <c r="J61" s="187" t="s">
        <v>258</v>
      </c>
      <c r="K61" s="187">
        <v>1.8134648611623581</v>
      </c>
      <c r="L61" s="188" t="e">
        <f t="shared" si="16"/>
        <v>#REF!</v>
      </c>
      <c r="M61" s="189" t="e">
        <f>H61*#REF!+I61*#REF!</f>
        <v>#NAME?</v>
      </c>
      <c r="N61" s="205" t="e">
        <f t="shared" si="4"/>
        <v>#REF!</v>
      </c>
      <c r="O61" s="191" t="e">
        <f t="shared" si="5"/>
        <v>#REF!</v>
      </c>
      <c r="P61" s="191" t="e">
        <f t="shared" si="1"/>
        <v>#REF!</v>
      </c>
      <c r="Q61" s="191"/>
      <c r="R61" s="191" t="e">
        <f>N61/G61</f>
        <v>#REF!</v>
      </c>
      <c r="S61" s="191" t="e">
        <f t="shared" si="6"/>
        <v>#REF!</v>
      </c>
      <c r="T61" s="192" t="e">
        <f t="shared" si="7"/>
        <v>#REF!</v>
      </c>
    </row>
    <row r="62" spans="1:20" x14ac:dyDescent="0.3">
      <c r="A62" s="179" t="s">
        <v>222</v>
      </c>
      <c r="B62" s="208" t="s">
        <v>46</v>
      </c>
      <c r="C62" s="181"/>
      <c r="D62" s="182" t="e">
        <f t="shared" si="0"/>
        <v>#REF!</v>
      </c>
      <c r="E62" s="183" t="e">
        <f>#REF!</f>
        <v>#REF!</v>
      </c>
      <c r="F62" s="207">
        <f>F57</f>
        <v>3.9E-2</v>
      </c>
      <c r="G62" s="210">
        <f>G57</f>
        <v>0.71350000000000002</v>
      </c>
      <c r="H62" s="185">
        <v>0.2</v>
      </c>
      <c r="I62" s="186">
        <f t="shared" si="2"/>
        <v>0.8</v>
      </c>
      <c r="J62" s="204" t="s">
        <v>259</v>
      </c>
      <c r="K62" s="187">
        <v>2.2342817071500329</v>
      </c>
      <c r="L62" s="188" t="e">
        <f>N62</f>
        <v>#REF!</v>
      </c>
      <c r="M62" s="189" t="e">
        <f>H62*#REF!+I62*#REF!</f>
        <v>#NAME?</v>
      </c>
      <c r="N62" s="194" t="e">
        <f t="shared" si="4"/>
        <v>#REF!</v>
      </c>
      <c r="O62" s="191" t="e">
        <f t="shared" si="5"/>
        <v>#REF!</v>
      </c>
      <c r="P62" s="191" t="e">
        <f t="shared" si="1"/>
        <v>#REF!</v>
      </c>
      <c r="Q62" s="191"/>
      <c r="R62" s="191" t="e">
        <f>R57</f>
        <v>#REF!</v>
      </c>
      <c r="S62" s="191" t="e">
        <f t="shared" si="6"/>
        <v>#REF!</v>
      </c>
      <c r="T62" s="192" t="e">
        <f t="shared" si="7"/>
        <v>#REF!</v>
      </c>
    </row>
    <row r="63" spans="1:20" x14ac:dyDescent="0.3">
      <c r="A63" s="179" t="s">
        <v>222</v>
      </c>
      <c r="B63" s="208" t="s">
        <v>54</v>
      </c>
      <c r="C63" s="181"/>
      <c r="D63" s="182" t="e">
        <f t="shared" si="0"/>
        <v>#REF!</v>
      </c>
      <c r="E63" s="183" t="e">
        <f>#REF!</f>
        <v>#REF!</v>
      </c>
      <c r="F63" s="206"/>
      <c r="G63" s="209"/>
      <c r="H63" s="185">
        <v>0.2</v>
      </c>
      <c r="I63" s="186">
        <f t="shared" si="2"/>
        <v>0.8</v>
      </c>
      <c r="J63" s="204" t="s">
        <v>259</v>
      </c>
      <c r="K63" s="187">
        <v>2.238931617654961</v>
      </c>
      <c r="L63" s="188" t="e">
        <f t="shared" ref="L63:L69" si="17">N63</f>
        <v>#REF!</v>
      </c>
      <c r="M63" s="189" t="e">
        <f>H63*#REF!+I63*#REF!</f>
        <v>#NAME?</v>
      </c>
      <c r="N63" s="194" t="e">
        <f t="shared" si="4"/>
        <v>#REF!</v>
      </c>
      <c r="O63" s="191" t="e">
        <f t="shared" si="5"/>
        <v>#REF!</v>
      </c>
      <c r="P63" s="191" t="e">
        <f t="shared" si="1"/>
        <v>#REF!</v>
      </c>
      <c r="Q63" s="191"/>
      <c r="R63" s="191" t="e">
        <f>1/N63*#REF!</f>
        <v>#REF!</v>
      </c>
      <c r="S63" s="191" t="e">
        <f t="shared" si="6"/>
        <v>#REF!</v>
      </c>
      <c r="T63" s="192" t="e">
        <f t="shared" si="7"/>
        <v>#REF!</v>
      </c>
    </row>
    <row r="64" spans="1:20" x14ac:dyDescent="0.3">
      <c r="A64" s="179" t="s">
        <v>222</v>
      </c>
      <c r="B64" s="180" t="s">
        <v>56</v>
      </c>
      <c r="C64" s="181"/>
      <c r="D64" s="182" t="e">
        <f t="shared" si="0"/>
        <v>#REF!</v>
      </c>
      <c r="E64" s="183" t="e">
        <f>#REF!</f>
        <v>#REF!</v>
      </c>
      <c r="F64" s="184"/>
      <c r="G64" s="185"/>
      <c r="H64" s="185">
        <v>0.2</v>
      </c>
      <c r="I64" s="186">
        <f t="shared" si="2"/>
        <v>0.8</v>
      </c>
      <c r="J64" s="204" t="s">
        <v>259</v>
      </c>
      <c r="K64" s="187">
        <v>2.238931617654961</v>
      </c>
      <c r="L64" s="188" t="e">
        <f t="shared" si="17"/>
        <v>#REF!</v>
      </c>
      <c r="M64" s="189" t="e">
        <f>H64*#REF!+I64*#REF!</f>
        <v>#NAME?</v>
      </c>
      <c r="N64" s="194" t="e">
        <f t="shared" si="4"/>
        <v>#REF!</v>
      </c>
      <c r="O64" s="191" t="e">
        <f t="shared" si="5"/>
        <v>#REF!</v>
      </c>
      <c r="P64" s="191" t="e">
        <f t="shared" si="1"/>
        <v>#REF!</v>
      </c>
      <c r="Q64" s="191"/>
      <c r="R64" s="191" t="e">
        <f>1/N64*#REF!</f>
        <v>#REF!</v>
      </c>
      <c r="S64" s="191" t="e">
        <f t="shared" si="6"/>
        <v>#REF!</v>
      </c>
      <c r="T64" s="192" t="e">
        <f t="shared" si="7"/>
        <v>#REF!</v>
      </c>
    </row>
    <row r="65" spans="1:20" x14ac:dyDescent="0.3">
      <c r="A65" s="179" t="s">
        <v>222</v>
      </c>
      <c r="B65" s="180" t="s">
        <v>55</v>
      </c>
      <c r="C65" s="181"/>
      <c r="D65" s="182" t="e">
        <f t="shared" si="0"/>
        <v>#REF!</v>
      </c>
      <c r="E65" s="183" t="e">
        <f>#REF!</f>
        <v>#REF!</v>
      </c>
      <c r="F65" s="184"/>
      <c r="G65" s="185"/>
      <c r="H65" s="185">
        <v>0.2</v>
      </c>
      <c r="I65" s="186">
        <f t="shared" si="2"/>
        <v>0.8</v>
      </c>
      <c r="J65" s="204" t="s">
        <v>259</v>
      </c>
      <c r="K65" s="187">
        <v>2.238931617654961</v>
      </c>
      <c r="L65" s="188" t="e">
        <f t="shared" si="17"/>
        <v>#REF!</v>
      </c>
      <c r="M65" s="189" t="e">
        <f>H65*#REF!+I65*#REF!</f>
        <v>#NAME?</v>
      </c>
      <c r="N65" s="194" t="e">
        <f t="shared" si="4"/>
        <v>#REF!</v>
      </c>
      <c r="O65" s="191" t="e">
        <f t="shared" si="5"/>
        <v>#REF!</v>
      </c>
      <c r="P65" s="191" t="e">
        <f t="shared" si="1"/>
        <v>#REF!</v>
      </c>
      <c r="Q65" s="191"/>
      <c r="R65" s="191" t="e">
        <f>1/N65*#REF!</f>
        <v>#REF!</v>
      </c>
      <c r="S65" s="191" t="e">
        <f t="shared" si="6"/>
        <v>#REF!</v>
      </c>
      <c r="T65" s="192" t="e">
        <f t="shared" si="7"/>
        <v>#REF!</v>
      </c>
    </row>
    <row r="66" spans="1:20" x14ac:dyDescent="0.3">
      <c r="A66" s="179" t="s">
        <v>222</v>
      </c>
      <c r="B66" s="180" t="s">
        <v>57</v>
      </c>
      <c r="C66" s="181"/>
      <c r="D66" s="182" t="e">
        <f t="shared" si="0"/>
        <v>#REF!</v>
      </c>
      <c r="E66" s="183" t="e">
        <f>#REF!</f>
        <v>#REF!</v>
      </c>
      <c r="F66" s="184"/>
      <c r="G66" s="185"/>
      <c r="H66" s="185">
        <v>0.2</v>
      </c>
      <c r="I66" s="186">
        <f t="shared" si="2"/>
        <v>0.8</v>
      </c>
      <c r="J66" s="204" t="s">
        <v>259</v>
      </c>
      <c r="K66" s="187">
        <v>2.238931617654961</v>
      </c>
      <c r="L66" s="188" t="e">
        <f t="shared" si="17"/>
        <v>#REF!</v>
      </c>
      <c r="M66" s="189" t="e">
        <f>H66*#REF!+I66*#REF!</f>
        <v>#NAME?</v>
      </c>
      <c r="N66" s="194" t="e">
        <f t="shared" si="4"/>
        <v>#REF!</v>
      </c>
      <c r="O66" s="191" t="e">
        <f t="shared" si="5"/>
        <v>#REF!</v>
      </c>
      <c r="P66" s="191" t="e">
        <f t="shared" si="1"/>
        <v>#REF!</v>
      </c>
      <c r="Q66" s="191"/>
      <c r="R66" s="191" t="e">
        <f>1/N66*#REF!</f>
        <v>#REF!</v>
      </c>
      <c r="S66" s="191" t="e">
        <f t="shared" si="6"/>
        <v>#REF!</v>
      </c>
      <c r="T66" s="192" t="e">
        <f t="shared" si="7"/>
        <v>#REF!</v>
      </c>
    </row>
    <row r="67" spans="1:20" x14ac:dyDescent="0.3">
      <c r="A67" s="179" t="s">
        <v>222</v>
      </c>
      <c r="B67" s="180" t="s">
        <v>58</v>
      </c>
      <c r="C67" s="181"/>
      <c r="D67" s="182" t="e">
        <f t="shared" si="0"/>
        <v>#REF!</v>
      </c>
      <c r="E67" s="183" t="e">
        <f>#REF!</f>
        <v>#REF!</v>
      </c>
      <c r="F67" s="183">
        <v>0.1</v>
      </c>
      <c r="G67" s="183"/>
      <c r="H67" s="185">
        <v>0.2</v>
      </c>
      <c r="I67" s="186">
        <f t="shared" si="2"/>
        <v>0.8</v>
      </c>
      <c r="J67" s="204" t="s">
        <v>259</v>
      </c>
      <c r="K67" s="187">
        <v>2.0924594551873361</v>
      </c>
      <c r="L67" s="188" t="e">
        <f t="shared" si="17"/>
        <v>#REF!</v>
      </c>
      <c r="M67" s="189" t="e">
        <f>H67*#REF!+I67*#REF!</f>
        <v>#NAME?</v>
      </c>
      <c r="N67" s="194" t="e">
        <f t="shared" si="4"/>
        <v>#REF!</v>
      </c>
      <c r="O67" s="191" t="e">
        <f t="shared" si="5"/>
        <v>#REF!</v>
      </c>
      <c r="P67" s="191" t="e">
        <f t="shared" si="1"/>
        <v>#REF!</v>
      </c>
      <c r="Q67" s="191"/>
      <c r="R67" s="191" t="e">
        <f>1/N67*#REF!</f>
        <v>#REF!</v>
      </c>
      <c r="S67" s="191" t="e">
        <f t="shared" si="6"/>
        <v>#REF!</v>
      </c>
      <c r="T67" s="192" t="e">
        <f t="shared" si="7"/>
        <v>#REF!</v>
      </c>
    </row>
    <row r="68" spans="1:20" x14ac:dyDescent="0.3">
      <c r="A68" s="179" t="s">
        <v>222</v>
      </c>
      <c r="B68" s="180" t="s">
        <v>59</v>
      </c>
      <c r="C68" s="181"/>
      <c r="D68" s="182" t="e">
        <f t="shared" si="0"/>
        <v>#REF!</v>
      </c>
      <c r="E68" s="183" t="e">
        <f>#REF!</f>
        <v>#REF!</v>
      </c>
      <c r="F68" s="183">
        <v>0.1</v>
      </c>
      <c r="G68" s="183"/>
      <c r="H68" s="185">
        <v>0.2</v>
      </c>
      <c r="I68" s="186">
        <f t="shared" si="2"/>
        <v>0.8</v>
      </c>
      <c r="J68" s="204" t="s">
        <v>259</v>
      </c>
      <c r="K68" s="187">
        <v>2.0924594551873361</v>
      </c>
      <c r="L68" s="188" t="e">
        <f t="shared" si="17"/>
        <v>#REF!</v>
      </c>
      <c r="M68" s="189" t="e">
        <f>H68*#REF!+I68*#REF!</f>
        <v>#NAME?</v>
      </c>
      <c r="N68" s="194" t="e">
        <f t="shared" ref="N68:N69" si="18">IF(D68="&gt; saturation",M68/(1-0.3)/(1-F68),M68/(1-E68)/(1-F68))</f>
        <v>#REF!</v>
      </c>
      <c r="O68" s="191" t="e">
        <f t="shared" si="5"/>
        <v>#REF!</v>
      </c>
      <c r="P68" s="191" t="e">
        <f t="shared" si="1"/>
        <v>#REF!</v>
      </c>
      <c r="Q68" s="191"/>
      <c r="R68" s="191" t="e">
        <f>1/N68*#REF!</f>
        <v>#REF!</v>
      </c>
      <c r="S68" s="191" t="e">
        <f t="shared" ref="S68:S77" si="19">R68/0.4</f>
        <v>#REF!</v>
      </c>
      <c r="T68" s="192" t="e">
        <f t="shared" ref="T68:T77" si="20">R68*1.5</f>
        <v>#REF!</v>
      </c>
    </row>
    <row r="69" spans="1:20" x14ac:dyDescent="0.3">
      <c r="A69" s="179" t="s">
        <v>222</v>
      </c>
      <c r="B69" s="180" t="s">
        <v>37</v>
      </c>
      <c r="C69" s="211"/>
      <c r="D69" s="212" t="e">
        <f t="shared" si="0"/>
        <v>#REF!</v>
      </c>
      <c r="E69" s="213" t="e">
        <f>#REF!</f>
        <v>#REF!</v>
      </c>
      <c r="F69" s="214"/>
      <c r="G69" s="215"/>
      <c r="H69" s="215">
        <v>0.2</v>
      </c>
      <c r="I69" s="216">
        <f t="shared" si="2"/>
        <v>0.8</v>
      </c>
      <c r="J69" s="217" t="s">
        <v>259</v>
      </c>
      <c r="K69" s="218">
        <v>1.9901614379155212</v>
      </c>
      <c r="L69" s="219" t="e">
        <f t="shared" si="17"/>
        <v>#REF!</v>
      </c>
      <c r="M69" s="220" t="e">
        <f>H69*#REF!+I69*#REF!</f>
        <v>#NAME?</v>
      </c>
      <c r="N69" s="194" t="e">
        <f t="shared" si="18"/>
        <v>#REF!</v>
      </c>
      <c r="O69" s="191" t="e">
        <f t="shared" si="5"/>
        <v>#REF!</v>
      </c>
      <c r="P69" s="191" t="e">
        <f t="shared" si="1"/>
        <v>#REF!</v>
      </c>
      <c r="Q69" s="191"/>
      <c r="R69" s="191" t="e">
        <f>1-(0.3-D69)*(H69*#REF!+I69*#REF!)</f>
        <v>#REF!</v>
      </c>
      <c r="S69" s="191" t="e">
        <f t="shared" si="19"/>
        <v>#REF!</v>
      </c>
      <c r="T69" s="192" t="e">
        <f t="shared" si="20"/>
        <v>#REF!</v>
      </c>
    </row>
    <row r="70" spans="1:20" x14ac:dyDescent="0.3">
      <c r="A70" s="221" t="s">
        <v>268</v>
      </c>
      <c r="B70" s="222" t="s">
        <v>17</v>
      </c>
      <c r="C70" s="181" t="s">
        <v>269</v>
      </c>
      <c r="D70" s="223">
        <v>0.66700000000000004</v>
      </c>
      <c r="E70" s="183" t="e">
        <f>#REF!</f>
        <v>#REF!</v>
      </c>
      <c r="F70" s="184"/>
      <c r="G70" s="184"/>
      <c r="H70" s="186">
        <v>0.2</v>
      </c>
      <c r="I70" s="186">
        <v>0.8</v>
      </c>
      <c r="J70" s="204" t="s">
        <v>259</v>
      </c>
      <c r="K70" s="187">
        <v>1.4926210784366407</v>
      </c>
      <c r="L70" s="188" t="e">
        <f>N70</f>
        <v>#NAME?</v>
      </c>
      <c r="M70" s="189" t="e">
        <f>H70*#REF!+I70*#REF!</f>
        <v>#NAME?</v>
      </c>
      <c r="N70" s="191" t="e">
        <f>IF(D70="&gt; saturation",M70/(1-0.4)/(1-F70),M70/(1-E70)/(1-F70))</f>
        <v>#NAME?</v>
      </c>
      <c r="O70" s="224" t="e">
        <f t="shared" ref="O70:O73" si="21">5*(1-E70)-0.7*E70</f>
        <v>#REF!</v>
      </c>
      <c r="P70" s="224" t="e">
        <f t="shared" ref="P70:P73" si="22">O70*N70</f>
        <v>#REF!</v>
      </c>
      <c r="Q70" s="225"/>
      <c r="R70" s="224">
        <v>1</v>
      </c>
      <c r="S70" s="191">
        <f t="shared" si="19"/>
        <v>2.5</v>
      </c>
      <c r="T70" s="192">
        <f t="shared" si="20"/>
        <v>1.5</v>
      </c>
    </row>
    <row r="71" spans="1:20" x14ac:dyDescent="0.3">
      <c r="A71" s="179" t="s">
        <v>268</v>
      </c>
      <c r="B71" s="180" t="s">
        <v>38</v>
      </c>
      <c r="C71" s="181" t="s">
        <v>269</v>
      </c>
      <c r="D71" s="201" t="e">
        <f>E71/(1-E71)</f>
        <v>#REF!</v>
      </c>
      <c r="E71" s="183" t="e">
        <f>#REF!</f>
        <v>#REF!</v>
      </c>
      <c r="F71" s="184"/>
      <c r="G71" s="185"/>
      <c r="H71" s="186">
        <v>0.2</v>
      </c>
      <c r="I71" s="185">
        <v>0.8</v>
      </c>
      <c r="J71" s="204" t="s">
        <v>259</v>
      </c>
      <c r="K71" s="187">
        <v>2.1145465277852411</v>
      </c>
      <c r="L71" s="188" t="e">
        <f t="shared" ref="L71:L77" si="23">N71</f>
        <v>#REF!</v>
      </c>
      <c r="M71" s="189" t="e">
        <f>H71*#REF!+I71*#REF!</f>
        <v>#NAME?</v>
      </c>
      <c r="N71" s="191" t="e">
        <f t="shared" ref="N71:N77" si="24">IF(D71="&gt; saturation",M71/(1-0.4)/(1-F71),M71/(1-E71)/(1-F71))</f>
        <v>#REF!</v>
      </c>
      <c r="O71" s="191" t="e">
        <f t="shared" si="21"/>
        <v>#REF!</v>
      </c>
      <c r="P71" s="191" t="e">
        <f t="shared" si="22"/>
        <v>#REF!</v>
      </c>
      <c r="Q71" s="226"/>
      <c r="R71" s="191" t="e">
        <f>1-(0.3-D71)*(H71*#REF!+I71*#REF!)</f>
        <v>#REF!</v>
      </c>
      <c r="S71" s="191" t="e">
        <f t="shared" si="19"/>
        <v>#REF!</v>
      </c>
      <c r="T71" s="192" t="e">
        <f t="shared" si="20"/>
        <v>#REF!</v>
      </c>
    </row>
    <row r="72" spans="1:20" x14ac:dyDescent="0.3">
      <c r="A72" s="179" t="s">
        <v>268</v>
      </c>
      <c r="B72" s="180" t="s">
        <v>45</v>
      </c>
      <c r="C72" s="181" t="s">
        <v>269</v>
      </c>
      <c r="D72" s="201">
        <v>0.25</v>
      </c>
      <c r="E72" s="183" t="e">
        <f>#REF!</f>
        <v>#REF!</v>
      </c>
      <c r="F72" s="184"/>
      <c r="G72" s="185"/>
      <c r="H72" s="185">
        <v>0.2</v>
      </c>
      <c r="I72" s="185">
        <v>0.8</v>
      </c>
      <c r="J72" s="204" t="s">
        <v>259</v>
      </c>
      <c r="K72" s="187">
        <v>1.9901614379155212</v>
      </c>
      <c r="L72" s="188" t="e">
        <f t="shared" si="23"/>
        <v>#NAME?</v>
      </c>
      <c r="M72" s="189" t="e">
        <f>H72*#REF!+I72*#REF!</f>
        <v>#NAME?</v>
      </c>
      <c r="N72" s="191" t="e">
        <f t="shared" si="24"/>
        <v>#NAME?</v>
      </c>
      <c r="O72" s="191" t="e">
        <f t="shared" si="21"/>
        <v>#REF!</v>
      </c>
      <c r="P72" s="191" t="e">
        <f t="shared" si="22"/>
        <v>#REF!</v>
      </c>
      <c r="Q72" s="227"/>
      <c r="R72" s="191" t="e">
        <f>1-(0.3-D72)*(H72*#REF!+I72*#REF!)</f>
        <v>#NAME?</v>
      </c>
      <c r="S72" s="191" t="e">
        <f t="shared" si="19"/>
        <v>#NAME?</v>
      </c>
      <c r="T72" s="192" t="e">
        <f t="shared" si="20"/>
        <v>#NAME?</v>
      </c>
    </row>
    <row r="73" spans="1:20" x14ac:dyDescent="0.3">
      <c r="A73" s="179" t="s">
        <v>268</v>
      </c>
      <c r="B73" s="180" t="s">
        <v>24</v>
      </c>
      <c r="C73" s="181" t="s">
        <v>269</v>
      </c>
      <c r="D73" s="201">
        <v>0.55000000000000004</v>
      </c>
      <c r="E73" s="183" t="e">
        <f>#REF!</f>
        <v>#REF!</v>
      </c>
      <c r="F73" s="184"/>
      <c r="G73" s="185"/>
      <c r="H73" s="185">
        <v>0.2</v>
      </c>
      <c r="I73" s="185">
        <v>0.8</v>
      </c>
      <c r="J73" s="204" t="s">
        <v>259</v>
      </c>
      <c r="K73" s="187">
        <v>1.617006168306361</v>
      </c>
      <c r="L73" s="188" t="e">
        <f t="shared" si="23"/>
        <v>#NAME?</v>
      </c>
      <c r="M73" s="189" t="e">
        <f>H73*#REF!+I73*#REF!</f>
        <v>#NAME?</v>
      </c>
      <c r="N73" s="191" t="e">
        <f t="shared" si="24"/>
        <v>#NAME?</v>
      </c>
      <c r="O73" s="191" t="e">
        <f t="shared" si="21"/>
        <v>#REF!</v>
      </c>
      <c r="P73" s="191" t="e">
        <f t="shared" si="22"/>
        <v>#REF!</v>
      </c>
      <c r="Q73" s="227"/>
      <c r="R73" s="228"/>
      <c r="S73" s="191">
        <f t="shared" si="19"/>
        <v>0</v>
      </c>
      <c r="T73" s="192">
        <f t="shared" si="20"/>
        <v>0</v>
      </c>
    </row>
    <row r="74" spans="1:20" x14ac:dyDescent="0.3">
      <c r="A74" s="179" t="s">
        <v>268</v>
      </c>
      <c r="B74" s="208" t="s">
        <v>46</v>
      </c>
      <c r="C74" s="181" t="s">
        <v>269</v>
      </c>
      <c r="D74" s="201">
        <v>7.0000000000000007E-2</v>
      </c>
      <c r="E74" s="183" t="e">
        <f>#REF!</f>
        <v>#REF!</v>
      </c>
      <c r="F74" s="207">
        <f>F57</f>
        <v>3.9E-2</v>
      </c>
      <c r="G74" s="210">
        <f>G57</f>
        <v>0.71350000000000002</v>
      </c>
      <c r="H74" s="185">
        <v>0.2</v>
      </c>
      <c r="I74" s="185">
        <v>0.8</v>
      </c>
      <c r="J74" s="204" t="s">
        <v>259</v>
      </c>
      <c r="K74" s="187">
        <v>1.5625882812963106</v>
      </c>
      <c r="L74" s="188" t="e">
        <f t="shared" si="23"/>
        <v>#NAME?</v>
      </c>
      <c r="M74" s="189" t="e">
        <f>H74*#REF!+I74*#REF!</f>
        <v>#NAME?</v>
      </c>
      <c r="N74" s="191" t="e">
        <f t="shared" si="24"/>
        <v>#NAME?</v>
      </c>
      <c r="O74" s="191" t="e">
        <f>O57</f>
        <v>#REF!</v>
      </c>
      <c r="P74" s="191" t="e">
        <f>P57</f>
        <v>#REF!</v>
      </c>
      <c r="Q74" s="227"/>
      <c r="R74" s="191" t="e">
        <f>R57</f>
        <v>#REF!</v>
      </c>
      <c r="S74" s="191" t="e">
        <f t="shared" si="19"/>
        <v>#REF!</v>
      </c>
      <c r="T74" s="192" t="e">
        <f t="shared" si="20"/>
        <v>#REF!</v>
      </c>
    </row>
    <row r="75" spans="1:20" x14ac:dyDescent="0.3">
      <c r="A75" s="179" t="s">
        <v>268</v>
      </c>
      <c r="B75" s="208" t="s">
        <v>54</v>
      </c>
      <c r="C75" s="181" t="s">
        <v>269</v>
      </c>
      <c r="D75" s="201">
        <v>0.111</v>
      </c>
      <c r="E75" s="183" t="e">
        <f>#REF!</f>
        <v>#REF!</v>
      </c>
      <c r="F75" s="206"/>
      <c r="G75" s="209"/>
      <c r="H75" s="185">
        <v>0.2</v>
      </c>
      <c r="I75" s="185">
        <v>0.8</v>
      </c>
      <c r="J75" s="204" t="s">
        <v>259</v>
      </c>
      <c r="K75" s="187">
        <v>2.238931617654961</v>
      </c>
      <c r="L75" s="188" t="e">
        <f t="shared" si="23"/>
        <v>#NAME?</v>
      </c>
      <c r="M75" s="189" t="e">
        <f>H75*#REF!+I75*#REF!</f>
        <v>#NAME?</v>
      </c>
      <c r="N75" s="191" t="e">
        <f t="shared" si="24"/>
        <v>#NAME?</v>
      </c>
      <c r="O75" s="191" t="e">
        <f>5*(1-E75)-0.7*E75</f>
        <v>#REF!</v>
      </c>
      <c r="P75" s="191" t="e">
        <f>O75*N75</f>
        <v>#REF!</v>
      </c>
      <c r="Q75" s="227"/>
      <c r="R75" s="229"/>
      <c r="S75" s="191">
        <f t="shared" si="19"/>
        <v>0</v>
      </c>
      <c r="T75" s="192">
        <f t="shared" si="20"/>
        <v>0</v>
      </c>
    </row>
    <row r="76" spans="1:20" x14ac:dyDescent="0.3">
      <c r="A76" s="179" t="s">
        <v>268</v>
      </c>
      <c r="B76" s="180" t="s">
        <v>58</v>
      </c>
      <c r="C76" s="181" t="s">
        <v>269</v>
      </c>
      <c r="D76" s="201">
        <v>7.0000000000000007E-2</v>
      </c>
      <c r="E76" s="183" t="e">
        <f>#REF!</f>
        <v>#REF!</v>
      </c>
      <c r="F76" s="183">
        <v>0.1</v>
      </c>
      <c r="G76" s="183"/>
      <c r="H76" s="185">
        <v>0.2</v>
      </c>
      <c r="I76" s="185">
        <v>0.8</v>
      </c>
      <c r="J76" s="204" t="s">
        <v>259</v>
      </c>
      <c r="K76" s="187">
        <v>2.0924594551873361</v>
      </c>
      <c r="L76" s="188" t="e">
        <f t="shared" si="23"/>
        <v>#NAME?</v>
      </c>
      <c r="M76" s="189" t="e">
        <f>H76*#REF!+I76*#REF!</f>
        <v>#NAME?</v>
      </c>
      <c r="N76" s="191" t="e">
        <f t="shared" si="24"/>
        <v>#NAME?</v>
      </c>
      <c r="O76" s="191" t="e">
        <f>5*(1-E76)-0.7*E76</f>
        <v>#REF!</v>
      </c>
      <c r="P76" s="191" t="e">
        <f>O76*N76</f>
        <v>#REF!</v>
      </c>
      <c r="Q76" s="227"/>
      <c r="R76" s="229"/>
      <c r="S76" s="191">
        <f t="shared" si="19"/>
        <v>0</v>
      </c>
      <c r="T76" s="192">
        <f t="shared" si="20"/>
        <v>0</v>
      </c>
    </row>
    <row r="77" spans="1:20" x14ac:dyDescent="0.3">
      <c r="A77" s="230" t="s">
        <v>268</v>
      </c>
      <c r="B77" s="231" t="s">
        <v>59</v>
      </c>
      <c r="C77" s="211" t="s">
        <v>269</v>
      </c>
      <c r="D77" s="232">
        <v>7.0000000000000007E-2</v>
      </c>
      <c r="E77" s="183" t="e">
        <f>#REF!</f>
        <v>#REF!</v>
      </c>
      <c r="F77" s="213">
        <v>0.1</v>
      </c>
      <c r="G77" s="213"/>
      <c r="H77" s="215">
        <v>0.2</v>
      </c>
      <c r="I77" s="215">
        <v>0.8</v>
      </c>
      <c r="J77" s="204" t="s">
        <v>259</v>
      </c>
      <c r="K77" s="218">
        <v>2.0924594551873361</v>
      </c>
      <c r="L77" s="188" t="e">
        <f t="shared" si="23"/>
        <v>#NAME?</v>
      </c>
      <c r="M77" s="220" t="e">
        <f>H77*#REF!+I77*#REF!</f>
        <v>#NAME?</v>
      </c>
      <c r="N77" s="191" t="e">
        <f t="shared" si="24"/>
        <v>#NAME?</v>
      </c>
      <c r="O77" s="233" t="e">
        <f>5*(1-E77)-0.7*E77</f>
        <v>#REF!</v>
      </c>
      <c r="P77" s="233" t="e">
        <f>O77*N77</f>
        <v>#REF!</v>
      </c>
      <c r="Q77" s="234"/>
      <c r="R77" s="235"/>
      <c r="S77" s="191">
        <f t="shared" si="19"/>
        <v>0</v>
      </c>
      <c r="T77" s="192">
        <f t="shared" si="20"/>
        <v>0</v>
      </c>
    </row>
    <row r="78" spans="1:20" x14ac:dyDescent="0.3">
      <c r="A78" s="201" t="s">
        <v>268</v>
      </c>
      <c r="B78" s="180" t="s">
        <v>36</v>
      </c>
      <c r="C78" s="201"/>
      <c r="D78" s="201"/>
      <c r="E78" s="201"/>
      <c r="F78" s="201"/>
      <c r="G78" s="201"/>
      <c r="H78" s="201"/>
      <c r="I78" s="201"/>
      <c r="J78" s="201"/>
      <c r="K78" s="201"/>
      <c r="L78" s="201"/>
      <c r="M78" s="201"/>
      <c r="N78" s="201"/>
      <c r="O78" s="201"/>
      <c r="P78" s="201"/>
      <c r="Q78" s="201"/>
      <c r="R78" s="201"/>
      <c r="S78" s="201"/>
      <c r="T78" s="191"/>
    </row>
    <row r="79" spans="1:20" x14ac:dyDescent="0.3">
      <c r="A79" s="201"/>
      <c r="B79" s="201"/>
      <c r="C79" s="201"/>
      <c r="D79" s="201"/>
      <c r="E79" s="201"/>
      <c r="F79" s="201"/>
      <c r="G79" s="201"/>
      <c r="H79" s="201"/>
      <c r="I79" s="201"/>
      <c r="J79" s="201"/>
      <c r="K79" s="201"/>
      <c r="L79" s="201"/>
      <c r="M79" s="201"/>
      <c r="N79" s="201"/>
      <c r="O79" s="201"/>
      <c r="P79" s="201"/>
      <c r="Q79" s="201"/>
      <c r="R79" s="201"/>
      <c r="S79" s="201"/>
      <c r="T79" s="191"/>
    </row>
    <row r="80" spans="1:20" x14ac:dyDescent="0.3">
      <c r="A80" s="201"/>
      <c r="B80" s="201"/>
      <c r="C80" s="201"/>
      <c r="D80" s="201"/>
      <c r="E80" s="201"/>
      <c r="F80" s="201"/>
      <c r="G80" s="201"/>
      <c r="H80" s="201"/>
      <c r="I80" s="201"/>
      <c r="J80" s="201"/>
      <c r="K80" s="201"/>
      <c r="L80" s="201"/>
      <c r="M80" s="201"/>
      <c r="N80" s="201"/>
      <c r="O80" s="201"/>
      <c r="P80" s="201"/>
      <c r="Q80" s="201"/>
      <c r="R80" s="201"/>
      <c r="S80" s="201"/>
      <c r="T80" s="191"/>
    </row>
    <row r="81" spans="1:20" ht="37.15" x14ac:dyDescent="0.3">
      <c r="A81" s="236" t="s">
        <v>270</v>
      </c>
      <c r="B81" s="237" t="s">
        <v>26</v>
      </c>
      <c r="C81" s="238"/>
      <c r="D81" s="238"/>
      <c r="E81" s="238"/>
      <c r="F81" s="238"/>
      <c r="G81" s="239"/>
      <c r="H81" s="239">
        <v>0.28000000000000003</v>
      </c>
      <c r="I81" s="201">
        <v>0.72</v>
      </c>
      <c r="J81" s="204" t="s">
        <v>271</v>
      </c>
      <c r="K81" s="238"/>
      <c r="L81" s="189">
        <v>0.43740590400000001</v>
      </c>
      <c r="M81" s="189" t="e">
        <f>H81*#REF!+I81*#REF!</f>
        <v>#NAME?</v>
      </c>
      <c r="N81" s="238"/>
      <c r="O81" s="240"/>
      <c r="P81" s="240"/>
      <c r="Q81" s="240"/>
      <c r="R81" s="197"/>
      <c r="S81" s="238"/>
      <c r="T81" s="191"/>
    </row>
    <row r="82" spans="1:20" ht="37.15" x14ac:dyDescent="0.35">
      <c r="A82" s="236" t="s">
        <v>270</v>
      </c>
      <c r="B82" s="241" t="s">
        <v>27</v>
      </c>
      <c r="C82" s="238"/>
      <c r="D82" s="238"/>
      <c r="E82" s="238"/>
      <c r="F82" s="238"/>
      <c r="G82" s="239"/>
      <c r="H82" s="239">
        <v>1</v>
      </c>
      <c r="I82" s="238"/>
      <c r="J82" s="204" t="s">
        <v>271</v>
      </c>
      <c r="K82" s="238"/>
      <c r="L82" s="189">
        <v>0.57488039999999996</v>
      </c>
      <c r="M82" s="189" t="e">
        <f>H82*#REF!+I82*#REF!</f>
        <v>#NAME?</v>
      </c>
      <c r="N82" s="238"/>
      <c r="O82" s="240"/>
      <c r="P82" s="240"/>
      <c r="Q82" s="240"/>
      <c r="R82" s="197"/>
      <c r="S82" s="238"/>
      <c r="T82" s="191"/>
    </row>
    <row r="83" spans="1:20" ht="37.15" x14ac:dyDescent="0.35">
      <c r="A83" s="236" t="s">
        <v>270</v>
      </c>
      <c r="B83" s="241" t="s">
        <v>28</v>
      </c>
      <c r="C83" s="238"/>
      <c r="D83" s="238"/>
      <c r="E83" s="238"/>
      <c r="F83" s="238"/>
      <c r="G83" s="239"/>
      <c r="H83" s="239"/>
      <c r="I83" s="201">
        <v>1</v>
      </c>
      <c r="J83" s="204" t="s">
        <v>271</v>
      </c>
      <c r="K83" s="238"/>
      <c r="L83" s="189">
        <v>0.3839436</v>
      </c>
      <c r="M83" s="189" t="e">
        <f>H83*#REF!+I83*#REF!</f>
        <v>#NAME?</v>
      </c>
      <c r="N83" s="238"/>
      <c r="O83" s="240"/>
      <c r="P83" s="240"/>
      <c r="Q83" s="240"/>
      <c r="R83" s="197"/>
      <c r="S83" s="238"/>
      <c r="T83" s="191"/>
    </row>
    <row r="84" spans="1:20" ht="37.15" x14ac:dyDescent="0.3">
      <c r="A84" s="236" t="s">
        <v>270</v>
      </c>
      <c r="B84" s="237" t="s">
        <v>29</v>
      </c>
      <c r="C84" s="238"/>
      <c r="D84" s="238"/>
      <c r="E84" s="238"/>
      <c r="F84" s="238"/>
      <c r="G84" s="239"/>
      <c r="H84" s="239">
        <v>0.1</v>
      </c>
      <c r="I84" s="201">
        <v>0.9</v>
      </c>
      <c r="J84" s="204" t="s">
        <v>271</v>
      </c>
      <c r="K84" s="238"/>
      <c r="L84" s="189">
        <v>0.45840895199999998</v>
      </c>
      <c r="M84" s="189" t="e">
        <f>H84*#REF!+I84*#REF!</f>
        <v>#NAME?</v>
      </c>
      <c r="N84" s="238"/>
      <c r="O84" s="240"/>
      <c r="P84" s="240"/>
      <c r="Q84" s="240"/>
      <c r="R84" s="197"/>
      <c r="S84" s="238"/>
      <c r="T84" s="191"/>
    </row>
    <row r="85" spans="1:20" ht="37.15" x14ac:dyDescent="0.35">
      <c r="A85" s="236" t="s">
        <v>270</v>
      </c>
      <c r="B85" s="241" t="s">
        <v>30</v>
      </c>
      <c r="C85" s="238"/>
      <c r="D85" s="238"/>
      <c r="E85" s="238"/>
      <c r="F85" s="238"/>
      <c r="G85" s="239"/>
      <c r="H85" s="239">
        <v>0.1</v>
      </c>
      <c r="I85" s="201">
        <v>0.9</v>
      </c>
      <c r="J85" s="204" t="s">
        <v>271</v>
      </c>
      <c r="K85" s="238"/>
      <c r="L85" s="189">
        <v>0.45840895199999998</v>
      </c>
      <c r="M85" s="189" t="e">
        <f>H85*#REF!+I85*#REF!</f>
        <v>#NAME?</v>
      </c>
      <c r="N85" s="238"/>
      <c r="O85" s="240"/>
      <c r="P85" s="240"/>
      <c r="Q85" s="240"/>
      <c r="R85" s="197"/>
      <c r="S85" s="238"/>
      <c r="T85" s="191"/>
    </row>
    <row r="86" spans="1:20" ht="37.15" x14ac:dyDescent="0.3">
      <c r="A86" s="236" t="s">
        <v>270</v>
      </c>
      <c r="B86" s="237" t="s">
        <v>31</v>
      </c>
      <c r="C86" s="238"/>
      <c r="D86" s="238"/>
      <c r="E86" s="238"/>
      <c r="F86" s="238"/>
      <c r="G86" s="239"/>
      <c r="H86" s="239">
        <v>1</v>
      </c>
      <c r="I86" s="238"/>
      <c r="J86" s="204" t="s">
        <v>271</v>
      </c>
      <c r="K86" s="238"/>
      <c r="L86" s="189">
        <v>0.57488039999999996</v>
      </c>
      <c r="M86" s="189" t="e">
        <f>H86*#REF!+I86*#REF!</f>
        <v>#NAME?</v>
      </c>
      <c r="N86" s="238"/>
      <c r="O86" s="240"/>
      <c r="P86" s="240"/>
      <c r="Q86" s="240"/>
      <c r="R86" s="197"/>
      <c r="S86" s="238"/>
      <c r="T86" s="191"/>
    </row>
    <row r="87" spans="1:20" ht="37.15" x14ac:dyDescent="0.3">
      <c r="A87" s="236" t="s">
        <v>270</v>
      </c>
      <c r="B87" s="237" t="s">
        <v>32</v>
      </c>
      <c r="C87" s="238"/>
      <c r="D87" s="238"/>
      <c r="E87" s="238"/>
      <c r="F87" s="238"/>
      <c r="G87" s="239"/>
      <c r="H87" s="239"/>
      <c r="I87" s="201">
        <v>1</v>
      </c>
      <c r="J87" s="204" t="s">
        <v>271</v>
      </c>
      <c r="K87" s="238"/>
      <c r="L87" s="189">
        <v>0.3839436</v>
      </c>
      <c r="M87" s="189" t="e">
        <f>H87*#REF!+I87*#REF!</f>
        <v>#NAME?</v>
      </c>
      <c r="N87" s="238"/>
      <c r="O87" s="240"/>
      <c r="P87" s="240"/>
      <c r="Q87" s="240"/>
      <c r="R87" s="197"/>
      <c r="S87" s="238"/>
      <c r="T87" s="191"/>
    </row>
    <row r="88" spans="1:20" ht="37.15" x14ac:dyDescent="0.3">
      <c r="A88" s="236" t="s">
        <v>270</v>
      </c>
      <c r="B88" s="237" t="s">
        <v>34</v>
      </c>
      <c r="C88" s="238"/>
      <c r="D88" s="238"/>
      <c r="E88" s="238"/>
      <c r="F88" s="238"/>
      <c r="G88" s="239"/>
      <c r="H88" s="239">
        <v>1</v>
      </c>
      <c r="I88" s="238"/>
      <c r="J88" s="204" t="s">
        <v>271</v>
      </c>
      <c r="K88" s="238"/>
      <c r="L88" s="189">
        <v>0.57488039999999996</v>
      </c>
      <c r="M88" s="189" t="e">
        <f>H88*#REF!+I88*#REF!</f>
        <v>#NAME?</v>
      </c>
      <c r="N88" s="238"/>
      <c r="O88" s="240"/>
      <c r="P88" s="240"/>
      <c r="Q88" s="240"/>
      <c r="R88" s="197"/>
      <c r="S88" s="238"/>
      <c r="T88" s="238"/>
    </row>
    <row r="89" spans="1:20" ht="37.15" x14ac:dyDescent="0.3">
      <c r="A89" s="236" t="s">
        <v>270</v>
      </c>
      <c r="B89" s="237" t="s">
        <v>35</v>
      </c>
      <c r="C89" s="238"/>
      <c r="D89" s="238"/>
      <c r="E89" s="238"/>
      <c r="F89" s="238"/>
      <c r="G89" s="239"/>
      <c r="H89" s="239"/>
      <c r="I89" s="201">
        <v>1</v>
      </c>
      <c r="J89" s="204" t="s">
        <v>271</v>
      </c>
      <c r="K89" s="238"/>
      <c r="L89" s="189">
        <v>0.3839436</v>
      </c>
      <c r="M89" s="189" t="e">
        <f>H89*#REF!+I89*#REF!</f>
        <v>#NAME?</v>
      </c>
      <c r="N89" s="238"/>
      <c r="O89" s="240"/>
      <c r="P89" s="240"/>
      <c r="Q89" s="240"/>
      <c r="R89" s="197"/>
      <c r="S89" s="238"/>
      <c r="T89" s="238"/>
    </row>
    <row r="90" spans="1:20" ht="37.15" x14ac:dyDescent="0.3">
      <c r="A90" s="236" t="s">
        <v>270</v>
      </c>
      <c r="B90" s="237" t="s">
        <v>39</v>
      </c>
      <c r="C90" s="238"/>
      <c r="D90" s="238"/>
      <c r="E90" s="238"/>
      <c r="F90" s="238"/>
      <c r="G90" s="239"/>
      <c r="H90" s="239">
        <v>0.1</v>
      </c>
      <c r="I90" s="201">
        <v>0.9</v>
      </c>
      <c r="J90" s="204" t="s">
        <v>271</v>
      </c>
      <c r="K90" s="238"/>
      <c r="L90" s="189">
        <v>0.43549653599999999</v>
      </c>
      <c r="M90" s="189" t="e">
        <f>H90*#REF!+I90*#REF!</f>
        <v>#NAME?</v>
      </c>
      <c r="N90" s="238"/>
      <c r="O90" s="240"/>
      <c r="P90" s="240"/>
      <c r="Q90" s="240"/>
      <c r="R90" s="197"/>
      <c r="S90" s="238"/>
      <c r="T90" s="238"/>
    </row>
    <row r="91" spans="1:20" ht="37.15" x14ac:dyDescent="0.3">
      <c r="A91" s="236" t="s">
        <v>270</v>
      </c>
      <c r="B91" s="242" t="s">
        <v>272</v>
      </c>
      <c r="C91" s="238"/>
      <c r="D91" s="238"/>
      <c r="E91" s="238"/>
      <c r="F91" s="238"/>
      <c r="G91" s="239"/>
      <c r="H91" s="239">
        <v>1</v>
      </c>
      <c r="I91" s="238"/>
      <c r="J91" s="204" t="s">
        <v>271</v>
      </c>
      <c r="K91" s="238"/>
      <c r="L91" s="189">
        <v>0.57488039999999996</v>
      </c>
      <c r="M91" s="189" t="e">
        <f>H91*#REF!+I91*#REF!</f>
        <v>#NAME?</v>
      </c>
      <c r="N91" s="238"/>
      <c r="O91" s="240"/>
      <c r="P91" s="240"/>
      <c r="Q91" s="240"/>
      <c r="R91" s="197"/>
      <c r="S91" s="238"/>
      <c r="T91" s="238"/>
    </row>
    <row r="92" spans="1:20" ht="37.15" x14ac:dyDescent="0.3">
      <c r="A92" s="236" t="s">
        <v>270</v>
      </c>
      <c r="B92" s="242" t="s">
        <v>273</v>
      </c>
      <c r="C92" s="238"/>
      <c r="D92" s="238"/>
      <c r="E92" s="238"/>
      <c r="F92" s="238"/>
      <c r="G92" s="239"/>
      <c r="H92" s="239"/>
      <c r="I92" s="201">
        <v>1</v>
      </c>
      <c r="J92" s="204" t="s">
        <v>271</v>
      </c>
      <c r="K92" s="238"/>
      <c r="L92" s="189">
        <v>0.3839436</v>
      </c>
      <c r="M92" s="189" t="e">
        <f>H92*#REF!+I92*#REF!</f>
        <v>#NAME?</v>
      </c>
      <c r="N92" s="238"/>
      <c r="O92" s="240"/>
      <c r="P92" s="240"/>
      <c r="Q92" s="240"/>
      <c r="R92" s="197"/>
      <c r="S92" s="238"/>
      <c r="T92" s="238"/>
    </row>
    <row r="93" spans="1:20" ht="37.15" x14ac:dyDescent="0.3">
      <c r="A93" s="236" t="s">
        <v>270</v>
      </c>
      <c r="B93" s="242" t="s">
        <v>159</v>
      </c>
      <c r="C93" s="238"/>
      <c r="D93" s="238"/>
      <c r="E93" s="238"/>
      <c r="F93" s="238"/>
      <c r="G93" s="239"/>
      <c r="H93" s="239">
        <v>0.8</v>
      </c>
      <c r="I93" s="201">
        <v>0.2</v>
      </c>
      <c r="J93" s="204" t="s">
        <v>271</v>
      </c>
      <c r="K93" s="238"/>
      <c r="L93" s="189">
        <v>0.52332746399999996</v>
      </c>
      <c r="M93" s="189" t="e">
        <f>H93*#REF!+I93*#REF!</f>
        <v>#NAME?</v>
      </c>
      <c r="N93" s="238"/>
      <c r="O93" s="240"/>
      <c r="P93" s="240"/>
      <c r="Q93" s="240"/>
      <c r="R93" s="197"/>
      <c r="S93" s="238"/>
      <c r="T93" s="238"/>
    </row>
    <row r="94" spans="1:20" ht="37.15" x14ac:dyDescent="0.3">
      <c r="A94" s="236" t="s">
        <v>270</v>
      </c>
      <c r="B94" s="242" t="s">
        <v>160</v>
      </c>
      <c r="C94" s="238"/>
      <c r="D94" s="238"/>
      <c r="E94" s="238"/>
      <c r="F94" s="238"/>
      <c r="G94" s="239"/>
      <c r="H94" s="239">
        <v>0.8</v>
      </c>
      <c r="I94" s="201">
        <v>0.2</v>
      </c>
      <c r="J94" s="204" t="s">
        <v>271</v>
      </c>
      <c r="K94" s="238"/>
      <c r="L94" s="189">
        <v>0.52332746399999996</v>
      </c>
      <c r="M94" s="189" t="e">
        <f>H94*#REF!+I94*#REF!</f>
        <v>#NAME?</v>
      </c>
      <c r="N94" s="238"/>
      <c r="O94" s="240"/>
      <c r="P94" s="240"/>
      <c r="Q94" s="240"/>
      <c r="R94" s="197"/>
      <c r="S94" s="238"/>
      <c r="T94" s="238"/>
    </row>
    <row r="95" spans="1:20" ht="37.15" x14ac:dyDescent="0.35">
      <c r="A95" s="236" t="s">
        <v>270</v>
      </c>
      <c r="B95" s="243" t="s">
        <v>62</v>
      </c>
      <c r="C95" s="238"/>
      <c r="D95" s="238"/>
      <c r="E95" s="238"/>
      <c r="F95" s="238"/>
      <c r="G95" s="239"/>
      <c r="H95" s="239">
        <v>1</v>
      </c>
      <c r="I95" s="238"/>
      <c r="J95" s="204" t="s">
        <v>271</v>
      </c>
      <c r="K95" s="238"/>
      <c r="L95" s="189">
        <v>0.57488039999999996</v>
      </c>
      <c r="M95" s="189" t="e">
        <f>H95*#REF!+I95*#REF!</f>
        <v>#NAME?</v>
      </c>
      <c r="N95" s="238"/>
      <c r="O95" s="240"/>
      <c r="P95" s="240"/>
      <c r="Q95" s="240"/>
      <c r="R95" s="197"/>
      <c r="S95" s="238"/>
      <c r="T95" s="238"/>
    </row>
    <row r="96" spans="1:20" ht="37.15" x14ac:dyDescent="0.3">
      <c r="A96" s="236" t="s">
        <v>270</v>
      </c>
      <c r="B96" s="242" t="s">
        <v>63</v>
      </c>
      <c r="C96" s="238"/>
      <c r="D96" s="238"/>
      <c r="E96" s="238"/>
      <c r="F96" s="238"/>
      <c r="G96" s="239"/>
      <c r="H96" s="239">
        <v>1</v>
      </c>
      <c r="I96" s="238"/>
      <c r="J96" s="204" t="s">
        <v>271</v>
      </c>
      <c r="K96" s="238"/>
      <c r="L96" s="189">
        <v>0.57488039999999996</v>
      </c>
      <c r="M96" s="189" t="e">
        <f>H96*#REF!+I96*#REF!</f>
        <v>#NAME?</v>
      </c>
      <c r="N96" s="238"/>
      <c r="O96" s="240"/>
      <c r="P96" s="240"/>
      <c r="Q96" s="240"/>
      <c r="R96" s="197"/>
      <c r="S96" s="238"/>
      <c r="T96" s="238"/>
    </row>
    <row r="97" spans="1:20" ht="37.15" x14ac:dyDescent="0.35">
      <c r="A97" s="236" t="s">
        <v>270</v>
      </c>
      <c r="B97" s="243" t="s">
        <v>64</v>
      </c>
      <c r="C97" s="238"/>
      <c r="D97" s="238"/>
      <c r="E97" s="238"/>
      <c r="F97" s="238"/>
      <c r="G97" s="239"/>
      <c r="H97" s="239"/>
      <c r="I97" s="201">
        <v>1</v>
      </c>
      <c r="J97" s="204" t="s">
        <v>271</v>
      </c>
      <c r="K97" s="238"/>
      <c r="L97" s="189">
        <v>0.3839436</v>
      </c>
      <c r="M97" s="189" t="e">
        <f>H97*#REF!+I97*#REF!</f>
        <v>#NAME?</v>
      </c>
      <c r="N97" s="238"/>
      <c r="O97" s="240"/>
      <c r="P97" s="240"/>
      <c r="Q97" s="240"/>
      <c r="R97" s="197"/>
      <c r="S97" s="238"/>
      <c r="T97" s="238"/>
    </row>
    <row r="98" spans="1:20" ht="37.15" x14ac:dyDescent="0.3">
      <c r="A98" s="236" t="s">
        <v>270</v>
      </c>
      <c r="B98" s="244" t="s">
        <v>65</v>
      </c>
      <c r="C98" s="245"/>
      <c r="D98" s="245"/>
      <c r="E98" s="245"/>
      <c r="F98" s="245"/>
      <c r="G98" s="246"/>
      <c r="H98" s="246"/>
      <c r="I98" s="232">
        <v>1</v>
      </c>
      <c r="J98" s="204" t="s">
        <v>271</v>
      </c>
      <c r="K98" s="245"/>
      <c r="L98" s="220">
        <v>0.3839436</v>
      </c>
      <c r="M98" s="189" t="e">
        <f>H98*#REF!+I98*#REF!</f>
        <v>#NAME?</v>
      </c>
      <c r="N98" s="245"/>
      <c r="O98" s="247"/>
      <c r="P98" s="247"/>
      <c r="Q98" s="247"/>
      <c r="R98" s="248"/>
      <c r="S98" s="238"/>
      <c r="T98" s="238"/>
    </row>
  </sheetData>
  <mergeCells count="1">
    <mergeCell ref="A2:B2"/>
  </mergeCells>
  <conditionalFormatting sqref="B3:C38 F4:G25 G26 G29 B39:B41">
    <cfRule type="cellIs" dxfId="3" priority="2" stopIfTrue="1" operator="equal">
      <formula>"NULL"</formula>
    </cfRule>
  </conditionalFormatting>
  <conditionalFormatting sqref="B42:C80">
    <cfRule type="cellIs" dxfId="2" priority="1" stopIfTrue="1" operator="equal">
      <formula>"NULL"</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8</vt:i4>
      </vt:variant>
    </vt:vector>
  </HeadingPairs>
  <TitlesOfParts>
    <vt:vector size="20" baseType="lpstr">
      <vt:lpstr>Etiquettes</vt:lpstr>
      <vt:lpstr>Produits</vt:lpstr>
      <vt:lpstr>Secteurs</vt:lpstr>
      <vt:lpstr>Echanges territoires</vt:lpstr>
      <vt:lpstr>TER</vt:lpstr>
      <vt:lpstr>Données</vt:lpstr>
      <vt:lpstr>Min Max</vt:lpstr>
      <vt:lpstr>Contraintes</vt:lpstr>
      <vt:lpstr>conversion</vt:lpstr>
      <vt:lpstr>InfraDensité</vt:lpstr>
      <vt:lpstr>Retrait</vt:lpstr>
      <vt:lpstr>Conversions</vt:lpstr>
      <vt:lpstr>facteurs</vt:lpstr>
      <vt:lpstr>InfraDensité!infra_d_f</vt:lpstr>
      <vt:lpstr>InfraDensité!infra_d_r</vt:lpstr>
      <vt:lpstr>local</vt:lpstr>
      <vt:lpstr>produits</vt:lpstr>
      <vt:lpstr>Retrait!retrait_v_f</vt:lpstr>
      <vt:lpstr>Retrait!retrait_v_r</vt:lpstr>
      <vt:lpstr>unités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5</cp:revision>
  <dcterms:created xsi:type="dcterms:W3CDTF">2018-08-23T08:28:09Z</dcterms:created>
  <dcterms:modified xsi:type="dcterms:W3CDTF">2023-05-14T14:49:59Z</dcterms:modified>
  <dc:language>fr-FR</dc:language>
</cp:coreProperties>
</file>