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TerriFlux\MFAData\Recherche\Filières Agricoles SOCLE\Etude\Viande chevaline\"/>
    </mc:Choice>
  </mc:AlternateContent>
  <xr:revisionPtr revIDLastSave="0" documentId="13_ncr:1_{A85BB047-8640-477F-BE4C-619B32855691}" xr6:coauthVersionLast="47" xr6:coauthVersionMax="47" xr10:uidLastSave="{00000000-0000-0000-0000-000000000000}"/>
  <bookViews>
    <workbookView xWindow="-5040" yWindow="-16320" windowWidth="38640" windowHeight="15840" tabRatio="871" xr2:uid="{E8B10E1F-D64C-47D3-8DAA-FC1296CADBAB}"/>
  </bookViews>
  <sheets>
    <sheet name="Etiquettes" sheetId="8" r:id="rId1"/>
    <sheet name="Produits" sheetId="1" r:id="rId2"/>
    <sheet name="Secteurs" sheetId="2" r:id="rId3"/>
    <sheet name="Echanges territoires" sheetId="3" r:id="rId4"/>
    <sheet name="Structure des flux" sheetId="4" r:id="rId5"/>
    <sheet name="Données" sheetId="5" r:id="rId6"/>
    <sheet name="Abattages - AGRESTE" sheetId="9" r:id="rId7"/>
    <sheet name="Données " sheetId="21" r:id="rId8"/>
    <sheet name="Echanges - AGRESTE" sheetId="10" r:id="rId9"/>
    <sheet name="Données      " sheetId="36" r:id="rId10"/>
    <sheet name="Echanges - TRACES" sheetId="35" r:id="rId11"/>
    <sheet name="Production - PRODCOM" sheetId="11" r:id="rId12"/>
    <sheet name="Données   " sheetId="30" r:id="rId13"/>
    <sheet name="Echanges - EUROSTAT" sheetId="19" r:id="rId14"/>
    <sheet name="Allocation équins" sheetId="20" r:id="rId15"/>
    <sheet name="Contraintes" sheetId="22" r:id="rId16"/>
    <sheet name=" Données" sheetId="23" r:id="rId17"/>
    <sheet name="Anatomie - Blézat" sheetId="24" r:id="rId18"/>
    <sheet name="Données    " sheetId="31" r:id="rId19"/>
    <sheet name="Contraintes " sheetId="26" r:id="rId20"/>
    <sheet name="  Données" sheetId="27" r:id="rId21"/>
    <sheet name="Coproduits - SIFCO" sheetId="28" r:id="rId22"/>
    <sheet name="Contraintes  " sheetId="7" r:id="rId23"/>
    <sheet name="   Données" sheetId="32" r:id="rId24"/>
    <sheet name="Débouchés - IFCE" sheetId="17" r:id="rId25"/>
    <sheet name=" Données " sheetId="34" r:id="rId26"/>
  </sheets>
  <definedNames>
    <definedName name="_xlnm._FilterDatabase" localSheetId="25" hidden="1">' Données '!$A$1:$H$1</definedName>
    <definedName name="_xlnm._FilterDatabase" localSheetId="5" hidden="1">Données!$A$1:$H$1</definedName>
    <definedName name="_xlnm._FilterDatabase" localSheetId="7" hidden="1">'Données '!$A$1:$H$1</definedName>
    <definedName name="_xlnm._FilterDatabase" localSheetId="12" hidden="1">'Données   '!$A$1:$H$1</definedName>
    <definedName name="_xlnm._FilterDatabase" localSheetId="18" hidden="1">'Données    '!$A$1:$H$1</definedName>
    <definedName name="_xlnm._FilterDatabase" localSheetId="9" hidden="1">'Données      '!$A$1:$H$1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3" i="34" l="1"/>
  <c r="O12" i="34"/>
  <c r="O11" i="34"/>
  <c r="O10" i="34"/>
  <c r="O9" i="34"/>
  <c r="O8" i="34"/>
  <c r="O6" i="34"/>
  <c r="O7" i="34"/>
  <c r="O5" i="34"/>
  <c r="O4" i="34"/>
  <c r="O3" i="34"/>
  <c r="B13" i="34"/>
  <c r="B12" i="34"/>
  <c r="B11" i="34"/>
  <c r="B10" i="34"/>
  <c r="B9" i="34"/>
  <c r="B8" i="34"/>
  <c r="A13" i="34"/>
  <c r="A12" i="34"/>
  <c r="A11" i="34"/>
  <c r="A10" i="34"/>
  <c r="A9" i="34"/>
  <c r="A8" i="34"/>
  <c r="B7" i="34"/>
  <c r="B6" i="34"/>
  <c r="A7" i="34"/>
  <c r="A6" i="34"/>
  <c r="B5" i="34"/>
  <c r="A5" i="34"/>
  <c r="B4" i="34"/>
  <c r="A4" i="34"/>
  <c r="B3" i="34"/>
  <c r="A3" i="34"/>
  <c r="O2" i="34"/>
  <c r="AG8" i="8" a="1"/>
  <c r="AF10" i="8" a="1"/>
  <c r="AF12" i="8" a="1"/>
  <c r="AF8" i="8" a="1"/>
  <c r="AG10" i="8" a="1"/>
  <c r="AF9" i="8" a="1"/>
  <c r="AG9" i="8" a="1"/>
  <c r="AG12" i="8" a="1"/>
  <c r="AG8" i="8" l="1"/>
  <c r="AG12" i="8"/>
  <c r="AG9" i="8"/>
  <c r="AF9" i="8"/>
  <c r="AG10" i="8"/>
  <c r="AF8" i="8"/>
  <c r="AF12" i="8"/>
  <c r="AF10" i="8"/>
  <c r="C4" i="31" l="1"/>
  <c r="C3" i="31"/>
  <c r="C2" i="31"/>
  <c r="C20" i="31"/>
  <c r="F20" i="28"/>
  <c r="O19" i="30"/>
  <c r="O18" i="30"/>
  <c r="O17" i="30"/>
  <c r="O16" i="30"/>
  <c r="O15" i="30"/>
  <c r="O14" i="30"/>
  <c r="O13" i="30"/>
  <c r="O12" i="30"/>
  <c r="O11" i="30"/>
  <c r="O10" i="30"/>
  <c r="O9" i="30"/>
  <c r="O8" i="30"/>
  <c r="O6" i="30"/>
  <c r="O5" i="30"/>
  <c r="O7" i="30"/>
  <c r="O4" i="30"/>
  <c r="O3" i="30"/>
  <c r="O2" i="30"/>
  <c r="C15" i="30"/>
  <c r="C9" i="30"/>
  <c r="U10" i="30"/>
  <c r="U9" i="30"/>
  <c r="U8" i="30"/>
  <c r="T8" i="30"/>
  <c r="W9" i="30"/>
  <c r="W10" i="30"/>
  <c r="W8" i="30"/>
  <c r="V10" i="30"/>
  <c r="V9" i="30"/>
  <c r="V8" i="30"/>
  <c r="T9" i="30"/>
  <c r="T10" i="30"/>
  <c r="E2" i="34"/>
  <c r="F2" i="34"/>
  <c r="H2" i="34"/>
  <c r="B2" i="34"/>
  <c r="A2" i="34"/>
  <c r="Q7" i="7"/>
  <c r="Q9" i="7"/>
  <c r="Q11" i="7"/>
  <c r="Q5" i="7"/>
  <c r="Q3" i="7"/>
  <c r="Q15" i="22"/>
  <c r="Q13" i="22"/>
  <c r="Q11" i="22"/>
  <c r="Q9" i="22"/>
  <c r="Q7" i="22"/>
  <c r="Q5" i="22"/>
  <c r="Q13" i="26"/>
  <c r="Q11" i="26"/>
  <c r="Q9" i="26"/>
  <c r="Q7" i="26"/>
  <c r="Q5" i="26"/>
  <c r="Q3" i="26"/>
  <c r="O3" i="31"/>
  <c r="O4" i="31"/>
  <c r="O5" i="31"/>
  <c r="O6" i="31"/>
  <c r="O7" i="31"/>
  <c r="O8" i="31"/>
  <c r="O9" i="31"/>
  <c r="O10" i="31"/>
  <c r="O11" i="31"/>
  <c r="O12" i="31"/>
  <c r="O13" i="31"/>
  <c r="O14" i="31"/>
  <c r="O15" i="31"/>
  <c r="O16" i="31"/>
  <c r="O17" i="31"/>
  <c r="O18" i="31"/>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2" i="31"/>
  <c r="Q3" i="22"/>
  <c r="O4" i="21"/>
  <c r="O3" i="21"/>
  <c r="O2" i="21"/>
  <c r="O4" i="5"/>
  <c r="O3" i="5"/>
  <c r="O2" i="5"/>
  <c r="O4" i="36"/>
  <c r="O3" i="36"/>
  <c r="O2" i="36"/>
  <c r="C3" i="36"/>
  <c r="C4" i="36"/>
  <c r="N4" i="36" s="1"/>
  <c r="C2" i="36"/>
  <c r="M4" i="36"/>
  <c r="H4" i="36"/>
  <c r="G4" i="36"/>
  <c r="F4" i="36"/>
  <c r="E4" i="36"/>
  <c r="B4" i="36"/>
  <c r="A4" i="36"/>
  <c r="M3" i="36"/>
  <c r="H3" i="36"/>
  <c r="G3" i="36"/>
  <c r="F3" i="36"/>
  <c r="E3" i="36"/>
  <c r="N3" i="36"/>
  <c r="B3" i="36"/>
  <c r="A3" i="36"/>
  <c r="M2" i="36"/>
  <c r="H2" i="36"/>
  <c r="G2" i="36"/>
  <c r="F2" i="36"/>
  <c r="E2" i="36"/>
  <c r="N2" i="36"/>
  <c r="B2" i="36"/>
  <c r="A2" i="36"/>
  <c r="O1" i="36"/>
  <c r="N1" i="36"/>
  <c r="M1" i="36"/>
  <c r="L1" i="36"/>
  <c r="K1" i="36"/>
  <c r="J1" i="36"/>
  <c r="I1" i="36"/>
  <c r="H1" i="36"/>
  <c r="G1" i="36"/>
  <c r="F1" i="36"/>
  <c r="E1" i="36"/>
  <c r="P1" i="34"/>
  <c r="O1" i="34"/>
  <c r="N1" i="34"/>
  <c r="M1" i="34"/>
  <c r="L1" i="34"/>
  <c r="K1" i="34"/>
  <c r="J1" i="34"/>
  <c r="I1" i="34"/>
  <c r="H1" i="34"/>
  <c r="G1" i="34"/>
  <c r="F1" i="34"/>
  <c r="E1" i="34"/>
  <c r="H13" i="8" a="1"/>
  <c r="AA8" i="8" a="1"/>
  <c r="U12" i="8" a="1"/>
  <c r="O9" i="8" a="1"/>
  <c r="R9" i="8" a="1"/>
  <c r="Y12" i="8" a="1"/>
  <c r="AA9" i="8" a="1"/>
  <c r="T12" i="8" a="1"/>
  <c r="U9" i="8" a="1"/>
  <c r="Q9" i="8" a="1"/>
  <c r="N12" i="8" a="1"/>
  <c r="L9" i="8" a="1"/>
  <c r="AD8" i="8" a="1"/>
  <c r="W9" i="8" a="1"/>
  <c r="W10" i="8" a="1"/>
  <c r="N8" i="8" a="1"/>
  <c r="M8" i="8" a="1"/>
  <c r="I8" i="8" a="1"/>
  <c r="P10" i="8" a="1"/>
  <c r="M10" i="8" a="1"/>
  <c r="O12" i="8" a="1"/>
  <c r="AA12" i="8" a="1"/>
  <c r="Y9" i="8" a="1"/>
  <c r="U8" i="8" a="1"/>
  <c r="N9" i="8" a="1"/>
  <c r="L10" i="8" a="1"/>
  <c r="W8" i="8" a="1"/>
  <c r="AD9" i="8" a="1"/>
  <c r="M12" i="8" a="1"/>
  <c r="I10" i="8" a="1"/>
  <c r="L12" i="8" a="1"/>
  <c r="J10" i="8" a="1"/>
  <c r="AD10" i="8" a="1"/>
  <c r="O8" i="8" a="1"/>
  <c r="N10" i="8" a="1"/>
  <c r="S12" i="8" a="1"/>
  <c r="S10" i="8" a="1"/>
  <c r="W12" i="8" a="1"/>
  <c r="K10" i="8" a="1"/>
  <c r="R8" i="8" a="1"/>
  <c r="S9" i="8" a="1"/>
  <c r="AA10" i="8" a="1"/>
  <c r="Q10" i="8" a="1"/>
  <c r="S8" i="8" a="1"/>
  <c r="Q8" i="8" a="1"/>
  <c r="AD12" i="8" a="1"/>
  <c r="P8" i="8" a="1"/>
  <c r="K9" i="8" a="1"/>
  <c r="M9" i="8" a="1"/>
  <c r="Y10" i="8" a="1"/>
  <c r="I12" i="8" a="1"/>
  <c r="Q12" i="8" a="1"/>
  <c r="U10" i="8" a="1"/>
  <c r="P9" i="8" a="1"/>
  <c r="J9" i="8" a="1"/>
  <c r="O10" i="8" a="1"/>
  <c r="J8" i="8" a="1"/>
  <c r="L8" i="8" a="1"/>
  <c r="T8" i="8" a="1"/>
  <c r="K12" i="8" a="1"/>
  <c r="T10" i="8" a="1"/>
  <c r="R12" i="8" a="1"/>
  <c r="J12" i="8" a="1"/>
  <c r="R10" i="8" a="1"/>
  <c r="K8" i="8" a="1"/>
  <c r="P12" i="8" a="1"/>
  <c r="T9" i="8" a="1"/>
  <c r="Y8" i="8" a="1"/>
  <c r="I9" i="8" a="1"/>
  <c r="H13" i="8" l="1"/>
  <c r="X10" i="30"/>
  <c r="C17" i="30" s="1"/>
  <c r="X9" i="30"/>
  <c r="C11" i="30" s="1"/>
  <c r="S10" i="8"/>
  <c r="N10" i="8"/>
  <c r="U9" i="8"/>
  <c r="Q9" i="8"/>
  <c r="M9" i="8"/>
  <c r="I9" i="8"/>
  <c r="T8" i="8"/>
  <c r="P8" i="8"/>
  <c r="L8" i="8"/>
  <c r="M10" i="8"/>
  <c r="P9" i="8"/>
  <c r="AA8" i="8"/>
  <c r="W8" i="8"/>
  <c r="O8" i="8"/>
  <c r="K8" i="8"/>
  <c r="J10" i="8"/>
  <c r="U10" i="8"/>
  <c r="I10" i="8"/>
  <c r="T9" i="8"/>
  <c r="L9" i="8"/>
  <c r="S8" i="8"/>
  <c r="W10" i="8"/>
  <c r="R10" i="8"/>
  <c r="Y10" i="8"/>
  <c r="P10" i="8"/>
  <c r="AA9" i="8"/>
  <c r="S9" i="8"/>
  <c r="K9" i="8"/>
  <c r="AD8" i="8"/>
  <c r="R8" i="8"/>
  <c r="N8" i="8"/>
  <c r="J8" i="8"/>
  <c r="AA10" i="8"/>
  <c r="AD10" i="8"/>
  <c r="Y9" i="8"/>
  <c r="Q10" i="8"/>
  <c r="T10" i="8"/>
  <c r="L10" i="8"/>
  <c r="W9" i="8"/>
  <c r="O9" i="8"/>
  <c r="O10" i="8"/>
  <c r="K10" i="8"/>
  <c r="AD9" i="8"/>
  <c r="R9" i="8"/>
  <c r="N9" i="8"/>
  <c r="J9" i="8"/>
  <c r="Y8" i="8"/>
  <c r="U8" i="8"/>
  <c r="Q8" i="8"/>
  <c r="M8" i="8"/>
  <c r="I8" i="8"/>
  <c r="P12" i="8"/>
  <c r="AD12" i="8"/>
  <c r="Y12" i="8"/>
  <c r="Q12" i="8"/>
  <c r="M12" i="8"/>
  <c r="AA12" i="8"/>
  <c r="W12" i="8"/>
  <c r="S12" i="8"/>
  <c r="O12" i="8"/>
  <c r="K12" i="8"/>
  <c r="R12" i="8"/>
  <c r="J12" i="8"/>
  <c r="L12" i="8"/>
  <c r="N12" i="8"/>
  <c r="T12" i="8"/>
  <c r="U12" i="8"/>
  <c r="I12" i="8"/>
  <c r="E72" i="24"/>
  <c r="D72" i="24"/>
  <c r="D73" i="24"/>
  <c r="D74" i="24"/>
  <c r="D75" i="24"/>
  <c r="D76" i="24"/>
  <c r="D77" i="24"/>
  <c r="D71" i="24"/>
  <c r="D70" i="24"/>
  <c r="H69" i="24"/>
  <c r="G69" i="24"/>
  <c r="F69" i="24"/>
  <c r="E69" i="24"/>
  <c r="E70" i="24"/>
  <c r="H70" i="24" s="1"/>
  <c r="E71" i="24"/>
  <c r="H72" i="24"/>
  <c r="E73" i="24"/>
  <c r="H73" i="24" s="1"/>
  <c r="E74" i="24"/>
  <c r="E75" i="24"/>
  <c r="E76" i="24"/>
  <c r="H76" i="24" s="1"/>
  <c r="E77" i="24"/>
  <c r="E68" i="24"/>
  <c r="C11" i="7"/>
  <c r="C10" i="7"/>
  <c r="B11" i="7"/>
  <c r="B10" i="7"/>
  <c r="D10" i="7"/>
  <c r="O11" i="7"/>
  <c r="J11" i="7"/>
  <c r="H11" i="7"/>
  <c r="G11" i="7"/>
  <c r="A11" i="7"/>
  <c r="J10" i="7"/>
  <c r="H10" i="7"/>
  <c r="G10" i="7"/>
  <c r="P11" i="7"/>
  <c r="A10" i="7"/>
  <c r="D8" i="7"/>
  <c r="C9" i="7"/>
  <c r="C2" i="7"/>
  <c r="C4" i="7"/>
  <c r="C6" i="7"/>
  <c r="C8" i="7"/>
  <c r="B9" i="7"/>
  <c r="B8" i="7"/>
  <c r="P9" i="7"/>
  <c r="O9" i="7"/>
  <c r="J9" i="7"/>
  <c r="H9" i="7"/>
  <c r="G9" i="7"/>
  <c r="A9" i="7"/>
  <c r="J8" i="7"/>
  <c r="H8" i="7"/>
  <c r="G8" i="7"/>
  <c r="A8" i="7"/>
  <c r="D6" i="7"/>
  <c r="B7" i="7"/>
  <c r="B6" i="7"/>
  <c r="B2" i="7"/>
  <c r="B3" i="7"/>
  <c r="B4" i="7"/>
  <c r="B5" i="7"/>
  <c r="C51" i="24"/>
  <c r="C26" i="24"/>
  <c r="C48" i="24"/>
  <c r="D53" i="24"/>
  <c r="D52" i="24"/>
  <c r="D51" i="24"/>
  <c r="D50" i="24"/>
  <c r="D49" i="24"/>
  <c r="D48" i="24"/>
  <c r="D47" i="24"/>
  <c r="D46" i="24"/>
  <c r="O7" i="7"/>
  <c r="O3" i="7"/>
  <c r="O5" i="7"/>
  <c r="C5" i="7"/>
  <c r="D4" i="7"/>
  <c r="P5" i="7" s="1"/>
  <c r="J5" i="7"/>
  <c r="H5" i="7"/>
  <c r="G5" i="7"/>
  <c r="J4" i="7"/>
  <c r="H4" i="7"/>
  <c r="G4" i="7"/>
  <c r="A3" i="7"/>
  <c r="A5" i="7" s="1"/>
  <c r="A7" i="7" s="1"/>
  <c r="A2" i="7"/>
  <c r="A4" i="7" s="1"/>
  <c r="A6" i="7" s="1"/>
  <c r="D12" i="26"/>
  <c r="P13" i="26" s="1"/>
  <c r="D10" i="26"/>
  <c r="P11" i="26" s="1"/>
  <c r="I7" i="26"/>
  <c r="I8" i="26"/>
  <c r="I9" i="26"/>
  <c r="I6" i="26"/>
  <c r="I3" i="26"/>
  <c r="I4" i="26"/>
  <c r="I5" i="26"/>
  <c r="I2" i="26"/>
  <c r="O5" i="26"/>
  <c r="O7" i="26"/>
  <c r="O9" i="26"/>
  <c r="O11" i="26"/>
  <c r="O13" i="26"/>
  <c r="O3" i="26"/>
  <c r="P3" i="26"/>
  <c r="Q1" i="26"/>
  <c r="P1" i="26"/>
  <c r="O1" i="26"/>
  <c r="N1" i="26"/>
  <c r="M1" i="26"/>
  <c r="L1" i="26"/>
  <c r="K1" i="26"/>
  <c r="J1" i="26"/>
  <c r="I1" i="26"/>
  <c r="H1" i="26"/>
  <c r="G1" i="26"/>
  <c r="J9" i="26"/>
  <c r="H9" i="26"/>
  <c r="G9" i="26"/>
  <c r="J8" i="26"/>
  <c r="H8" i="26"/>
  <c r="G8" i="26"/>
  <c r="J7" i="26"/>
  <c r="H7" i="26"/>
  <c r="G7" i="26"/>
  <c r="J6" i="26"/>
  <c r="H6" i="26"/>
  <c r="G6" i="26"/>
  <c r="J5" i="26"/>
  <c r="H5" i="26"/>
  <c r="G5" i="26"/>
  <c r="J4" i="26"/>
  <c r="H4" i="26"/>
  <c r="G4" i="26"/>
  <c r="J3" i="26"/>
  <c r="H3" i="26"/>
  <c r="G3" i="26"/>
  <c r="J2" i="26"/>
  <c r="H2" i="26"/>
  <c r="G2" i="26"/>
  <c r="C5" i="26"/>
  <c r="B5" i="26"/>
  <c r="C4" i="26"/>
  <c r="B4" i="26"/>
  <c r="C3" i="26"/>
  <c r="B3" i="26"/>
  <c r="C2" i="26"/>
  <c r="B2" i="26"/>
  <c r="C9" i="26"/>
  <c r="B9" i="26"/>
  <c r="C8" i="26"/>
  <c r="B8" i="26"/>
  <c r="C7" i="26"/>
  <c r="B7" i="26"/>
  <c r="C6" i="26"/>
  <c r="B6" i="26"/>
  <c r="A3" i="26"/>
  <c r="A2" i="26"/>
  <c r="J13" i="26"/>
  <c r="I13" i="26"/>
  <c r="H13" i="26"/>
  <c r="G13" i="26"/>
  <c r="C13" i="26"/>
  <c r="B13" i="26"/>
  <c r="J12" i="26"/>
  <c r="I12" i="26"/>
  <c r="H12" i="26"/>
  <c r="G12" i="26"/>
  <c r="C12" i="26"/>
  <c r="B12" i="26"/>
  <c r="J11" i="26"/>
  <c r="I11" i="26"/>
  <c r="H11" i="26"/>
  <c r="G11" i="26"/>
  <c r="C11" i="26"/>
  <c r="B11" i="26"/>
  <c r="J10" i="26"/>
  <c r="I10" i="26"/>
  <c r="H10" i="26"/>
  <c r="G10" i="26"/>
  <c r="C10" i="26"/>
  <c r="B10" i="26"/>
  <c r="G3" i="31"/>
  <c r="G4" i="31"/>
  <c r="G5" i="31"/>
  <c r="G6" i="31"/>
  <c r="G7" i="31"/>
  <c r="G8" i="31"/>
  <c r="G9" i="31"/>
  <c r="G10" i="31"/>
  <c r="G11" i="31"/>
  <c r="G12" i="31"/>
  <c r="G13" i="31"/>
  <c r="G14" i="31"/>
  <c r="G15" i="31"/>
  <c r="G16" i="31"/>
  <c r="G17" i="31"/>
  <c r="G18" i="31"/>
  <c r="G19" i="31"/>
  <c r="G2" i="31"/>
  <c r="M19" i="31"/>
  <c r="H19" i="31"/>
  <c r="F19" i="31"/>
  <c r="E19" i="31"/>
  <c r="N19" i="31"/>
  <c r="B19" i="31"/>
  <c r="A19" i="31"/>
  <c r="M18" i="31"/>
  <c r="H18" i="31"/>
  <c r="F18" i="31"/>
  <c r="E18" i="31"/>
  <c r="N18" i="31"/>
  <c r="B18" i="31"/>
  <c r="A18" i="31"/>
  <c r="M17" i="31"/>
  <c r="H17" i="31"/>
  <c r="F17" i="31"/>
  <c r="E17" i="31"/>
  <c r="N17" i="31"/>
  <c r="B17" i="31"/>
  <c r="A17" i="31"/>
  <c r="M16" i="31"/>
  <c r="H16" i="31"/>
  <c r="F16" i="31"/>
  <c r="E16" i="31"/>
  <c r="N16" i="31"/>
  <c r="B16" i="31"/>
  <c r="A16" i="31"/>
  <c r="M15" i="31"/>
  <c r="H15" i="31"/>
  <c r="F15" i="31"/>
  <c r="E15" i="31"/>
  <c r="N15" i="31"/>
  <c r="B15" i="31"/>
  <c r="A15" i="31"/>
  <c r="M14" i="31"/>
  <c r="H14" i="31"/>
  <c r="F14" i="31"/>
  <c r="E14" i="31"/>
  <c r="N14" i="31"/>
  <c r="B14" i="31"/>
  <c r="A14" i="31"/>
  <c r="M13" i="31"/>
  <c r="H13" i="31"/>
  <c r="F13" i="31"/>
  <c r="E13" i="31"/>
  <c r="N13" i="31"/>
  <c r="B13" i="31"/>
  <c r="A13" i="31"/>
  <c r="M12" i="31"/>
  <c r="H12" i="31"/>
  <c r="F12" i="31"/>
  <c r="E12" i="31"/>
  <c r="N12" i="31"/>
  <c r="B12" i="31"/>
  <c r="A12" i="31"/>
  <c r="M11" i="31"/>
  <c r="H11" i="31"/>
  <c r="F11" i="31"/>
  <c r="E11" i="31"/>
  <c r="N11" i="31"/>
  <c r="B11" i="31"/>
  <c r="A11" i="31"/>
  <c r="M10" i="31"/>
  <c r="H10" i="31"/>
  <c r="F10" i="31"/>
  <c r="E10" i="31"/>
  <c r="N10" i="31"/>
  <c r="B10" i="31"/>
  <c r="A10" i="31"/>
  <c r="M9" i="31"/>
  <c r="H9" i="31"/>
  <c r="F9" i="31"/>
  <c r="E9" i="31"/>
  <c r="N9" i="31"/>
  <c r="B9" i="31"/>
  <c r="A9" i="31"/>
  <c r="M8" i="31"/>
  <c r="H8" i="31"/>
  <c r="F8" i="31"/>
  <c r="E8" i="31"/>
  <c r="N8" i="31"/>
  <c r="B8" i="31"/>
  <c r="A8" i="31"/>
  <c r="M7" i="31"/>
  <c r="H7" i="31"/>
  <c r="F7" i="31"/>
  <c r="E7" i="31"/>
  <c r="N7" i="31"/>
  <c r="B7" i="31"/>
  <c r="A7" i="31"/>
  <c r="M6" i="31"/>
  <c r="H6" i="31"/>
  <c r="F6" i="31"/>
  <c r="E6" i="31"/>
  <c r="N6" i="31"/>
  <c r="B6" i="31"/>
  <c r="A6" i="31"/>
  <c r="M5" i="31"/>
  <c r="H5" i="31"/>
  <c r="F5" i="31"/>
  <c r="E5" i="31"/>
  <c r="N5" i="31"/>
  <c r="B5" i="31"/>
  <c r="A5" i="31"/>
  <c r="M4" i="31"/>
  <c r="H4" i="31"/>
  <c r="F4" i="31"/>
  <c r="E4" i="31"/>
  <c r="N4" i="31"/>
  <c r="B4" i="31"/>
  <c r="A4" i="31"/>
  <c r="M3" i="31"/>
  <c r="H3" i="31"/>
  <c r="F3" i="31"/>
  <c r="E3" i="31"/>
  <c r="N3" i="31"/>
  <c r="B3" i="31"/>
  <c r="A3" i="31"/>
  <c r="M2" i="31"/>
  <c r="H2" i="31"/>
  <c r="F2" i="31"/>
  <c r="E2" i="31"/>
  <c r="N2" i="31"/>
  <c r="B2" i="31"/>
  <c r="A2" i="31"/>
  <c r="G21" i="31"/>
  <c r="G22" i="31"/>
  <c r="G23" i="31"/>
  <c r="G24" i="31"/>
  <c r="G25" i="31"/>
  <c r="G26" i="31"/>
  <c r="G27" i="31"/>
  <c r="G28" i="31"/>
  <c r="G29" i="31"/>
  <c r="G30" i="31"/>
  <c r="G31" i="31"/>
  <c r="G32" i="31"/>
  <c r="G33" i="31"/>
  <c r="G34" i="31"/>
  <c r="G35" i="31"/>
  <c r="G36" i="31"/>
  <c r="G37" i="31"/>
  <c r="G20" i="31"/>
  <c r="M37" i="31"/>
  <c r="H37" i="31"/>
  <c r="F37" i="31"/>
  <c r="E37" i="31"/>
  <c r="B37" i="31"/>
  <c r="A37" i="31"/>
  <c r="M36" i="31"/>
  <c r="H36" i="31"/>
  <c r="F36" i="31"/>
  <c r="E36" i="31"/>
  <c r="B36" i="31"/>
  <c r="A36" i="31"/>
  <c r="M35" i="31"/>
  <c r="H35" i="31"/>
  <c r="F35" i="31"/>
  <c r="E35" i="31"/>
  <c r="B35" i="31"/>
  <c r="A35" i="31"/>
  <c r="M34" i="31"/>
  <c r="H34" i="31"/>
  <c r="F34" i="31"/>
  <c r="E34" i="31"/>
  <c r="B34" i="31"/>
  <c r="A34" i="31"/>
  <c r="M33" i="31"/>
  <c r="H33" i="31"/>
  <c r="F33" i="31"/>
  <c r="E33" i="31"/>
  <c r="B33" i="31"/>
  <c r="A33" i="31"/>
  <c r="M32" i="31"/>
  <c r="H32" i="31"/>
  <c r="F32" i="31"/>
  <c r="E32" i="31"/>
  <c r="B32" i="31"/>
  <c r="A32" i="31"/>
  <c r="M31" i="31"/>
  <c r="H31" i="31"/>
  <c r="F31" i="31"/>
  <c r="E31" i="31"/>
  <c r="B31" i="31"/>
  <c r="A31" i="31"/>
  <c r="M30" i="31"/>
  <c r="H30" i="31"/>
  <c r="F30" i="31"/>
  <c r="E30" i="31"/>
  <c r="B30" i="31"/>
  <c r="A30" i="31"/>
  <c r="M29" i="31"/>
  <c r="H29" i="31"/>
  <c r="F29" i="31"/>
  <c r="E29" i="31"/>
  <c r="B29" i="31"/>
  <c r="A29" i="31"/>
  <c r="M28" i="31"/>
  <c r="H28" i="31"/>
  <c r="F28" i="31"/>
  <c r="E28" i="31"/>
  <c r="B28" i="31"/>
  <c r="A28" i="31"/>
  <c r="M27" i="31"/>
  <c r="H27" i="31"/>
  <c r="F27" i="31"/>
  <c r="E27" i="31"/>
  <c r="B27" i="31"/>
  <c r="A27" i="31"/>
  <c r="M26" i="31"/>
  <c r="H26" i="31"/>
  <c r="F26" i="31"/>
  <c r="E26" i="31"/>
  <c r="B26" i="31"/>
  <c r="A26" i="31"/>
  <c r="M25" i="31"/>
  <c r="H25" i="31"/>
  <c r="F25" i="31"/>
  <c r="E25" i="31"/>
  <c r="B25" i="31"/>
  <c r="A25" i="31"/>
  <c r="M24" i="31"/>
  <c r="H24" i="31"/>
  <c r="F24" i="31"/>
  <c r="E24" i="31"/>
  <c r="B24" i="31"/>
  <c r="A24" i="31"/>
  <c r="M23" i="31"/>
  <c r="H23" i="31"/>
  <c r="F23" i="31"/>
  <c r="E23" i="31"/>
  <c r="B23" i="31"/>
  <c r="A23" i="31"/>
  <c r="M22" i="31"/>
  <c r="H22" i="31"/>
  <c r="F22" i="31"/>
  <c r="E22" i="31"/>
  <c r="N22" i="31"/>
  <c r="B22" i="31"/>
  <c r="A22" i="31"/>
  <c r="M21" i="31"/>
  <c r="H21" i="31"/>
  <c r="F21" i="31"/>
  <c r="E21" i="31"/>
  <c r="N21" i="31"/>
  <c r="B21" i="31"/>
  <c r="A21" i="31"/>
  <c r="M20" i="31"/>
  <c r="H20" i="31"/>
  <c r="F20" i="31"/>
  <c r="E20" i="31"/>
  <c r="N20" i="31"/>
  <c r="B20" i="31"/>
  <c r="A20" i="31"/>
  <c r="O5" i="22"/>
  <c r="O7" i="22"/>
  <c r="O9" i="22"/>
  <c r="O11" i="22"/>
  <c r="O13" i="22"/>
  <c r="O15" i="22"/>
  <c r="O3" i="22"/>
  <c r="D14" i="22"/>
  <c r="P15" i="22" s="1"/>
  <c r="D12" i="22"/>
  <c r="P13" i="22" s="1"/>
  <c r="D8" i="22"/>
  <c r="P9" i="22" s="1"/>
  <c r="D6" i="22"/>
  <c r="P7" i="22" s="1"/>
  <c r="D4" i="22"/>
  <c r="P5" i="22" s="1"/>
  <c r="D2" i="22"/>
  <c r="P3" i="22" s="1"/>
  <c r="A15" i="22"/>
  <c r="J15" i="22"/>
  <c r="H15" i="22"/>
  <c r="G15" i="22"/>
  <c r="C15" i="22"/>
  <c r="B15" i="22"/>
  <c r="J14" i="22"/>
  <c r="H14" i="22"/>
  <c r="G14" i="22"/>
  <c r="C14" i="22"/>
  <c r="B14" i="22"/>
  <c r="J13" i="22"/>
  <c r="H13" i="22"/>
  <c r="G13" i="22"/>
  <c r="C13" i="22"/>
  <c r="B13" i="22"/>
  <c r="J12" i="22"/>
  <c r="H12" i="22"/>
  <c r="G12" i="22"/>
  <c r="C12" i="22"/>
  <c r="B12" i="22"/>
  <c r="J11" i="22"/>
  <c r="H11" i="22"/>
  <c r="G11" i="22"/>
  <c r="C11" i="22"/>
  <c r="B11" i="22"/>
  <c r="J10" i="22"/>
  <c r="H10" i="22"/>
  <c r="G10" i="22"/>
  <c r="C10" i="22"/>
  <c r="B10" i="22"/>
  <c r="J9" i="22"/>
  <c r="H9" i="22"/>
  <c r="G9" i="22"/>
  <c r="C9" i="22"/>
  <c r="B9" i="22"/>
  <c r="J8" i="22"/>
  <c r="H8" i="22"/>
  <c r="G8" i="22"/>
  <c r="C8" i="22"/>
  <c r="B8" i="22"/>
  <c r="J7" i="22"/>
  <c r="H7" i="22"/>
  <c r="G7" i="22"/>
  <c r="C7" i="22"/>
  <c r="B7" i="22"/>
  <c r="J6" i="22"/>
  <c r="H6" i="22"/>
  <c r="G6" i="22"/>
  <c r="C6" i="22"/>
  <c r="B6" i="22"/>
  <c r="J5" i="22"/>
  <c r="H5" i="22"/>
  <c r="G5" i="22"/>
  <c r="C5" i="22"/>
  <c r="B5" i="22"/>
  <c r="J4" i="22"/>
  <c r="H4" i="22"/>
  <c r="G4" i="22"/>
  <c r="C4" i="22"/>
  <c r="B4" i="22"/>
  <c r="J3" i="22"/>
  <c r="H3" i="22"/>
  <c r="G3" i="22"/>
  <c r="C3" i="22"/>
  <c r="B3" i="22"/>
  <c r="J2" i="22"/>
  <c r="H2" i="22"/>
  <c r="G2" i="22"/>
  <c r="C2" i="22"/>
  <c r="B2" i="22"/>
  <c r="M55" i="31"/>
  <c r="H55" i="31"/>
  <c r="G55" i="31"/>
  <c r="F55" i="31"/>
  <c r="E55" i="31"/>
  <c r="B55" i="31"/>
  <c r="A55" i="31"/>
  <c r="M54" i="31"/>
  <c r="H54" i="31"/>
  <c r="G54" i="31"/>
  <c r="F54" i="31"/>
  <c r="E54" i="31"/>
  <c r="B54" i="31"/>
  <c r="A54" i="31"/>
  <c r="M53" i="31"/>
  <c r="H53" i="31"/>
  <c r="G53" i="31"/>
  <c r="F53" i="31"/>
  <c r="E53" i="31"/>
  <c r="B53" i="31"/>
  <c r="A53" i="31"/>
  <c r="M52" i="31"/>
  <c r="H52" i="31"/>
  <c r="G52" i="31"/>
  <c r="F52" i="31"/>
  <c r="E52" i="31"/>
  <c r="B52" i="31"/>
  <c r="A52" i="31"/>
  <c r="M51" i="31"/>
  <c r="H51" i="31"/>
  <c r="G51" i="31"/>
  <c r="F51" i="31"/>
  <c r="E51" i="31"/>
  <c r="B51" i="31"/>
  <c r="A51" i="31"/>
  <c r="M50" i="31"/>
  <c r="H50" i="31"/>
  <c r="G50" i="31"/>
  <c r="F50" i="31"/>
  <c r="E50" i="31"/>
  <c r="B50" i="31"/>
  <c r="A50" i="31"/>
  <c r="M49" i="31"/>
  <c r="H49" i="31"/>
  <c r="G49" i="31"/>
  <c r="F49" i="31"/>
  <c r="E49" i="31"/>
  <c r="B49" i="31"/>
  <c r="A49" i="31"/>
  <c r="M48" i="31"/>
  <c r="H48" i="31"/>
  <c r="G48" i="31"/>
  <c r="F48" i="31"/>
  <c r="E48" i="31"/>
  <c r="B48" i="31"/>
  <c r="A48" i="31"/>
  <c r="M47" i="31"/>
  <c r="H47" i="31"/>
  <c r="G47" i="31"/>
  <c r="F47" i="31"/>
  <c r="E47" i="31"/>
  <c r="B47" i="31"/>
  <c r="A47" i="31"/>
  <c r="M46" i="31"/>
  <c r="H46" i="31"/>
  <c r="G46" i="31"/>
  <c r="F46" i="31"/>
  <c r="E46" i="31"/>
  <c r="B46" i="31"/>
  <c r="A46" i="31"/>
  <c r="M45" i="31"/>
  <c r="H45" i="31"/>
  <c r="G45" i="31"/>
  <c r="F45" i="31"/>
  <c r="E45" i="31"/>
  <c r="B45" i="31"/>
  <c r="A45" i="31"/>
  <c r="M44" i="31"/>
  <c r="H44" i="31"/>
  <c r="G44" i="31"/>
  <c r="F44" i="31"/>
  <c r="E44" i="31"/>
  <c r="B44" i="31"/>
  <c r="A44" i="31"/>
  <c r="M43" i="31"/>
  <c r="H43" i="31"/>
  <c r="G43" i="31"/>
  <c r="F43" i="31"/>
  <c r="E43" i="31"/>
  <c r="B43" i="31"/>
  <c r="A43" i="31"/>
  <c r="M42" i="31"/>
  <c r="H42" i="31"/>
  <c r="G42" i="31"/>
  <c r="F42" i="31"/>
  <c r="E42" i="31"/>
  <c r="B42" i="31"/>
  <c r="A42" i="31"/>
  <c r="M41" i="31"/>
  <c r="H41" i="31"/>
  <c r="G41" i="31"/>
  <c r="F41" i="31"/>
  <c r="E41" i="31"/>
  <c r="B41" i="31"/>
  <c r="A41" i="31"/>
  <c r="M40" i="31"/>
  <c r="H40" i="31"/>
  <c r="G40" i="31"/>
  <c r="F40" i="31"/>
  <c r="E40" i="31"/>
  <c r="B40" i="31"/>
  <c r="A40" i="31"/>
  <c r="M39" i="31"/>
  <c r="H39" i="31"/>
  <c r="G39" i="31"/>
  <c r="F39" i="31"/>
  <c r="E39" i="31"/>
  <c r="B39" i="31"/>
  <c r="A39" i="31"/>
  <c r="M38" i="31"/>
  <c r="H38" i="31"/>
  <c r="G38" i="31"/>
  <c r="F38" i="31"/>
  <c r="E38" i="31"/>
  <c r="B38" i="31"/>
  <c r="A38" i="31"/>
  <c r="O1" i="31"/>
  <c r="N1" i="31"/>
  <c r="M1" i="31"/>
  <c r="L1" i="31"/>
  <c r="K1" i="31"/>
  <c r="J1" i="31"/>
  <c r="I1" i="31"/>
  <c r="H1" i="31"/>
  <c r="G1" i="31"/>
  <c r="F1" i="31"/>
  <c r="E1" i="31"/>
  <c r="M7" i="30"/>
  <c r="H7" i="30"/>
  <c r="G7" i="30"/>
  <c r="F7" i="30"/>
  <c r="E7" i="30"/>
  <c r="B7" i="30"/>
  <c r="A7" i="30"/>
  <c r="M6" i="30"/>
  <c r="H6" i="30"/>
  <c r="G6" i="30"/>
  <c r="F6" i="30"/>
  <c r="E6" i="30"/>
  <c r="C6" i="30"/>
  <c r="B6" i="30"/>
  <c r="A6" i="30"/>
  <c r="M5" i="30"/>
  <c r="H5" i="30"/>
  <c r="G5" i="30"/>
  <c r="F5" i="30"/>
  <c r="E5" i="30"/>
  <c r="C5" i="30"/>
  <c r="B5" i="30"/>
  <c r="A5" i="30"/>
  <c r="M4" i="30"/>
  <c r="H4" i="30"/>
  <c r="G4" i="30"/>
  <c r="F4" i="30"/>
  <c r="E4" i="30"/>
  <c r="B4" i="30"/>
  <c r="A4" i="30"/>
  <c r="M3" i="30"/>
  <c r="H3" i="30"/>
  <c r="G3" i="30"/>
  <c r="F3" i="30"/>
  <c r="E3" i="30"/>
  <c r="B3" i="30"/>
  <c r="A3" i="30"/>
  <c r="M2" i="30"/>
  <c r="H2" i="30"/>
  <c r="G2" i="30"/>
  <c r="F2" i="30"/>
  <c r="E2" i="30"/>
  <c r="B2" i="30"/>
  <c r="A2" i="30"/>
  <c r="M13" i="30"/>
  <c r="H13" i="30"/>
  <c r="G13" i="30"/>
  <c r="F13" i="30"/>
  <c r="E13" i="30"/>
  <c r="B13" i="30"/>
  <c r="A13" i="30"/>
  <c r="M12" i="30"/>
  <c r="H12" i="30"/>
  <c r="G12" i="30"/>
  <c r="F12" i="30"/>
  <c r="E12" i="30"/>
  <c r="C12" i="30"/>
  <c r="B12" i="30"/>
  <c r="A12" i="30"/>
  <c r="M11" i="30"/>
  <c r="H11" i="30"/>
  <c r="G11" i="30"/>
  <c r="F11" i="30"/>
  <c r="E11" i="30"/>
  <c r="B11" i="30"/>
  <c r="A11" i="30"/>
  <c r="M10" i="30"/>
  <c r="H10" i="30"/>
  <c r="G10" i="30"/>
  <c r="F10" i="30"/>
  <c r="E10" i="30"/>
  <c r="B10" i="30"/>
  <c r="A10" i="30"/>
  <c r="M9" i="30"/>
  <c r="H9" i="30"/>
  <c r="G9" i="30"/>
  <c r="F9" i="30"/>
  <c r="E9" i="30"/>
  <c r="B9" i="30"/>
  <c r="A9" i="30"/>
  <c r="M8" i="30"/>
  <c r="H8" i="30"/>
  <c r="G8" i="30"/>
  <c r="F8" i="30"/>
  <c r="E8" i="30"/>
  <c r="C8" i="30"/>
  <c r="B8" i="30"/>
  <c r="A8" i="30"/>
  <c r="M19" i="30"/>
  <c r="H19" i="30"/>
  <c r="G19" i="30"/>
  <c r="F19" i="30"/>
  <c r="E19" i="30"/>
  <c r="B19" i="30"/>
  <c r="A19" i="30"/>
  <c r="M18" i="30"/>
  <c r="H18" i="30"/>
  <c r="G18" i="30"/>
  <c r="F18" i="30"/>
  <c r="E18" i="30"/>
  <c r="C18" i="30"/>
  <c r="B18" i="30"/>
  <c r="A18" i="30"/>
  <c r="M17" i="30"/>
  <c r="H17" i="30"/>
  <c r="G17" i="30"/>
  <c r="F17" i="30"/>
  <c r="E17" i="30"/>
  <c r="B17" i="30"/>
  <c r="A17" i="30"/>
  <c r="M16" i="30"/>
  <c r="H16" i="30"/>
  <c r="G16" i="30"/>
  <c r="F16" i="30"/>
  <c r="E16" i="30"/>
  <c r="B16" i="30"/>
  <c r="A16" i="30"/>
  <c r="M15" i="30"/>
  <c r="H15" i="30"/>
  <c r="G15" i="30"/>
  <c r="F15" i="30"/>
  <c r="E15" i="30"/>
  <c r="N15" i="30"/>
  <c r="B15" i="30"/>
  <c r="A15" i="30"/>
  <c r="M14" i="30"/>
  <c r="H14" i="30"/>
  <c r="G14" i="30"/>
  <c r="F14" i="30"/>
  <c r="E14" i="30"/>
  <c r="C14" i="30"/>
  <c r="B14" i="30"/>
  <c r="A14" i="30"/>
  <c r="O1" i="30"/>
  <c r="N1" i="30"/>
  <c r="M1" i="30"/>
  <c r="L1" i="30"/>
  <c r="K1" i="30"/>
  <c r="J1" i="30"/>
  <c r="I1" i="30"/>
  <c r="H1" i="30"/>
  <c r="G1" i="30"/>
  <c r="F1" i="30"/>
  <c r="E1" i="30"/>
  <c r="C3" i="21"/>
  <c r="C4" i="21"/>
  <c r="C2" i="21"/>
  <c r="M4" i="21"/>
  <c r="M3" i="21"/>
  <c r="M2" i="21"/>
  <c r="N4" i="5"/>
  <c r="M3" i="5"/>
  <c r="M4" i="5"/>
  <c r="M2" i="5"/>
  <c r="C4" i="5"/>
  <c r="C3" i="5"/>
  <c r="C2" i="5"/>
  <c r="Q1" i="22"/>
  <c r="P1" i="22"/>
  <c r="O1" i="22"/>
  <c r="N1" i="22"/>
  <c r="M1" i="22"/>
  <c r="L1" i="22"/>
  <c r="K1" i="22"/>
  <c r="J1" i="22"/>
  <c r="I1" i="22"/>
  <c r="H1" i="22"/>
  <c r="G1" i="22"/>
  <c r="H77" i="24"/>
  <c r="H74" i="24"/>
  <c r="H71" i="24"/>
  <c r="E5" i="20" s="1"/>
  <c r="H68" i="24"/>
  <c r="H65" i="24"/>
  <c r="H64" i="24"/>
  <c r="H62" i="24"/>
  <c r="H61" i="24"/>
  <c r="H60" i="24"/>
  <c r="H59" i="24"/>
  <c r="H58" i="24"/>
  <c r="H57" i="24"/>
  <c r="H56" i="24"/>
  <c r="H53" i="24"/>
  <c r="H52" i="24"/>
  <c r="H50" i="24"/>
  <c r="H49" i="24"/>
  <c r="H48" i="24"/>
  <c r="H47" i="24"/>
  <c r="H46" i="24"/>
  <c r="H45" i="24"/>
  <c r="H44" i="24"/>
  <c r="H40" i="24"/>
  <c r="H39" i="24"/>
  <c r="H38" i="24"/>
  <c r="H37" i="24"/>
  <c r="H36" i="24"/>
  <c r="H35" i="24"/>
  <c r="H34" i="24"/>
  <c r="H33" i="24"/>
  <c r="H32" i="24"/>
  <c r="H28" i="24"/>
  <c r="H27" i="24"/>
  <c r="H26" i="24"/>
  <c r="H25" i="24"/>
  <c r="H24" i="24"/>
  <c r="H23" i="24"/>
  <c r="H22" i="24"/>
  <c r="H21" i="24"/>
  <c r="H20" i="24"/>
  <c r="H19" i="24"/>
  <c r="H15" i="24"/>
  <c r="H14" i="24"/>
  <c r="H13" i="24"/>
  <c r="H12" i="24"/>
  <c r="H11" i="24"/>
  <c r="H10" i="24"/>
  <c r="H9" i="24"/>
  <c r="H8" i="24"/>
  <c r="H7" i="24"/>
  <c r="H6" i="24"/>
  <c r="G77" i="24"/>
  <c r="G74" i="24"/>
  <c r="G72" i="24"/>
  <c r="G71" i="24"/>
  <c r="D5" i="20" s="1"/>
  <c r="D6" i="20" s="1"/>
  <c r="G68" i="24"/>
  <c r="G65" i="24"/>
  <c r="G64" i="24"/>
  <c r="G62" i="24"/>
  <c r="G61" i="24"/>
  <c r="G60" i="24"/>
  <c r="G59" i="24"/>
  <c r="G58" i="24"/>
  <c r="G57" i="24"/>
  <c r="G56" i="24"/>
  <c r="G53" i="24"/>
  <c r="G52" i="24"/>
  <c r="G50" i="24"/>
  <c r="G49" i="24"/>
  <c r="G48" i="24"/>
  <c r="G47" i="24"/>
  <c r="G46" i="24"/>
  <c r="G45" i="24"/>
  <c r="G44" i="24"/>
  <c r="G40" i="24"/>
  <c r="G39" i="24"/>
  <c r="G38" i="24"/>
  <c r="G37" i="24"/>
  <c r="G36" i="24"/>
  <c r="G35" i="24"/>
  <c r="G34" i="24"/>
  <c r="G33" i="24"/>
  <c r="G32" i="24"/>
  <c r="G28" i="24"/>
  <c r="G27" i="24"/>
  <c r="G26" i="24"/>
  <c r="G25" i="24"/>
  <c r="G24" i="24"/>
  <c r="G23" i="24"/>
  <c r="G22" i="24"/>
  <c r="G21" i="24"/>
  <c r="G20" i="24"/>
  <c r="G19" i="24"/>
  <c r="G15" i="24"/>
  <c r="G14" i="24"/>
  <c r="G13" i="24"/>
  <c r="G12" i="24"/>
  <c r="G11" i="24"/>
  <c r="G10" i="24"/>
  <c r="G9" i="24"/>
  <c r="G8" i="24"/>
  <c r="G7" i="24"/>
  <c r="G6" i="24"/>
  <c r="F77" i="24"/>
  <c r="F74" i="24"/>
  <c r="F71" i="24"/>
  <c r="C5" i="20" s="1"/>
  <c r="F68" i="24"/>
  <c r="F65" i="24"/>
  <c r="F64" i="24"/>
  <c r="F62" i="24"/>
  <c r="F61" i="24"/>
  <c r="F60" i="24"/>
  <c r="F59" i="24"/>
  <c r="F58" i="24"/>
  <c r="F57" i="24"/>
  <c r="F56" i="24"/>
  <c r="F53" i="24"/>
  <c r="F52" i="24"/>
  <c r="F50" i="24"/>
  <c r="F49" i="24"/>
  <c r="F48" i="24"/>
  <c r="F47" i="24"/>
  <c r="F46" i="24"/>
  <c r="F45" i="24"/>
  <c r="F44" i="24"/>
  <c r="F40" i="24"/>
  <c r="F39" i="24"/>
  <c r="F38" i="24"/>
  <c r="F37" i="24"/>
  <c r="F36" i="24"/>
  <c r="F35" i="24"/>
  <c r="F34" i="24"/>
  <c r="F33" i="24"/>
  <c r="F32" i="24"/>
  <c r="F28" i="24"/>
  <c r="F27" i="24"/>
  <c r="F26" i="24"/>
  <c r="F25" i="24"/>
  <c r="F24" i="24"/>
  <c r="F23" i="24"/>
  <c r="F22" i="24"/>
  <c r="F21" i="24"/>
  <c r="F20" i="24"/>
  <c r="F19" i="24"/>
  <c r="F15" i="24"/>
  <c r="F14" i="24"/>
  <c r="F13" i="24"/>
  <c r="F12" i="24"/>
  <c r="F11" i="24"/>
  <c r="F10" i="24"/>
  <c r="F9" i="24"/>
  <c r="F8" i="24"/>
  <c r="F7" i="24"/>
  <c r="F6" i="24"/>
  <c r="C33" i="28"/>
  <c r="C32" i="28"/>
  <c r="H20" i="28"/>
  <c r="G20" i="28"/>
  <c r="H19" i="28"/>
  <c r="D19" i="28"/>
  <c r="Z15" i="28"/>
  <c r="T15" i="28"/>
  <c r="S15" i="28"/>
  <c r="R15" i="28"/>
  <c r="AC14" i="28"/>
  <c r="T14" i="28"/>
  <c r="S14" i="28"/>
  <c r="R14" i="28"/>
  <c r="N14" i="28"/>
  <c r="M14" i="28"/>
  <c r="L14" i="28"/>
  <c r="E14" i="28"/>
  <c r="D14" i="28"/>
  <c r="C14" i="28"/>
  <c r="Q3" i="28"/>
  <c r="P3" i="28"/>
  <c r="D8" i="26"/>
  <c r="P9" i="26" s="1"/>
  <c r="P7" i="26"/>
  <c r="D6" i="26"/>
  <c r="D4" i="26"/>
  <c r="P5" i="26" s="1"/>
  <c r="D2" i="26"/>
  <c r="D68" i="24"/>
  <c r="C65" i="24"/>
  <c r="C64" i="24"/>
  <c r="C62" i="24"/>
  <c r="D59" i="24"/>
  <c r="C59" i="24"/>
  <c r="D58" i="24"/>
  <c r="C58" i="24"/>
  <c r="D57" i="24"/>
  <c r="C57" i="24"/>
  <c r="C56" i="24"/>
  <c r="E53" i="24"/>
  <c r="E52" i="24"/>
  <c r="D64" i="24"/>
  <c r="E50" i="24"/>
  <c r="E62" i="24" s="1"/>
  <c r="E49" i="24"/>
  <c r="C49" i="24"/>
  <c r="E47" i="24"/>
  <c r="C47" i="24"/>
  <c r="E46" i="24"/>
  <c r="E45" i="24"/>
  <c r="D45" i="24"/>
  <c r="E44" i="24"/>
  <c r="D44" i="24"/>
  <c r="D56" i="24" s="1"/>
  <c r="E40" i="24"/>
  <c r="D40" i="24"/>
  <c r="C39" i="24"/>
  <c r="E38" i="24"/>
  <c r="D38" i="24"/>
  <c r="C38" i="24"/>
  <c r="E37" i="24"/>
  <c r="D37" i="24"/>
  <c r="D36" i="24"/>
  <c r="C36" i="24"/>
  <c r="E36" i="24" s="1"/>
  <c r="E35" i="24"/>
  <c r="C35" i="24"/>
  <c r="D35" i="24" s="1"/>
  <c r="E34" i="24"/>
  <c r="D34" i="24"/>
  <c r="E33" i="24"/>
  <c r="D33" i="24"/>
  <c r="E32" i="24"/>
  <c r="D32" i="24"/>
  <c r="E28" i="24"/>
  <c r="D28" i="24"/>
  <c r="E27" i="24"/>
  <c r="D27" i="24"/>
  <c r="E25" i="24"/>
  <c r="D25" i="24"/>
  <c r="E24" i="24"/>
  <c r="D24" i="24"/>
  <c r="C22" i="24"/>
  <c r="E21" i="24"/>
  <c r="D21" i="24"/>
  <c r="E20" i="24"/>
  <c r="D20" i="24"/>
  <c r="E19" i="24"/>
  <c r="D19" i="24"/>
  <c r="E15" i="24"/>
  <c r="D15" i="24"/>
  <c r="E14" i="24"/>
  <c r="D14" i="24"/>
  <c r="E12" i="24"/>
  <c r="D12" i="24"/>
  <c r="E11" i="24"/>
  <c r="D11" i="24"/>
  <c r="C11" i="24"/>
  <c r="C10" i="24"/>
  <c r="E10" i="24" s="1"/>
  <c r="E9" i="24"/>
  <c r="C9" i="24"/>
  <c r="D9" i="24" s="1"/>
  <c r="E8" i="24"/>
  <c r="D8" i="24"/>
  <c r="E7" i="24"/>
  <c r="D7" i="24"/>
  <c r="E6" i="24"/>
  <c r="D6" i="24"/>
  <c r="A12" i="22"/>
  <c r="A14" i="22" s="1"/>
  <c r="A4" i="26" s="1"/>
  <c r="A6" i="26" s="1"/>
  <c r="A8" i="26" s="1"/>
  <c r="A10" i="26" s="1"/>
  <c r="A12" i="26" s="1"/>
  <c r="A5" i="22"/>
  <c r="A7" i="22" s="1"/>
  <c r="A9" i="22" s="1"/>
  <c r="A11" i="22" s="1"/>
  <c r="A13" i="22" s="1"/>
  <c r="A5" i="26" s="1"/>
  <c r="A7" i="26" s="1"/>
  <c r="A9" i="26" s="1"/>
  <c r="A11" i="26" s="1"/>
  <c r="A13" i="26" s="1"/>
  <c r="A4" i="22"/>
  <c r="A6" i="22" s="1"/>
  <c r="A8" i="22" s="1"/>
  <c r="A10" i="22" s="1"/>
  <c r="H2" i="21"/>
  <c r="G2" i="21"/>
  <c r="F2" i="21"/>
  <c r="E2" i="21"/>
  <c r="B2" i="21"/>
  <c r="A2" i="21"/>
  <c r="H3" i="21"/>
  <c r="G3" i="21"/>
  <c r="F3" i="21"/>
  <c r="E3" i="21"/>
  <c r="B3" i="21"/>
  <c r="A3" i="21"/>
  <c r="H4" i="21"/>
  <c r="G4" i="21"/>
  <c r="F4" i="21"/>
  <c r="E4" i="21"/>
  <c r="B4" i="21"/>
  <c r="A4" i="21"/>
  <c r="O1" i="21"/>
  <c r="N1" i="21"/>
  <c r="M1" i="21"/>
  <c r="L1" i="21"/>
  <c r="K1" i="21"/>
  <c r="J1" i="21"/>
  <c r="I1" i="21"/>
  <c r="H1" i="21"/>
  <c r="G1" i="21"/>
  <c r="F1" i="21"/>
  <c r="E1" i="21"/>
  <c r="J3" i="7"/>
  <c r="H3" i="7"/>
  <c r="G3" i="7"/>
  <c r="J2" i="7"/>
  <c r="H2" i="7"/>
  <c r="G2" i="7"/>
  <c r="J7" i="7"/>
  <c r="H7" i="7"/>
  <c r="G7" i="7"/>
  <c r="J6" i="7"/>
  <c r="H6" i="7"/>
  <c r="G6" i="7"/>
  <c r="Q1" i="7"/>
  <c r="P1" i="7"/>
  <c r="O1" i="7"/>
  <c r="N1" i="7"/>
  <c r="M1" i="7"/>
  <c r="L1" i="7"/>
  <c r="K1" i="7"/>
  <c r="J1" i="7"/>
  <c r="I1" i="7"/>
  <c r="H1" i="7"/>
  <c r="G1" i="7"/>
  <c r="O1" i="5"/>
  <c r="N1" i="5"/>
  <c r="M1" i="5"/>
  <c r="L1" i="5"/>
  <c r="K1" i="5"/>
  <c r="J1" i="5"/>
  <c r="I1" i="5"/>
  <c r="H1" i="5"/>
  <c r="G1" i="5"/>
  <c r="F1" i="5"/>
  <c r="E1" i="5"/>
  <c r="H3" i="5"/>
  <c r="H2" i="5"/>
  <c r="H4" i="5"/>
  <c r="F3" i="5"/>
  <c r="F2" i="5"/>
  <c r="F4" i="5"/>
  <c r="E3" i="5"/>
  <c r="N3" i="5" s="1"/>
  <c r="E2" i="5"/>
  <c r="N2" i="5" s="1"/>
  <c r="E4" i="5"/>
  <c r="G2" i="5"/>
  <c r="G3" i="5"/>
  <c r="G4" i="5"/>
  <c r="V2" i="4"/>
  <c r="U2" i="4"/>
  <c r="D20" i="1"/>
  <c r="D19" i="1"/>
  <c r="D18" i="1"/>
  <c r="D17" i="1"/>
  <c r="D16" i="1"/>
  <c r="D15" i="1"/>
  <c r="D14" i="1"/>
  <c r="D13" i="1"/>
  <c r="D11" i="1"/>
  <c r="D12" i="1"/>
  <c r="D10" i="1"/>
  <c r="D3" i="1" s="1"/>
  <c r="D4" i="1"/>
  <c r="D9" i="1"/>
  <c r="D7" i="1"/>
  <c r="D8" i="1"/>
  <c r="D5" i="1"/>
  <c r="D6" i="1"/>
  <c r="D2" i="1"/>
  <c r="B32" i="4"/>
  <c r="B16" i="4"/>
  <c r="B33" i="4" s="1"/>
  <c r="B15" i="4"/>
  <c r="D21" i="1"/>
  <c r="E23" i="1"/>
  <c r="E22" i="1"/>
  <c r="E21" i="1"/>
  <c r="D23" i="1"/>
  <c r="D22" i="1"/>
  <c r="E3" i="1"/>
  <c r="E14" i="1"/>
  <c r="E15" i="1"/>
  <c r="E16" i="1"/>
  <c r="E17" i="1"/>
  <c r="E18" i="1"/>
  <c r="E19" i="1"/>
  <c r="E20" i="1"/>
  <c r="E13" i="1"/>
  <c r="E10" i="1"/>
  <c r="E11" i="1"/>
  <c r="E12" i="1"/>
  <c r="E9" i="1"/>
  <c r="E8" i="1"/>
  <c r="E7" i="1"/>
  <c r="E5" i="1"/>
  <c r="E6" i="1"/>
  <c r="E4" i="1"/>
  <c r="E2" i="1"/>
  <c r="D1" i="1"/>
  <c r="C11" i="8"/>
  <c r="C6" i="8"/>
  <c r="G2" i="34" s="1"/>
  <c r="C3" i="8"/>
  <c r="C2" i="8"/>
  <c r="E1" i="1"/>
  <c r="P7" i="7"/>
  <c r="C7" i="7"/>
  <c r="D2" i="7"/>
  <c r="P3" i="7" s="1"/>
  <c r="C3" i="7"/>
  <c r="B2" i="5"/>
  <c r="A2" i="5"/>
  <c r="B3" i="5"/>
  <c r="A3" i="5"/>
  <c r="H9" i="8" a="1"/>
  <c r="H12" i="8" a="1"/>
  <c r="H10" i="8" a="1"/>
  <c r="H8" i="8" a="1"/>
  <c r="N3" i="21" l="1"/>
  <c r="H10" i="8"/>
  <c r="H8" i="8"/>
  <c r="H9" i="8"/>
  <c r="I9" i="22"/>
  <c r="I3" i="7"/>
  <c r="I4" i="22"/>
  <c r="I8" i="22"/>
  <c r="I12" i="22"/>
  <c r="I5" i="7"/>
  <c r="I11" i="7"/>
  <c r="I7" i="7"/>
  <c r="I3" i="22"/>
  <c r="I7" i="22"/>
  <c r="I11" i="22"/>
  <c r="I15" i="22"/>
  <c r="I9" i="7"/>
  <c r="I10" i="7"/>
  <c r="I5" i="22"/>
  <c r="I6" i="7"/>
  <c r="I2" i="7"/>
  <c r="I2" i="22"/>
  <c r="I6" i="22"/>
  <c r="I10" i="22"/>
  <c r="I14" i="22"/>
  <c r="I4" i="7"/>
  <c r="I8" i="7"/>
  <c r="I13" i="22"/>
  <c r="H12" i="8"/>
  <c r="F72" i="24"/>
  <c r="F73" i="24"/>
  <c r="G73" i="24"/>
  <c r="G76" i="24"/>
  <c r="F76" i="24"/>
  <c r="C10" i="30"/>
  <c r="N10" i="30" s="1"/>
  <c r="C16" i="30"/>
  <c r="N16" i="30" s="1"/>
  <c r="C13" i="30"/>
  <c r="N13" i="30" s="1"/>
  <c r="C7" i="30"/>
  <c r="C4" i="30"/>
  <c r="N4" i="30" s="1"/>
  <c r="C6" i="20"/>
  <c r="C19" i="30"/>
  <c r="N19" i="30" s="1"/>
  <c r="F70" i="24"/>
  <c r="G70" i="24"/>
  <c r="A2" i="32" a="1"/>
  <c r="A2" i="32" s="1"/>
  <c r="N8" i="30"/>
  <c r="N9" i="30"/>
  <c r="N11" i="30"/>
  <c r="N12" i="30"/>
  <c r="N5" i="30"/>
  <c r="N6" i="30"/>
  <c r="N7" i="30"/>
  <c r="N14" i="30"/>
  <c r="N17" i="30"/>
  <c r="N18" i="30"/>
  <c r="N2" i="21"/>
  <c r="N4" i="21"/>
  <c r="E56" i="24"/>
  <c r="E58" i="24"/>
  <c r="C61" i="24"/>
  <c r="A2" i="27" a="1"/>
  <c r="A2" i="27" s="1"/>
  <c r="E39" i="24"/>
  <c r="D39" i="24"/>
  <c r="E64" i="24"/>
  <c r="D62" i="24"/>
  <c r="D65" i="24"/>
  <c r="AC5" i="28"/>
  <c r="AB5" i="28"/>
  <c r="E61" i="24"/>
  <c r="AA5" i="28"/>
  <c r="D22" i="24"/>
  <c r="C23" i="24"/>
  <c r="AA4" i="28"/>
  <c r="AC4" i="28"/>
  <c r="E59" i="24"/>
  <c r="E22" i="24"/>
  <c r="AB4" i="28"/>
  <c r="E48" i="24"/>
  <c r="C60" i="24"/>
  <c r="C13" i="24"/>
  <c r="D10" i="24"/>
  <c r="E57" i="24"/>
  <c r="E65" i="24"/>
  <c r="L2" i="4"/>
  <c r="K2" i="4"/>
  <c r="A4" i="5"/>
  <c r="D2" i="4"/>
  <c r="B3" i="4"/>
  <c r="E1" i="32" l="1" a="1"/>
  <c r="E60" i="24"/>
  <c r="AB3" i="28"/>
  <c r="E13" i="24"/>
  <c r="D13" i="24"/>
  <c r="AC10" i="28"/>
  <c r="AA10" i="28"/>
  <c r="D60" i="24"/>
  <c r="D61" i="24"/>
  <c r="F9" i="28"/>
  <c r="AA3" i="28"/>
  <c r="AB6" i="28"/>
  <c r="AA6" i="28"/>
  <c r="AC6" i="28"/>
  <c r="D23" i="24"/>
  <c r="E23" i="24"/>
  <c r="C63" i="24"/>
  <c r="E51" i="24"/>
  <c r="H9" i="28"/>
  <c r="AC3" i="28"/>
  <c r="C13" i="8"/>
  <c r="B4" i="5"/>
  <c r="B13" i="4"/>
  <c r="B30" i="4" s="1"/>
  <c r="B14" i="4"/>
  <c r="B31" i="4" s="1"/>
  <c r="B20" i="4"/>
  <c r="B4" i="4"/>
  <c r="B21" i="4" s="1"/>
  <c r="B5" i="4"/>
  <c r="B22" i="4" s="1"/>
  <c r="B6" i="4"/>
  <c r="B23" i="4" s="1"/>
  <c r="B7" i="4"/>
  <c r="B24" i="4" s="1"/>
  <c r="B8" i="4"/>
  <c r="B25" i="4" s="1"/>
  <c r="B9" i="4"/>
  <c r="B26" i="4" s="1"/>
  <c r="B10" i="4"/>
  <c r="B27" i="4" s="1"/>
  <c r="B11" i="4"/>
  <c r="B28" i="4" s="1"/>
  <c r="B12" i="4"/>
  <c r="B29" i="4" s="1"/>
  <c r="T2" i="4"/>
  <c r="S2" i="4"/>
  <c r="P2" i="4"/>
  <c r="Q2" i="4"/>
  <c r="R2" i="4"/>
  <c r="M2" i="4"/>
  <c r="N2" i="4"/>
  <c r="O2" i="4"/>
  <c r="E2" i="4"/>
  <c r="F2" i="4"/>
  <c r="G2" i="4"/>
  <c r="H2" i="4"/>
  <c r="I2" i="4"/>
  <c r="J2" i="4"/>
  <c r="C2" i="4"/>
  <c r="AC12" i="8" a="1"/>
  <c r="AE10" i="8" a="1"/>
  <c r="AC10" i="8" a="1"/>
  <c r="AE9" i="8" a="1"/>
  <c r="AC9" i="8" a="1"/>
  <c r="AE12" i="8" a="1"/>
  <c r="AC8" i="8" a="1"/>
  <c r="AE8" i="8" a="1"/>
  <c r="AE12" i="8" l="1"/>
  <c r="AE10" i="8"/>
  <c r="AE9" i="8"/>
  <c r="AE8" i="8"/>
  <c r="AC8" i="8"/>
  <c r="AC9" i="8"/>
  <c r="AC10" i="8"/>
  <c r="AC12" i="8"/>
  <c r="E1" i="32"/>
  <c r="C40" i="31"/>
  <c r="N40" i="31" s="1"/>
  <c r="C39" i="31"/>
  <c r="N39" i="31" s="1"/>
  <c r="C38" i="31"/>
  <c r="N38" i="31" s="1"/>
  <c r="F51" i="24"/>
  <c r="X5" i="28" s="1"/>
  <c r="H51" i="24"/>
  <c r="G51" i="24"/>
  <c r="D63" i="24"/>
  <c r="D10" i="22"/>
  <c r="P11" i="22" s="1"/>
  <c r="AB10" i="28"/>
  <c r="G4" i="28"/>
  <c r="D26" i="24"/>
  <c r="E26" i="24"/>
  <c r="G9" i="28"/>
  <c r="F4" i="28"/>
  <c r="X4" i="28"/>
  <c r="H4" i="28"/>
  <c r="E63" i="24"/>
  <c r="C21" i="31" l="1"/>
  <c r="C22" i="31"/>
  <c r="F63" i="24"/>
  <c r="X6" i="28" s="1"/>
  <c r="H63" i="24"/>
  <c r="G63" i="24"/>
  <c r="G75" i="24"/>
  <c r="H75" i="24"/>
  <c r="F75" i="24"/>
  <c r="X10" i="28" s="1"/>
  <c r="A2" i="23" a="1"/>
  <c r="A2" i="23" s="1"/>
  <c r="X3" i="28"/>
  <c r="E4" i="28"/>
  <c r="Q4" i="28" s="1"/>
  <c r="D4" i="28"/>
  <c r="P4" i="28" s="1"/>
  <c r="C6" i="31" l="1"/>
  <c r="N24" i="31" s="1"/>
  <c r="C14" i="31"/>
  <c r="N32" i="31" s="1"/>
  <c r="C5" i="31"/>
  <c r="N23" i="31" s="1"/>
  <c r="C7" i="31"/>
  <c r="N25" i="31" s="1"/>
  <c r="C15" i="31"/>
  <c r="N33" i="31" s="1"/>
  <c r="C8" i="31"/>
  <c r="N26" i="31" s="1"/>
  <c r="C16" i="31"/>
  <c r="N34" i="31" s="1"/>
  <c r="C13" i="31"/>
  <c r="N31" i="31" s="1"/>
  <c r="C9" i="31"/>
  <c r="N27" i="31" s="1"/>
  <c r="C17" i="31"/>
  <c r="N35" i="31" s="1"/>
  <c r="C10" i="31"/>
  <c r="N28" i="31" s="1"/>
  <c r="C18" i="31"/>
  <c r="N36" i="31" s="1"/>
  <c r="C11" i="31"/>
  <c r="N29" i="31" s="1"/>
  <c r="C19" i="31"/>
  <c r="N37" i="31" s="1"/>
  <c r="C12" i="31"/>
  <c r="N30" i="31" s="1"/>
  <c r="C4" i="28"/>
  <c r="O4" i="28" s="1"/>
  <c r="Y7" i="28"/>
  <c r="Y8" i="28"/>
  <c r="Y4" i="28"/>
  <c r="Y3" i="28"/>
  <c r="Y5" i="28"/>
  <c r="Z8" i="28"/>
  <c r="Z7" i="28"/>
  <c r="Z4" i="28"/>
  <c r="Z5" i="28"/>
  <c r="Z10" i="28"/>
  <c r="Y10" i="28"/>
  <c r="Z3" i="28"/>
  <c r="Z6" i="28"/>
  <c r="Y6" i="28"/>
  <c r="C55" i="31" l="1"/>
  <c r="N55" i="31" s="1"/>
  <c r="C46" i="31"/>
  <c r="N46" i="31" s="1"/>
  <c r="C47" i="31"/>
  <c r="N47" i="31" s="1"/>
  <c r="C54" i="31"/>
  <c r="N54" i="31" s="1"/>
  <c r="C45" i="31"/>
  <c r="N45" i="31" s="1"/>
  <c r="C53" i="31"/>
  <c r="N53" i="31" s="1"/>
  <c r="C44" i="31"/>
  <c r="N44" i="31" s="1"/>
  <c r="C52" i="31"/>
  <c r="N52" i="31" s="1"/>
  <c r="C43" i="31"/>
  <c r="N43" i="31" s="1"/>
  <c r="C51" i="31"/>
  <c r="N51" i="31" s="1"/>
  <c r="C42" i="31"/>
  <c r="N42" i="31" s="1"/>
  <c r="C50" i="31"/>
  <c r="N50" i="31" s="1"/>
  <c r="C41" i="31"/>
  <c r="N41" i="31" s="1"/>
  <c r="C49" i="31"/>
  <c r="N49" i="31" s="1"/>
  <c r="C48" i="31"/>
  <c r="N48" i="31" s="1"/>
  <c r="C30" i="31"/>
  <c r="C23" i="31"/>
  <c r="C31" i="31"/>
  <c r="C24" i="31"/>
  <c r="C32" i="31"/>
  <c r="C25" i="31"/>
  <c r="C33" i="31"/>
  <c r="C29" i="31"/>
  <c r="C26" i="31"/>
  <c r="C34" i="31"/>
  <c r="C27" i="31"/>
  <c r="C35" i="31"/>
  <c r="C28" i="31"/>
  <c r="C36" i="31"/>
  <c r="C37" i="31"/>
  <c r="E6" i="20"/>
  <c r="E1" i="23" l="1" a="1"/>
  <c r="V9" i="8" a="1"/>
  <c r="V8" i="8" a="1"/>
  <c r="X12" i="8" a="1"/>
  <c r="X8" i="8" a="1"/>
  <c r="X9" i="8" a="1"/>
  <c r="V12" i="8" a="1"/>
  <c r="V10" i="8" a="1"/>
  <c r="X10" i="8" a="1"/>
  <c r="X8" i="8" l="1"/>
  <c r="X9" i="8"/>
  <c r="X12" i="8"/>
  <c r="X10" i="8"/>
  <c r="V9" i="8"/>
  <c r="V8" i="8"/>
  <c r="V10" i="8"/>
  <c r="V12" i="8"/>
  <c r="E1" i="23"/>
  <c r="E1" i="27" l="1" a="1"/>
  <c r="AB8" i="8" a="1"/>
  <c r="AB10" i="8" a="1"/>
  <c r="AB9" i="8" a="1"/>
  <c r="Z10" i="8" a="1"/>
  <c r="Z9" i="8" a="1"/>
  <c r="Z8" i="8" a="1"/>
  <c r="Z12" i="8" a="1"/>
  <c r="AB12" i="8" a="1"/>
  <c r="AB9" i="8" l="1"/>
  <c r="AB10" i="8"/>
  <c r="AB8" i="8"/>
  <c r="AB12" i="8"/>
  <c r="Z9" i="8"/>
  <c r="Z8" i="8"/>
  <c r="C8" i="8" s="1"/>
  <c r="Z10" i="8"/>
  <c r="Z12" i="8"/>
  <c r="E1" i="27"/>
  <c r="C10" i="8" l="1"/>
  <c r="C9" i="8"/>
  <c r="C12" i="8"/>
  <c r="X8" i="30"/>
  <c r="C2" i="30" l="1"/>
  <c r="N2" i="30" s="1"/>
  <c r="C3" i="30"/>
  <c r="N3"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C6" authorId="0" shapeId="0" xr:uid="{3AB9F713-7A9F-4A47-A1C2-3BCE50CD8AD4}">
      <text>
        <r>
          <rPr>
            <b/>
            <sz val="9"/>
            <color indexed="81"/>
            <rFont val="Tahoma"/>
            <family val="2"/>
          </rPr>
          <t>Alexandre Pannier:</t>
        </r>
        <r>
          <rPr>
            <sz val="9"/>
            <color indexed="81"/>
            <rFont val="Tahoma"/>
            <family val="2"/>
          </rPr>
          <t xml:space="preserve">
Après pertes liées au transport</t>
        </r>
      </text>
    </comment>
    <comment ref="C12" authorId="0" shapeId="0" xr:uid="{2B8B6698-0EB2-439E-927F-FAA7F9D28C18}">
      <text>
        <r>
          <rPr>
            <b/>
            <sz val="9"/>
            <color indexed="81"/>
            <rFont val="Tahoma"/>
            <family val="2"/>
          </rPr>
          <t>Alexandre Pannier:</t>
        </r>
        <r>
          <rPr>
            <sz val="9"/>
            <color indexed="81"/>
            <rFont val="Tahoma"/>
            <family val="2"/>
          </rPr>
          <t xml:space="preserve">
Les matières stercoaires sont la variable d'ajustement afin de retomber sur le volume de C3 déclaré par SIFCO pour les ruminants en 2023</t>
        </r>
      </text>
    </comment>
    <comment ref="C38" authorId="0" shapeId="0" xr:uid="{A7F593F6-985E-466D-9AE0-0ACDC4A22FD0}">
      <text>
        <r>
          <rPr>
            <b/>
            <sz val="9"/>
            <color indexed="81"/>
            <rFont val="Tahoma"/>
            <family val="2"/>
          </rPr>
          <t>Alexandre Pannier:</t>
        </r>
        <r>
          <rPr>
            <sz val="9"/>
            <color indexed="81"/>
            <rFont val="Tahoma"/>
            <family val="2"/>
          </rPr>
          <t xml:space="preserve">
Le sang est la variable d'ajustement afin de retomber sur le volume de C3 déclaré par SIFCO en 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X3" authorId="0" shapeId="0" xr:uid="{96FBCE0F-48EA-4C86-ABDA-41FC81829A9B}">
      <text>
        <r>
          <rPr>
            <b/>
            <sz val="9"/>
            <color indexed="81"/>
            <rFont val="Tahoma"/>
            <family val="2"/>
          </rPr>
          <t>Alexandre Pannier:</t>
        </r>
        <r>
          <rPr>
            <sz val="9"/>
            <color indexed="81"/>
            <rFont val="Tahoma"/>
            <family val="2"/>
          </rPr>
          <t xml:space="preserve">
Utilisation du total SIFCO faute de mieux pour 2015</t>
        </r>
      </text>
    </comment>
    <comment ref="X4" authorId="0" shapeId="0" xr:uid="{5EEC8A94-6D64-43F6-9236-3680B24727DE}">
      <text>
        <r>
          <rPr>
            <b/>
            <sz val="9"/>
            <color indexed="81"/>
            <rFont val="Tahoma"/>
            <family val="2"/>
          </rPr>
          <t>Alexandre Pannier:</t>
        </r>
        <r>
          <rPr>
            <sz val="9"/>
            <color indexed="81"/>
            <rFont val="Tahoma"/>
            <family val="2"/>
          </rPr>
          <t xml:space="preserve">
Utilisation du total SIFCO faute de mieux pour 2015</t>
        </r>
      </text>
    </comment>
    <comment ref="X5" authorId="0" shapeId="0" xr:uid="{4CA8A0A4-C285-48D7-8943-72E8FB6C36DB}">
      <text>
        <r>
          <rPr>
            <b/>
            <sz val="9"/>
            <color indexed="81"/>
            <rFont val="Tahoma"/>
            <family val="2"/>
          </rPr>
          <t>Alexandre Pannier:</t>
        </r>
        <r>
          <rPr>
            <sz val="9"/>
            <color indexed="81"/>
            <rFont val="Tahoma"/>
            <family val="2"/>
          </rPr>
          <t xml:space="preserve">
Utilisation du total SIFCO faute de mieux pour 2015</t>
        </r>
      </text>
    </comment>
    <comment ref="X6" authorId="0" shapeId="0" xr:uid="{D169602F-5E7A-4F70-8A48-4822B2A352D4}">
      <text>
        <r>
          <rPr>
            <b/>
            <sz val="9"/>
            <color indexed="81"/>
            <rFont val="Tahoma"/>
            <family val="2"/>
          </rPr>
          <t>Alexandre Pannier:</t>
        </r>
        <r>
          <rPr>
            <sz val="9"/>
            <color indexed="81"/>
            <rFont val="Tahoma"/>
            <family val="2"/>
          </rPr>
          <t xml:space="preserve">
Utilisation du total SIFCO faute de mieux pour 2015</t>
        </r>
      </text>
    </comment>
    <comment ref="X10" authorId="0" shapeId="0" xr:uid="{11755536-1951-4D63-997D-76030E118D77}">
      <text>
        <r>
          <rPr>
            <b/>
            <sz val="9"/>
            <color indexed="81"/>
            <rFont val="Tahoma"/>
            <family val="2"/>
          </rPr>
          <t>Alexandre Pannier:</t>
        </r>
        <r>
          <rPr>
            <sz val="9"/>
            <color indexed="81"/>
            <rFont val="Tahoma"/>
            <family val="2"/>
          </rPr>
          <t xml:space="preserve">
Utilisation du total SIFCO faute de mieux pour 2015</t>
        </r>
      </text>
    </comment>
    <comment ref="I14" authorId="0" shapeId="0" xr:uid="{3FA62CFA-9AD1-4483-B33F-ECFE06BCD087}">
      <text>
        <r>
          <rPr>
            <b/>
            <sz val="9"/>
            <color indexed="81"/>
            <rFont val="Tahoma"/>
            <family val="2"/>
          </rPr>
          <t>Alexandre Pannier:</t>
        </r>
        <r>
          <rPr>
            <sz val="9"/>
            <color indexed="81"/>
            <rFont val="Tahoma"/>
            <family val="2"/>
          </rPr>
          <t xml:space="preserve">
Comprend également l'aquaculture</t>
        </r>
      </text>
    </comment>
    <comment ref="I15" authorId="0" shapeId="0" xr:uid="{7D545E29-18F2-47C7-8A06-BBB1F02C5C5F}">
      <text>
        <r>
          <rPr>
            <b/>
            <sz val="9"/>
            <color indexed="81"/>
            <rFont val="Tahoma"/>
            <family val="2"/>
          </rPr>
          <t>Alexandre Pannier:</t>
        </r>
        <r>
          <rPr>
            <sz val="9"/>
            <color indexed="81"/>
            <rFont val="Tahoma"/>
            <family val="2"/>
          </rPr>
          <t xml:space="preserve">
Comprend également l'aquaculture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<sst xmlns="http://schemas.openxmlformats.org/spreadsheetml/2006/main" count="1313" uniqueCount="502">
  <si>
    <t>Niveau d'aggrégation</t>
  </si>
  <si>
    <t>Liste des produits</t>
  </si>
  <si>
    <t>Contraintes de conservation de la masse</t>
  </si>
  <si>
    <t>Remarque</t>
  </si>
  <si>
    <t>Hypothèse</t>
  </si>
  <si>
    <t>Zone filière</t>
  </si>
  <si>
    <t>Gros bovins</t>
  </si>
  <si>
    <t>Matières de 1ère et 2nde transformation</t>
  </si>
  <si>
    <t>Liste des secteurs</t>
  </si>
  <si>
    <t>1ère et 2nde transformation</t>
  </si>
  <si>
    <t>Débouchés</t>
  </si>
  <si>
    <t>Alimentation humaine</t>
  </si>
  <si>
    <t>Vente directe et autoconsommation</t>
  </si>
  <si>
    <t>GMS</t>
  </si>
  <si>
    <t>RHD</t>
  </si>
  <si>
    <t>Fabrication de plats préparés</t>
  </si>
  <si>
    <t>Liste des échanges</t>
  </si>
  <si>
    <t>TABLE RESSOURCES</t>
  </si>
  <si>
    <t>TABLE EMPLOIS</t>
  </si>
  <si>
    <t>Origine</t>
  </si>
  <si>
    <t>Destination</t>
  </si>
  <si>
    <t>Valeur</t>
  </si>
  <si>
    <t>Unité</t>
  </si>
  <si>
    <t>Incertitude</t>
  </si>
  <si>
    <t>Source</t>
  </si>
  <si>
    <t>Elevée</t>
  </si>
  <si>
    <t>kt</t>
  </si>
  <si>
    <t>Identifiant</t>
  </si>
  <si>
    <t>Equation d'égalité (eq = 0)</t>
  </si>
  <si>
    <t>Equation d'inégalité borne haute (eq &lt;= 0)</t>
  </si>
  <si>
    <t>Equation d'inégalité borne basse (eq &gt;= 0)</t>
  </si>
  <si>
    <t>Traduction</t>
  </si>
  <si>
    <t>Nom du groupe d'étiquette</t>
  </si>
  <si>
    <t>Type d'étiquette</t>
  </si>
  <si>
    <t>Etiquette</t>
  </si>
  <si>
    <t>Palette visible</t>
  </si>
  <si>
    <t>Palette de couleur</t>
  </si>
  <si>
    <t>Couleur</t>
  </si>
  <si>
    <t>Utilité</t>
  </si>
  <si>
    <t>nodeTags</t>
  </si>
  <si>
    <t>Type de matière</t>
  </si>
  <si>
    <t>Permet de filtrer par type de matière.</t>
  </si>
  <si>
    <t>dataTags</t>
  </si>
  <si>
    <t>Permet d'afficher le diagramme pour la période sélectionnée.</t>
  </si>
  <si>
    <t>fluxTags</t>
  </si>
  <si>
    <t>Permet de filtrer les flux par niveau de fiabilité.</t>
  </si>
  <si>
    <t>Année</t>
  </si>
  <si>
    <t>Veaux</t>
  </si>
  <si>
    <t>Bovins</t>
  </si>
  <si>
    <t>Viande</t>
  </si>
  <si>
    <t>Abats</t>
  </si>
  <si>
    <t>Coproduits</t>
  </si>
  <si>
    <t>C1</t>
  </si>
  <si>
    <t>C2</t>
  </si>
  <si>
    <t>C3 et alimentaire</t>
  </si>
  <si>
    <t>Cuirs</t>
  </si>
  <si>
    <t>Eau (ressuage)</t>
  </si>
  <si>
    <t>Transformation des coproduits</t>
  </si>
  <si>
    <t>Traitement thermique C1/C2</t>
  </si>
  <si>
    <t>Matières issues de coproduits</t>
  </si>
  <si>
    <t>Produits transformés</t>
  </si>
  <si>
    <t>Farines et graisses animales</t>
  </si>
  <si>
    <t>PAT et CGA</t>
  </si>
  <si>
    <t>Farines animales</t>
  </si>
  <si>
    <t>Graisses animales</t>
  </si>
  <si>
    <t>Protéines animales transformées</t>
  </si>
  <si>
    <t>Corps gras animaux</t>
  </si>
  <si>
    <t>Usages alimentaires</t>
  </si>
  <si>
    <t>Alimentation animale</t>
  </si>
  <si>
    <t>Ménages</t>
  </si>
  <si>
    <t>Circuits généralistes</t>
  </si>
  <si>
    <t>Circuits spécialisés</t>
  </si>
  <si>
    <t>Autres IAA</t>
  </si>
  <si>
    <t>Alimentation animale rente</t>
  </si>
  <si>
    <t>Petfood</t>
  </si>
  <si>
    <t>Aquaculture</t>
  </si>
  <si>
    <t>Usages non-alimentaires</t>
  </si>
  <si>
    <t>Autres usages (ou usages inconnus)</t>
  </si>
  <si>
    <t>Biomatériaux</t>
  </si>
  <si>
    <t>Energie</t>
  </si>
  <si>
    <t>Fertilisation</t>
  </si>
  <si>
    <t>Autres industries</t>
  </si>
  <si>
    <t>Traitement thermique C3 et alimentaire</t>
  </si>
  <si>
    <t>Conjoncture animale 1</t>
  </si>
  <si>
    <t>Conjoncture animale 2</t>
  </si>
  <si>
    <t>Conjoncture animale 3</t>
  </si>
  <si>
    <t>Conjoncture animale 4</t>
  </si>
  <si>
    <t>Conjoncture animale 5</t>
  </si>
  <si>
    <t>Conjoncture animale 6</t>
  </si>
  <si>
    <t>2015</t>
  </si>
  <si>
    <t>2019</t>
  </si>
  <si>
    <t>2023</t>
  </si>
  <si>
    <t>Mammifères de type bovin</t>
  </si>
  <si>
    <t>Veaux et broutards [bovins de moins de 8 mois]</t>
  </si>
  <si>
    <t>Veaux de boucherie</t>
  </si>
  <si>
    <t>Broutards légers</t>
  </si>
  <si>
    <t>Gros bovins [bovins de plus de 8 mois]</t>
  </si>
  <si>
    <t>Génisses</t>
  </si>
  <si>
    <t>Jeunes bovins femelles de 8 à 12 mois</t>
  </si>
  <si>
    <t>Génisses de plus d'un an</t>
  </si>
  <si>
    <t>Vaches</t>
  </si>
  <si>
    <t>Vaches laitières</t>
  </si>
  <si>
    <t>Vaches allaitantes</t>
  </si>
  <si>
    <t>Gros bovins mâles</t>
  </si>
  <si>
    <t>Taurillons [mâles de 8 à 24 mois]</t>
  </si>
  <si>
    <t>Jeunes bovins mâles de 8 à 12 mois</t>
  </si>
  <si>
    <t>Bovins mâles de 12 à 24 mois</t>
  </si>
  <si>
    <t>Bovins mâles de plus de  24 mois</t>
  </si>
  <si>
    <t>Bœufs</t>
  </si>
  <si>
    <t>Taureaux</t>
  </si>
  <si>
    <t>Autres bovins de catégories indéterminées</t>
  </si>
  <si>
    <t>Autres mammifères de type bovin, n.c.a. niv. 1</t>
  </si>
  <si>
    <t>Bisons, buffles</t>
  </si>
  <si>
    <t>Mammifères de type porcin</t>
  </si>
  <si>
    <t>Porcins</t>
  </si>
  <si>
    <t>Porcelets</t>
  </si>
  <si>
    <t>Porcs charcutiers</t>
  </si>
  <si>
    <t>Coches et verrats</t>
  </si>
  <si>
    <t>Autres mammifères de type porcin, n.c.a. niv. 1</t>
  </si>
  <si>
    <t>Sangliers</t>
  </si>
  <si>
    <t>Ovins</t>
  </si>
  <si>
    <t>Agneaux</t>
  </si>
  <si>
    <t>Ovins de réforme</t>
  </si>
  <si>
    <t>Caprins</t>
  </si>
  <si>
    <t>Chevreaux</t>
  </si>
  <si>
    <t>Caprins de réforme</t>
  </si>
  <si>
    <t>Equidés</t>
  </si>
  <si>
    <t>Cervidés</t>
  </si>
  <si>
    <t>Dimension</t>
  </si>
  <si>
    <t>Niveau</t>
  </si>
  <si>
    <t>Filtre</t>
  </si>
  <si>
    <t>Géographie</t>
  </si>
  <si>
    <t>France entière</t>
  </si>
  <si>
    <t>FR - France entière</t>
  </si>
  <si>
    <t>Groupe d'indicateurs</t>
  </si>
  <si>
    <t>Abattages CVJA (volume)</t>
  </si>
  <si>
    <t>Agreste - Base de données nationale de l'identification française (BDNI)</t>
  </si>
  <si>
    <t>Notes</t>
  </si>
  <si>
    <t>- Unités utilisées : « Nombre d'animaux abattus en têtes »,  « Indicateurs de Volume en téc » et  « Poids moyen en kg carcasse/tête »</t>
  </si>
  <si>
    <t>Exportations d'animaux finis en poids net (téc)</t>
  </si>
  <si>
    <t>Importations d'animaux finis en poids net (téc)</t>
  </si>
  <si>
    <t xml:space="preserve">Dataset: </t>
  </si>
  <si>
    <t>Annual</t>
  </si>
  <si>
    <t>DECL</t>
  </si>
  <si>
    <t>France</t>
  </si>
  <si>
    <t>INDICATORS</t>
  </si>
  <si>
    <t>PRODQNT</t>
  </si>
  <si>
    <t>TIME</t>
  </si>
  <si>
    <t>PRCCODE (Codes)</t>
  </si>
  <si>
    <t/>
  </si>
  <si>
    <t>10112000</t>
  </si>
  <si>
    <t>10113910</t>
  </si>
  <si>
    <t>10114200</t>
  </si>
  <si>
    <t>10114300</t>
  </si>
  <si>
    <t>:</t>
  </si>
  <si>
    <t>10116030</t>
  </si>
  <si>
    <t>10116090</t>
  </si>
  <si>
    <t>10131430</t>
  </si>
  <si>
    <t>10131460</t>
  </si>
  <si>
    <t>10131515</t>
  </si>
  <si>
    <t>10131600</t>
  </si>
  <si>
    <t>10411100</t>
  </si>
  <si>
    <t>10411900</t>
  </si>
  <si>
    <t>10416030</t>
  </si>
  <si>
    <t>10417200</t>
  </si>
  <si>
    <t>10851100</t>
  </si>
  <si>
    <t>10861010</t>
  </si>
  <si>
    <t>Composition anatomique et rendement d'abattage/découpe</t>
  </si>
  <si>
    <t>Abats = Abats et tripes destinés à l'alimentation humaine</t>
  </si>
  <si>
    <t>Hors pertes liées à la maturation</t>
  </si>
  <si>
    <t>Coproduits = Abats, tripes et coproduits destinés aux C1, C2 et C3</t>
  </si>
  <si>
    <t>Poids moyen (kg)</t>
  </si>
  <si>
    <t>Ratio sur poids vif</t>
  </si>
  <si>
    <t>Ratio sur poids carcasse</t>
  </si>
  <si>
    <t>Volume 2023</t>
  </si>
  <si>
    <t>Vif</t>
  </si>
  <si>
    <t>Caracasse</t>
  </si>
  <si>
    <t>dont C1</t>
  </si>
  <si>
    <t>dont C2</t>
  </si>
  <si>
    <t>dont C3</t>
  </si>
  <si>
    <t>Porcs</t>
  </si>
  <si>
    <t>Peaux</t>
  </si>
  <si>
    <t>Caprins (= ovins)</t>
  </si>
  <si>
    <t>Matières premières traitées</t>
  </si>
  <si>
    <t>Ruminants</t>
  </si>
  <si>
    <t>Volailles</t>
  </si>
  <si>
    <t>Poissons/Insectes</t>
  </si>
  <si>
    <t>Total</t>
  </si>
  <si>
    <t>Part dans C3 et alimentaire</t>
  </si>
  <si>
    <t>Part dans C1+C2</t>
  </si>
  <si>
    <t>SIFCO</t>
  </si>
  <si>
    <t>estimation</t>
  </si>
  <si>
    <t>C1+C2</t>
  </si>
  <si>
    <t>Toutes epèces (+volailles et poissons/insectes)</t>
  </si>
  <si>
    <t>Ruminants + porcins</t>
  </si>
  <si>
    <t>Equins</t>
  </si>
  <si>
    <t>Produits transformés et débouchés (dont exportations)</t>
  </si>
  <si>
    <t>Production totale</t>
  </si>
  <si>
    <t>Alimentation humaine (10.13A sans doute)</t>
  </si>
  <si>
    <t>Autres usages</t>
  </si>
  <si>
    <t>PAT</t>
  </si>
  <si>
    <t>CGA</t>
  </si>
  <si>
    <t>Exportations</t>
  </si>
  <si>
    <t>Part de la production exportée</t>
  </si>
  <si>
    <t>Abattages</t>
  </si>
  <si>
    <t>Echanges de produits transformés issus de coproduits</t>
  </si>
  <si>
    <t>Débouchés Coproduits</t>
  </si>
  <si>
    <t>Très élevée:Elevée:Moyenne:Faible:Très faible</t>
  </si>
  <si>
    <t>Charcuterie industrielle</t>
  </si>
  <si>
    <t>Hors SIFCO</t>
  </si>
  <si>
    <t>Dernière mise à jour:</t>
  </si>
  <si>
    <t>06/02/2025 11:00</t>
  </si>
  <si>
    <t>Fréquence</t>
  </si>
  <si>
    <t>PRCCODE (Libellés)</t>
  </si>
  <si>
    <t>Abats comestibles d’animaux de boucherie, frais ou réfrigérés</t>
  </si>
  <si>
    <t>Abats comestibles des animaux des espèces bovine, porcine, ovine, caprine, chevaline, asine ou mulassière, congelés</t>
  </si>
  <si>
    <t>Cuirs et peaux bruts de bovins ou d’équidés, entiers (à l’exclusion de ceux liés au SH 4101 90)</t>
  </si>
  <si>
    <t>Autres cuirs et peaux bruts de bovins ou d’équidés</t>
  </si>
  <si>
    <t>Boyaux, vessies et estomacs d’animaux (à l’exclusion des poissons), entiers ou en morceaux</t>
  </si>
  <si>
    <t>Autres déchets ne convenant pas à la consommation humaine (à l’exclusion des poissons, boyaux, vessies et estomacs)</t>
  </si>
  <si>
    <t>Saucisses, saucissons et produits similaires, de foie, et préparations alimentaires à base de ces produits (à l’exclusion des plats préparés)</t>
  </si>
  <si>
    <t>Saucisses, saucissons et produits similaires, de viande, d’abats ou de sang, et préparations alimentaires à base de ces produits (à l’exclusion des saucisses et saucissons de foie ainsi que des plats préparés)</t>
  </si>
  <si>
    <t>Préparations et conserves de foies d’autres animaux (à l’exclusion des saucisses et saucissons ainsi que des plats préparés)</t>
  </si>
  <si>
    <t>Farines, poudres et pellets de viandes ou d’abats, impropres à l’alimentation humaine; cretons</t>
  </si>
  <si>
    <t>Stéarine solaire, huile de saindoux, oléostéarine, oléomargarine et huile de suif, non émulsionnées, ni mélangées ou autrement préparées</t>
  </si>
  <si>
    <t>Autres graisses et huiles animales et leurs fractions, raffinées ou non, mais non chimiquement modifiées</t>
  </si>
  <si>
    <t>Graisses et huiles animales et leurs fractions, partiellement ou totalement hydrogénées, interestérifiées, réestérifiées ou élaïdinisées, même raffinées</t>
  </si>
  <si>
    <t>Dégras; résidus provenant du traitement des corps gras ou des cires animales ou végétales</t>
  </si>
  <si>
    <t>Plats préparés à base de viandes, d’abats ou de sang</t>
  </si>
  <si>
    <t>Préparations homogénéisées de viandes, d’abats ou de sang (à l’exclusion des préparations alimentaires à base de ces produits et des saucisses et produits similaires à base de viande)</t>
  </si>
  <si>
    <t>Valeur spéciale</t>
  </si>
  <si>
    <t>Non disponible</t>
  </si>
  <si>
    <t>16/01/2025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</si>
  <si>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</si>
  <si>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</si>
  <si>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</si>
  <si>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</si>
  <si>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</si>
  <si>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</si>
  <si>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</si>
  <si>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</si>
  <si>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</si>
  <si>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</si>
  <si>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02109910</t>
  </si>
  <si>
    <t>Viandes de cheval, salées ou en saumure ou bien séchées</t>
  </si>
  <si>
    <t>02109980</t>
  </si>
  <si>
    <t>Abats comestibles, salés ou en saumure, séchés ou fumés (à l'excl. des abats d'animaux domestiques des espèces bovine, porcine, ovine et caprine, primates, de baleines, de dauphins et marsouins {mammifères de l'ordre des cétacés}, de lamantins et dugongs {mammifères de l'ordre des siréniens}, de reptiles ainsi que des foies de volaille)</t>
  </si>
  <si>
    <t>02109985</t>
  </si>
  <si>
    <t>Abats comestibles, salés ou en saumure, séchés ou fumés (à l’excl. des abats d’animaux domestiques des espèces bovine, porcine, de primates, de baleines, dauphins et marsouins {mammifères de l’ordre des cétacés}, de lamantins et dugongs {mammifères de l’ordre des siréniens}, d'otaries et phoques, lions de mer, morses, de reptiles ainsi que des foies de volaille)</t>
  </si>
  <si>
    <t>02109990</t>
  </si>
  <si>
    <t>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reptiles)(2022-2500);Farines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reptiles)(2012-2021);Farines et poudres comestibles, de viandes et d'abats(2002-2011)</t>
  </si>
  <si>
    <t>15030011</t>
  </si>
  <si>
    <t>Stéarine solaire et oléostéarine, non émulsionnées, ni mélangées ni autrement préparées, destinées à des usages industriels</t>
  </si>
  <si>
    <t>15030019</t>
  </si>
  <si>
    <t>Stéarine solaire et oléostéarine, non émulsionnées, ni mélangées ni autrement préparées (à l'excl. des produits destinés à des usages industriels)</t>
  </si>
  <si>
    <t>15030030</t>
  </si>
  <si>
    <t>Huile de suif, non émulsionnée, ni mélangée ni autrement préparée, destinée à des usages industriels (autres que la fabrication de produits pour l'alimentation humaine)</t>
  </si>
  <si>
    <t>15030090</t>
  </si>
  <si>
    <t>Huile de saindoux, oléomargarine et huile de suif, non émulsionnées, ni mélangées ni autrement préparées (à l'excl. de l'huile de suif destinée à des usages industriels)</t>
  </si>
  <si>
    <t>15060000</t>
  </si>
  <si>
    <t>Graisses et huiles animales et leurs fractions, même raffinées, mais non chimiquement modifiées (à l'excl. des graisses et huiles de porcins, de volailles, de bovins, d'ovins, de caprins, de poissons et de mammifères marins ainsi que de la stéarine solaire, de l'huile de saindoux, de l'oléostéarine, de l'oléomargarine, de l'huile de suif, de la graisse de suint et des substances grasses dérivées)</t>
  </si>
  <si>
    <t>15161010</t>
  </si>
  <si>
    <t>Graisses et huiles animales et leurs fractions, partiellement ou totalement hydrogénées, interestérifiées, réestérifiées ou élaïdinisées, même raffinées, mais non autrement préparées, présentées en emballages immédiats d'un contenu net &lt;= 1 kg</t>
  </si>
  <si>
    <t>15161090</t>
  </si>
  <si>
    <t>Graisses et huiles animales et leurs fractions, partiellement ou totalement hydrogénées, interestérifiées, réestérifiées ou élaïdinisées, même raffinées, mais non autrement préparées, présentées en emballages immédiats d'un contenu net &gt; 1 kg</t>
  </si>
  <si>
    <t>15180010</t>
  </si>
  <si>
    <t>Linoxyne</t>
  </si>
  <si>
    <t>15180031</t>
  </si>
  <si>
    <t>Mélanges non alimentaires d'huiles végétales fixes, fluides, brutes, n.d.a., destinés à des usages techniques ou industriels autres que la fabrication de produits pour l'alimentation humaine</t>
  </si>
  <si>
    <t>15180039</t>
  </si>
  <si>
    <t>Mélanges non alimentaires d'huiles végétales fixes, fluides, n.d.a., destinés à des usages techniques ou industriels (à l'excl. des mélanges d'huiles brutes et des mélanges destinés à la fabrication de produits pour l'alimentation humaine)</t>
  </si>
  <si>
    <t>15180090</t>
  </si>
  <si>
    <t>Graisses et huiles animales ou végétales et leurs fractions, cuites, oxydées, déshydratées, sulfurées, soufflées, standolisées ou autrement modifiées chimiquement; mélanges ou préparations non alimentaires de graisses ou d'huiles animales ou végétales ou de fractions non comestibles de différentes graisses ou huiles, n.d.a.</t>
  </si>
  <si>
    <t>15180091</t>
  </si>
  <si>
    <t>Graisses et huiles animales ou végétales et leurs fractions, cuites, oxydées, déshydratées, sulfurées, soufflées, standolisées ou autrement modifiées chimiquement (à l'excl. des graisses du n° 1516 ainsi que de la linoxyne {huile de lin oxydée})</t>
  </si>
  <si>
    <t>15180095</t>
  </si>
  <si>
    <t>Mélanges et préparations non alimentaires de graisses et d'huiles animales, ou animales et végétales ou d'origine microbienne et leurs fractions</t>
  </si>
  <si>
    <t>15180099</t>
  </si>
  <si>
    <t>Mélanges ou préparations non alimentaires de graisses ou d'huiles animales ou végétales ou de fractions de différentes graisses ou huiles du présent chapitre, n.d.a.</t>
  </si>
  <si>
    <t>16010010</t>
  </si>
  <si>
    <t>Saucisses, saucissons et produits simil., de foie; préparations alimentaires à base de ces produits</t>
  </si>
  <si>
    <t>16010091</t>
  </si>
  <si>
    <t>Saucisses et saucissons, de viande, d'abats ou de sang, secs ou à tartiner, non cuits (à l'excl. des saucisses et saucissons de foie)(2022-2500);Saucisses et saucissons, de viande, d'abats ou de sang, secs ou à tartiner, non cuits (à l'excl. des saucisses et saucissons de foie)(1988-2021)</t>
  </si>
  <si>
    <t>16010099</t>
  </si>
  <si>
    <t>Saucisses, saucissons et produits simil., de viande, d'abats ou de sang, et préparations alimentaires à base de ces produits (à l'excl. des saucisses et saucissons de foie ainsi que des saucisses et saucissons, secs ou à tartiner, non cuits)(2022-2500);Saucisses, saucissons et produits simil., de viande, d'abats ou de sang, et préparations alimentaires à base de ces produits (à l'excl. des saucisses et saucissons de foie ainsi que des saucisses et saucissons, secs ou à tartiner, non cuits)(1988-2021)</t>
  </si>
  <si>
    <t>16021000</t>
  </si>
  <si>
    <t>Préparations finement homogénéisées, de viande, d'abats ou de sang, conditionnées pour la vente au détail comme aliments pour enfants ou pour usages diététiques, en récipients d'un contenu &lt;= 250 g(2022-2500);Préparations finement homogénéisées, de viande, d'abats ou de sang, conditionnées pour la vente au détail comme aliments pour enfants ou pour usages diététiques, en récipients d'un contenu &lt;= 250 g(1988-2021)</t>
  </si>
  <si>
    <t>16029010</t>
  </si>
  <si>
    <t>Préparations de sang de tous animaux (à l'excl. des saucisses, saucissons et produits simil.)</t>
  </si>
  <si>
    <t>16029098</t>
  </si>
  <si>
    <t>Préparations et conserves de viande ou d'abats (à l'excl. des préparations et conserves de viande ou d'abats de volailles {des espèces domestiques}, de porcins, de bovins, de renne,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</si>
  <si>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16029099</t>
  </si>
  <si>
    <t>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porcine)(2022-2500);Préparations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porcine)(2008-2021);Préparations et conserves de viande ou d'abats (à l'excl. des préparations et conserves de viande ou d'abats de volailles {des espèces domestiques}, de porcins, de bovins,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viande)(1988-1995)</t>
  </si>
  <si>
    <t>16030010</t>
  </si>
  <si>
    <t>Extraits et jus de viande, de poissons ou de crustacés, de mollusques ou d'autres invertébrés aquatiques, en emballages immédiats d'un contenu net &lt;= 1 kg</t>
  </si>
  <si>
    <t>16030030</t>
  </si>
  <si>
    <t>Extraits et jus de viande, de poissons ou de crustacés, de mollusques ou d'autres invertébrés aquatiques, en emballages immédiats d'un contenu net &gt; 1 kg, mais &lt; 20 kg</t>
  </si>
  <si>
    <t>16030080</t>
  </si>
  <si>
    <t>Extraits et jus de viande, de poissons ou de crustacés, de mollusques ou d'autres invertébrés aquatiques, en emballages immédiats d'un contenu net &gt; 1 kg</t>
  </si>
  <si>
    <t>16030090</t>
  </si>
  <si>
    <t>Extraits et jus de viande, de poissons ou de crustacés, de mollusques ou d'autres invertébrés aquatiques, en emballages immédiats d'un contenu net &gt;= 20 kg</t>
  </si>
  <si>
    <t>23011000</t>
  </si>
  <si>
    <t>Farines, poudres et agglomérés sous forme de pellets, de viandes ou d'abats, impropres à l'alimentation humaine; cretons</t>
  </si>
  <si>
    <t>Echanges 10.11</t>
  </si>
  <si>
    <t>Ovins et caprins</t>
  </si>
  <si>
    <t>en p/st</t>
  </si>
  <si>
    <t>Blézat</t>
  </si>
  <si>
    <t>Utilisation du rendement carcasse</t>
  </si>
  <si>
    <t>Très élevée</t>
  </si>
  <si>
    <t>Très faible</t>
  </si>
  <si>
    <t>Viandes</t>
  </si>
  <si>
    <t>Autres produits</t>
  </si>
  <si>
    <t>Coproduits transformés</t>
  </si>
  <si>
    <t>Données extraites le13/02/2025 10:14:55 depuis [ESTAT]</t>
  </si>
  <si>
    <t>Production vendue, exportations et importations [ds-056120__custom_15351204]</t>
  </si>
  <si>
    <t>10111500</t>
  </si>
  <si>
    <t>Viande de cheval et autres équidés, fraîche, ou réfrigérée</t>
  </si>
  <si>
    <t>10113500</t>
  </si>
  <si>
    <t>Viande de cheval, congelée ou surgelée</t>
  </si>
  <si>
    <t>10131300</t>
  </si>
  <si>
    <t>Autres viandes et abats comestibles, salés, en saumure, séchés ou fumés; farines et poudres, comestibles, de viandes ou d’abats (à l’exclusion de la viande de porc et de bœuf salée, en saumure, séchée ou fumée)</t>
  </si>
  <si>
    <t>10131310</t>
  </si>
  <si>
    <t>Autres viandes et abats comestibles, salés, en saumure, séchés ou fumés; farines et poudres, comestibles, de viandes ou d’abats (y compris d’insectes; à l’exclusion de la viande de porc et de bœuf salée, en saumure, séchée ou fumée)</t>
  </si>
  <si>
    <t>10131595</t>
  </si>
  <si>
    <t>Autres préparations et conserves d’autres animaux, préparations de sang et d’abats (à l’exclusion des saucisses, saucissons et produits similaires, des préparations finement homogénéisées, des préparations à base de foie ainsi que des plats préparés)</t>
  </si>
  <si>
    <t>10131596</t>
  </si>
  <si>
    <t>Autres préparations et conserves de viandes ou d’abats, y compris de sang ou d’insectes (à l’exclusion des saucisses, saucissons et produits similaires, des préparations finement homogénéisées, des préparations à base de foie ainsi que des plats préparés)</t>
  </si>
  <si>
    <t>Données extraites le13/02/2025 10:46:53 depuis [ESTAT]</t>
  </si>
  <si>
    <t>Commerce UE depuis 1988 par SH2,4,6 et NC8 [ds-045409__custom_15351985]</t>
  </si>
  <si>
    <t>01011010</t>
  </si>
  <si>
    <t>Chevaux reproducteurs de race pure</t>
  </si>
  <si>
    <t>01011090</t>
  </si>
  <si>
    <t>Anes reproducteurs de race pure</t>
  </si>
  <si>
    <t>01011100</t>
  </si>
  <si>
    <t>01011910</t>
  </si>
  <si>
    <t>Chevaux destinés à la boucherie</t>
  </si>
  <si>
    <t>01011990</t>
  </si>
  <si>
    <t>Chevaux vivants (à l'excl. des animaux reproducteurs de race pure et des animaux destinés à la boucherie)</t>
  </si>
  <si>
    <t>01012010</t>
  </si>
  <si>
    <t>Anes, vivants</t>
  </si>
  <si>
    <t>01012090</t>
  </si>
  <si>
    <t>Mulets et bardots, vivants</t>
  </si>
  <si>
    <t>01012100</t>
  </si>
  <si>
    <t>01012910</t>
  </si>
  <si>
    <t>01012990</t>
  </si>
  <si>
    <t>Chevaux vivants (à l’excl. des animaux reproducteurs de race pure ainsi que des animaux destinés à la boucherie)</t>
  </si>
  <si>
    <t>01013000</t>
  </si>
  <si>
    <t>01019000</t>
  </si>
  <si>
    <t>01019011</t>
  </si>
  <si>
    <t>01019019</t>
  </si>
  <si>
    <t>Chevaux vivants (à l'excl. des animaux reproducteurs de race pure ainsi que des animaux destinés à la boucherie)</t>
  </si>
  <si>
    <t>01019030</t>
  </si>
  <si>
    <t>Anes, vivants (à l'excl. des animaux reproducteurs de race pure)</t>
  </si>
  <si>
    <t>01019090</t>
  </si>
  <si>
    <t>02050000</t>
  </si>
  <si>
    <t>Viandes des animaux des espèces chevaline, asine ou mulassière, fraîches, réfrigérées ou congelées</t>
  </si>
  <si>
    <t>02050011</t>
  </si>
  <si>
    <t>Viandes des animaux de l'espèce chevaline, fraîches ou réfrigérées</t>
  </si>
  <si>
    <t>02050019</t>
  </si>
  <si>
    <t>Viandes des animaux de l'espèce chevaline, congelées</t>
  </si>
  <si>
    <t>02050020</t>
  </si>
  <si>
    <t>Viandes des animaux des espèces chevaline, asine ou mulassière, fraîches ou réfrigérées</t>
  </si>
  <si>
    <t>02050080</t>
  </si>
  <si>
    <t>Viandes des animaux des espèces chevaline, asine ou mulassière, congelées</t>
  </si>
  <si>
    <t>02050090</t>
  </si>
  <si>
    <t>Viandes des animaux des espèces asine ou mulassière, fraîches, réfrigérées ou congelées</t>
  </si>
  <si>
    <t>02068010</t>
  </si>
  <si>
    <t>Abats comestibles des animaux des espèces ovine, caprine, chevaline, asine ou mulassière, frais ou réfrigérés, destinés à la fabrication de produits pharmaceutiques</t>
  </si>
  <si>
    <t>02068091</t>
  </si>
  <si>
    <t>Abats comestibles des animaux des espèces chevaline, asine ou mulassière, frais ou réfrigérés (à l'excl. de ceux destinés à la fabrication de produits pharmaceutiques)</t>
  </si>
  <si>
    <t>02069010</t>
  </si>
  <si>
    <t>Abats comestibles des animaux des espèces ovine, caprine, chevaline, asine ou mulassière, congelés, destinés à la fabrication de produits pharmaceutiques</t>
  </si>
  <si>
    <t>02069091</t>
  </si>
  <si>
    <t>Abats comestibles des animaux des espèces chevaline, asine ou mulassière, congelés (à l'excl. de ceux destinés à la fabrication de produits pharmaceutiques)</t>
  </si>
  <si>
    <t>Equins finis</t>
  </si>
  <si>
    <t>Viande, fraîche</t>
  </si>
  <si>
    <t>Viande, congelée</t>
  </si>
  <si>
    <t>Cheptel</t>
  </si>
  <si>
    <t>Part dans la production d'abats</t>
  </si>
  <si>
    <t>Hypothèse : même répartition entre équins et ovins et caprins que la production d'abats</t>
  </si>
  <si>
    <t>Echanges d'abats</t>
  </si>
  <si>
    <t>Rendements d'abattage-découpe</t>
  </si>
  <si>
    <t>Débouchés de la viande</t>
  </si>
  <si>
    <t>Matière première</t>
  </si>
  <si>
    <t>Produit</t>
  </si>
  <si>
    <t>Coproduit</t>
  </si>
  <si>
    <t>Ingrédient</t>
  </si>
  <si>
    <t>Emission</t>
  </si>
  <si>
    <t>Type de matière - viande</t>
  </si>
  <si>
    <t>Coproduits bruts</t>
  </si>
  <si>
    <t>Eau</t>
  </si>
  <si>
    <t>Filière</t>
  </si>
  <si>
    <t>Territoire</t>
  </si>
  <si>
    <t>Information collectée</t>
  </si>
  <si>
    <t>Type de donnée collectée</t>
  </si>
  <si>
    <t>Volume</t>
  </si>
  <si>
    <t>Rendement</t>
  </si>
  <si>
    <t>Répartition</t>
  </si>
  <si>
    <t>Onglet source fichier Excel</t>
  </si>
  <si>
    <t>Incohérence données collectées</t>
  </si>
  <si>
    <t>Ecart statistique</t>
  </si>
  <si>
    <t>#FF0000</t>
  </si>
  <si>
    <t>Fiabilité des données</t>
  </si>
  <si>
    <t>Moyenne</t>
  </si>
  <si>
    <t>Faible</t>
  </si>
  <si>
    <t>Eau - ressuage</t>
  </si>
  <si>
    <t>Eau - traitement thermique</t>
  </si>
  <si>
    <t>Abattage / découpe</t>
  </si>
  <si>
    <t>Boucherie</t>
  </si>
  <si>
    <t>Import</t>
  </si>
  <si>
    <t>Export</t>
  </si>
  <si>
    <t>Agreste - Statistique Agricole Annuelle - SSP</t>
  </si>
  <si>
    <t>Douanes - Eurostat</t>
  </si>
  <si>
    <t>Importations d'équins</t>
  </si>
  <si>
    <t>Volume 2015</t>
  </si>
  <si>
    <t>Volume 2019</t>
  </si>
  <si>
    <t>Valorisation des farines animales en énergie</t>
  </si>
  <si>
    <t>Statistique comprenant également les autres espèces ainsi que les exportations = extrapolation à partir de la production de C3 de chaque espèce et des exportations tous débouchés confondus</t>
  </si>
  <si>
    <t>Valorisation des farines animales en fertilisation</t>
  </si>
  <si>
    <t>Valorisation des graisses animales en énergie</t>
  </si>
  <si>
    <t>Valorisation des PAT par les autres IAA</t>
  </si>
  <si>
    <t>Valorisation des PAT en alimentation animale rente</t>
  </si>
  <si>
    <t>Valorisation des PAT en petfood</t>
  </si>
  <si>
    <t>Valorisation des PAT en aquaculture</t>
  </si>
  <si>
    <t>Valorisation des PAT en énergie</t>
  </si>
  <si>
    <t>Valorisation des PAT en fertilisation</t>
  </si>
  <si>
    <t>Valorisation des PAT par les autres industries</t>
  </si>
  <si>
    <t>Valorisation des PAT pour d'autres usages</t>
  </si>
  <si>
    <t>Valorisation des CGA par les autres IAA</t>
  </si>
  <si>
    <t>Valorisation des CGA en alimentation animale rente</t>
  </si>
  <si>
    <t>Valorisation des CGA en petfood</t>
  </si>
  <si>
    <t>Valorisation des CGA en aquaculture</t>
  </si>
  <si>
    <t>Valorisation des CGA en énergie</t>
  </si>
  <si>
    <t>Valorisation des CGA par les autres industries</t>
  </si>
  <si>
    <t>Valorisation des CGA pour d'autres usages</t>
  </si>
  <si>
    <t>Part de PAT exportées</t>
  </si>
  <si>
    <t>Extrapolation à partir des exportations tous débouchés confondus</t>
  </si>
  <si>
    <t>Part de CGA exportées</t>
  </si>
  <si>
    <t>Importations de viande fraîche</t>
  </si>
  <si>
    <t>Importations de viande congelée</t>
  </si>
  <si>
    <t>Importations d'abats</t>
  </si>
  <si>
    <t>Exportations de viande fraîche</t>
  </si>
  <si>
    <t>Exportations de viande congelée</t>
  </si>
  <si>
    <t>Exportations d'abats</t>
  </si>
  <si>
    <t>Statistique comprenant également les ovins et caprins = extrapolation à partir de la production d'abats de chaque espèce</t>
  </si>
  <si>
    <t>Rendement en viande de l'abattage-découpe</t>
  </si>
  <si>
    <t>Rendement en abats de l'abattage-découpe</t>
  </si>
  <si>
    <t>Rendement en C1 de l'abattage-découpe</t>
  </si>
  <si>
    <t>Rendement en C2 de l'abattage-découpe</t>
  </si>
  <si>
    <t>Rendement en C3 et alimentaire de l'abattage-découpe</t>
  </si>
  <si>
    <t>Rendement en peaux de l'abattage-découpe</t>
  </si>
  <si>
    <t>Pertes en eau de l'abattage-découpe</t>
  </si>
  <si>
    <t>Kantar</t>
  </si>
  <si>
    <t>A dire d'expert</t>
  </si>
  <si>
    <t>La viande congelée ne représente que peu de chose uniquement lors de surproduction environ 10%. elle ne sera ensuite utilisée que pour des saucisson, charcuteries, viande pour animaux --&gt; donc plutôt vers autres IAA. A priori la viande congelée d'importation aurait la même destination.</t>
  </si>
  <si>
    <t>Part de viande congelée</t>
  </si>
  <si>
    <t>Beaucoup d'abats partent en petfood</t>
  </si>
  <si>
    <t>Part d'abats en petfood</t>
  </si>
  <si>
    <t>Débouchés de la viande chevaline fraîche</t>
  </si>
  <si>
    <t>Part de viande congelée consommée par les autres IAA</t>
  </si>
  <si>
    <t>Part de viande fraîche consommée en boucherie</t>
  </si>
  <si>
    <t>Part de viande fraîche consommée en GMS</t>
  </si>
  <si>
    <t>Part des abats consommée en petfood</t>
  </si>
  <si>
    <t>Débouchés des abats</t>
  </si>
  <si>
    <t>Part de la production de viande congelée</t>
  </si>
  <si>
    <t>Equins (à dire d'expert pour les rendements carcasse et de découpe puis répartition des veaux pour le reste hors viande)</t>
  </si>
  <si>
    <t>Même répartition que le veau (rendements d'abattage et de découpe proches) pour les autres produits et coproduits que la viande</t>
  </si>
  <si>
    <t>Viande chevaline</t>
  </si>
  <si>
    <t>Part de marché (à la consommation)</t>
  </si>
  <si>
    <t>Ifce d'après TRACES, douanes</t>
  </si>
  <si>
    <t>Exportations de chevaux vifs à destinations bouchère (kt)</t>
  </si>
  <si>
    <t>Exportations d'équins à destination bouchère</t>
  </si>
  <si>
    <t>Ifce d'après TRACES, dounaes</t>
  </si>
  <si>
    <t>Extrapolation de Xavier pour 2015 + convertion du nb de têtes en masse vive par Xavier</t>
  </si>
  <si>
    <t>Remarque :</t>
  </si>
  <si>
    <t>Convertion du nb de têtes en masse vive par Xavier</t>
  </si>
  <si>
    <t>Exports chevaux vifs</t>
  </si>
  <si>
    <t>Imports chevaux vifs</t>
  </si>
  <si>
    <t>Consommation de viande congelée par les autres IAA</t>
  </si>
  <si>
    <t>Consommation des autres IAA inconnue (négligée en volume dans le modèle)</t>
  </si>
  <si>
    <t>Ifce + hypothèse de modélisation</t>
  </si>
  <si>
    <t>viande congelée</t>
  </si>
  <si>
    <t>I congelé</t>
  </si>
  <si>
    <t>X congelé</t>
  </si>
  <si>
    <t>delta</t>
  </si>
  <si>
    <t>conso</t>
  </si>
  <si>
    <t>Les importations de viande congelées manquantes afin de garantir des approvisionnements égaux aux usages pour la viande congelée ont été retranchées</t>
  </si>
  <si>
    <t>Les importations de viande congelées manquantes afin de garantir des approvisionnements égaux aux usages pour la viande congelée ont été ajoutées</t>
  </si>
  <si>
    <t>Cette répartition correspond plus excatement à la répartition des achats, l'hypothèse est que celle à la distribution est similaire.</t>
  </si>
  <si>
    <t>Rapport d'activité SIFCO 2018</t>
  </si>
  <si>
    <t>Utilisation du volume 2018</t>
  </si>
  <si>
    <t>Ce débouché est inconnu et sans doute faible donc on lui donne 0 comme valeur (important pour le bilan matière sur le produit) et on l'affiche en pointillés sur le diagramme</t>
  </si>
  <si>
    <t>#92d050:#00b0f0:#ffc000:#c00000:#bfbfbf</t>
  </si>
  <si>
    <t>#b5e6a2:#e49edd:#f7c7ac:#d9b28b:#cb9763:#d0d0d0</t>
  </si>
  <si>
    <t>#808080:#a6a6a6:#bfbfbf:#d9d9d9:#f2f2f2</t>
  </si>
  <si>
    <t>Abattages - AGRESTE</t>
  </si>
  <si>
    <t>Echanges - AGRESTE</t>
  </si>
  <si>
    <t>Echanges - TRACES</t>
  </si>
  <si>
    <t>Echanges - EUROSTAT</t>
  </si>
  <si>
    <t>Anatomie - Blézat</t>
  </si>
  <si>
    <t>Coproduits - SIFCO</t>
  </si>
  <si>
    <t>Débouchés - IFCE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</si>
</sst>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 #,##0_-;_-* &quot;-&quot;??_-;_-@_-"/>
    <numFmt numFmtId="165" formatCode="0.0"/>
    <numFmt numFmtId="166" formatCode="_-* #,##0.000_-;\-* #,##0.000_-;_-* &quot;-&quot;??_-;_-@_-"/>
    <numFmt numFmtId="167" formatCode="_-* #,##0.0_-;\-* #,##0.0_-;_-* &quot;-&quot;??_-;_-@_-"/>
    <numFmt numFmtId="168" formatCode="#,##0.##########"/>
    <numFmt numFmtId="169" formatCode="0.000%"/>
    <numFmt numFmtId="170" formatCode="_-* #,##0.0\ _€_-;\-* #,##0.0\ _€_-;_-* &quot;-&quot;?\ _€_-;_-@_-"/>
  </numFmts>
  <fonts count="36">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1"/>
      <name val="Calibri"/>
      <family val="2"/>
    </font>
    <font>
      <b/>
      <sz val="10"/>
      <color rgb="FFFFFFFF"/>
      <name val="Verdana"/>
      <family val="2"/>
    </font>
    <font>
      <b/>
      <sz val="11"/>
      <name val="Calibri"/>
      <family val="2"/>
    </font>
    <font>
      <b/>
      <sz val="11"/>
      <color rgb="FFFFFFFF"/>
      <name val="Calibri"/>
      <family val="2"/>
    </font>
    <font>
      <b/>
      <sz val="11"/>
      <color theme="1"/>
      <name val="Calibri"/>
      <family val="2"/>
    </font>
    <font>
      <b/>
      <sz val="10"/>
      <color theme="0"/>
      <name val="Verdana"/>
      <family val="2"/>
    </font>
    <font>
      <sz val="11"/>
      <name val="Calibri"/>
      <family val="2"/>
    </font>
    <font>
      <b/>
      <sz val="11"/>
      <color theme="1"/>
      <name val="Arial"/>
      <family val="2"/>
    </font>
    <font>
      <sz val="11"/>
      <color theme="1"/>
      <name val="Arial1"/>
      <family val="2"/>
    </font>
    <font>
      <sz val="9"/>
      <color rgb="FF000000"/>
      <name val="Arial"/>
      <family val="2"/>
    </font>
    <font>
      <sz val="9"/>
      <color rgb="FF000000"/>
      <name val="Arial"/>
      <family val="2"/>
    </font>
    <font>
      <sz val="11"/>
      <color indexed="8"/>
      <name val="Aptos Narrow"/>
      <family val="2"/>
      <scheme val="minor"/>
    </font>
    <font>
      <sz val="9"/>
      <name val="Arial"/>
      <family val="2"/>
    </font>
    <font>
      <b/>
      <sz val="9"/>
      <name val="Arial"/>
      <family val="2"/>
    </font>
    <font>
      <b/>
      <sz val="9"/>
      <color indexed="9"/>
      <name val="Arial"/>
      <family val="2"/>
    </font>
    <font>
      <sz val="11"/>
      <color theme="1"/>
      <name val="Liberation Sans"/>
    </font>
    <font>
      <i/>
      <sz val="11"/>
      <color theme="1"/>
      <name val="Aptos Narrow"/>
      <family val="2"/>
      <scheme val="minor"/>
    </font>
    <font>
      <b/>
      <sz val="9"/>
      <color indexed="81"/>
      <name val="Tahoma"/>
      <family val="2"/>
    </font>
    <font>
      <sz val="9"/>
      <color indexed="81"/>
      <name val="Tahoma"/>
      <family val="2"/>
    </font>
    <font>
      <i/>
      <sz val="11"/>
      <color theme="1"/>
      <name val="Calibri"/>
      <family val="2"/>
    </font>
    <font>
      <sz val="9"/>
      <color rgb="FFFF0000"/>
      <name val="Arial"/>
      <family val="2"/>
    </font>
    <font>
      <sz val="11"/>
      <color rgb="FFFF0000"/>
      <name val="Arial1"/>
      <family val="2"/>
    </font>
    <font>
      <sz val="11"/>
      <color rgb="FFFF0000"/>
      <name val="Calibri"/>
      <family val="2"/>
    </font>
    <font>
      <sz val="11"/>
      <name val="Arial1"/>
      <family val="2"/>
    </font>
    <font>
      <i/>
      <sz val="11"/>
      <name val="Aptos Narrow"/>
      <family val="2"/>
      <scheme val="minor"/>
    </font>
    <font>
      <sz val="11"/>
      <name val="Aptos Narrow"/>
      <family val="2"/>
      <scheme val="minor"/>
    </font>
    <font>
      <i/>
      <sz val="11"/>
      <name val="Calibri"/>
      <family val="2"/>
    </font>
    <font>
      <sz val="8"/>
      <name val="Calibri"/>
      <family val="2"/>
    </font>
    <font>
      <i/>
      <sz val="11"/>
      <color rgb="FFFF0000"/>
      <name val="Calibri"/>
      <family val="2"/>
    </font>
  </fonts>
  <fills count="35">
    <fill>
      <patternFill patternType="none"/>
    </fill>
    <fill>
      <patternFill patternType="gray125"/>
    </fill>
    <fill>
      <patternFill patternType="solid">
        <fgColor rgb="FF0070C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87A9D2"/>
      </patternFill>
    </fill>
    <fill>
      <patternFill patternType="solid">
        <fgColor rgb="FF799939"/>
      </patternFill>
    </fill>
    <fill>
      <patternFill patternType="solid">
        <fgColor theme="6"/>
        <bgColor rgb="FFB4C7DC"/>
      </patternFill>
    </fill>
    <fill>
      <patternFill patternType="solid">
        <fgColor theme="5"/>
        <bgColor indexed="64"/>
      </patternFill>
    </fill>
    <fill>
      <patternFill patternType="solid">
        <fgColor theme="8" tint="0.79998168889431442"/>
        <bgColor indexed="64"/>
      </patternFill>
    </fill>
    <fill>
      <patternFill patternType="solid">
        <fgColor rgb="FFB2B2B2"/>
        <bgColor rgb="FFB2B2B2"/>
      </patternFill>
    </fill>
    <fill>
      <patternFill patternType="solid">
        <fgColor rgb="FFFFFFFF"/>
        <bgColor indexed="64"/>
      </patternFill>
    </fill>
    <fill>
      <patternFill patternType="solid">
        <fgColor rgb="FFECECEC"/>
        <bgColor indexed="64"/>
      </patternFill>
    </fill>
    <fill>
      <patternFill patternType="solid">
        <fgColor rgb="FFF9F9F9"/>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8" tint="0.59999389629810485"/>
        <bgColor indexed="64"/>
      </patternFill>
    </fill>
    <fill>
      <patternFill patternType="solid">
        <fgColor rgb="FFCB9763"/>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D9B28B"/>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4.9989318521683403E-2"/>
        <bgColor indexed="64"/>
      </patternFill>
    </fill>
  </fills>
  <borders count="15">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rgb="FFD5D5D5"/>
      </left>
      <right/>
      <top style="medium">
        <color rgb="FFD5D5D5"/>
      </top>
      <bottom/>
      <diagonal/>
    </border>
    <border>
      <left/>
      <right/>
      <top style="medium">
        <color rgb="FFD5D5D5"/>
      </top>
      <bottom/>
      <diagonal/>
    </border>
    <border>
      <left style="medium">
        <color rgb="FFD5D5D5"/>
      </left>
      <right/>
      <top/>
      <bottom/>
      <diagonal/>
    </border>
    <border>
      <left style="medium">
        <color rgb="FFD5D5D5"/>
      </left>
      <right/>
      <top style="medium">
        <color rgb="FFD5D5D5"/>
      </top>
      <bottom style="medium">
        <color rgb="FFD5D5D5"/>
      </bottom>
      <diagonal/>
    </border>
    <border>
      <left/>
      <right/>
      <top style="medium">
        <color rgb="FFD5D5D5"/>
      </top>
      <bottom style="medium">
        <color rgb="FFD5D5D5"/>
      </bottom>
      <diagonal/>
    </border>
    <border>
      <left/>
      <right style="medium">
        <color rgb="FFD5D5D5"/>
      </right>
      <top style="medium">
        <color rgb="FFD5D5D5"/>
      </top>
      <bottom/>
      <diagonal/>
    </border>
    <border>
      <left/>
      <right style="medium">
        <color rgb="FFD5D5D5"/>
      </right>
      <top style="medium">
        <color rgb="FFD5D5D5"/>
      </top>
      <bottom style="medium">
        <color rgb="FFD5D5D5"/>
      </bottom>
      <diagonal/>
    </border>
    <border>
      <left style="thin">
        <color rgb="FFB0B0B0"/>
      </left>
      <right style="thin">
        <color rgb="FFB0B0B0"/>
      </right>
      <top style="thin">
        <color rgb="FFB0B0B0"/>
      </top>
      <bottom style="thin">
        <color rgb="FFB0B0B0"/>
      </bottom>
      <diagonal/>
    </border>
  </borders>
  <cellStyleXfs count="13">
    <xf numFmtId="0" fontId="0" fillId="0" borderId="0"/>
    <xf numFmtId="43" fontId="4" fillId="0" borderId="0" applyFont="0" applyFill="0" applyBorder="0" applyAlignment="0" applyProtection="0"/>
    <xf numFmtId="9" fontId="4" fillId="0" borderId="0" applyFont="0" applyFill="0" applyBorder="0" applyAlignment="0" applyProtection="0"/>
    <xf numFmtId="0" fontId="14" fillId="12" borderId="6"/>
    <xf numFmtId="0" fontId="15" fillId="0" borderId="6"/>
    <xf numFmtId="0" fontId="18" fillId="0" borderId="0"/>
    <xf numFmtId="0" fontId="22"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149">
    <xf numFmtId="0" fontId="0" fillId="0" borderId="0" xfId="0"/>
    <xf numFmtId="0" fontId="8" fillId="2" borderId="1" xfId="0" applyFont="1" applyFill="1" applyBorder="1" applyAlignment="1">
      <alignment horizontal="center" vertical="center" wrapText="1" shrinkToFit="1"/>
    </xf>
    <xf numFmtId="0" fontId="8" fillId="2" borderId="2" xfId="0" applyFont="1" applyFill="1" applyBorder="1" applyAlignment="1">
      <alignment horizontal="center" vertical="center" wrapText="1" shrinkToFit="1"/>
    </xf>
    <xf numFmtId="0" fontId="0" fillId="3" borderId="0" xfId="0" applyFill="1" applyAlignment="1">
      <alignment horizontal="center"/>
    </xf>
    <xf numFmtId="0" fontId="0" fillId="3" borderId="0" xfId="0" applyFill="1"/>
    <xf numFmtId="0" fontId="0" fillId="4" borderId="0" xfId="0" applyFill="1" applyAlignment="1">
      <alignment horizontal="center"/>
    </xf>
    <xf numFmtId="0" fontId="7" fillId="4" borderId="0" xfId="0" applyFont="1" applyFill="1"/>
    <xf numFmtId="0" fontId="0" fillId="4" borderId="0" xfId="0" applyFill="1"/>
    <xf numFmtId="0" fontId="0" fillId="0" borderId="0" xfId="0" applyAlignment="1">
      <alignment horizontal="center"/>
    </xf>
    <xf numFmtId="0" fontId="7" fillId="0" borderId="0" xfId="0" applyFont="1"/>
    <xf numFmtId="49" fontId="0" fillId="0" borderId="0" xfId="0" applyNumberFormat="1"/>
    <xf numFmtId="49" fontId="7" fillId="0" borderId="0" xfId="0" applyNumberFormat="1" applyFont="1"/>
    <xf numFmtId="0" fontId="0" fillId="6" borderId="0" xfId="0" applyFill="1" applyAlignment="1">
      <alignment horizontal="center"/>
    </xf>
    <xf numFmtId="0" fontId="0" fillId="6" borderId="0" xfId="0" applyFill="1"/>
    <xf numFmtId="0" fontId="9" fillId="0" borderId="4" xfId="0" applyFont="1" applyBorder="1" applyAlignment="1">
      <alignment horizontal="center" vertical="center"/>
    </xf>
    <xf numFmtId="0" fontId="10" fillId="7" borderId="4" xfId="0" applyFont="1" applyFill="1" applyBorder="1" applyAlignment="1">
      <alignment horizontal="center" textRotation="90"/>
    </xf>
    <xf numFmtId="0" fontId="0" fillId="0" borderId="0" xfId="0" applyAlignment="1">
      <alignment horizontal="center" vertical="center"/>
    </xf>
    <xf numFmtId="0" fontId="9" fillId="0" borderId="4" xfId="0" applyFont="1" applyBorder="1" applyAlignment="1">
      <alignment horizontal="center" vertical="top"/>
    </xf>
    <xf numFmtId="0" fontId="11" fillId="0" borderId="0" xfId="0" applyFont="1" applyAlignment="1">
      <alignment horizontal="center" vertical="center"/>
    </xf>
    <xf numFmtId="0" fontId="10" fillId="7" borderId="0" xfId="0" applyFont="1" applyFill="1"/>
    <xf numFmtId="0" fontId="8" fillId="8" borderId="1" xfId="0" applyFont="1" applyFill="1" applyBorder="1" applyAlignment="1">
      <alignment horizontal="center" vertical="center" wrapText="1" shrinkToFit="1"/>
    </xf>
    <xf numFmtId="0" fontId="8" fillId="8" borderId="2" xfId="0" applyFont="1" applyFill="1" applyBorder="1" applyAlignment="1">
      <alignment horizontal="center" vertical="center" wrapText="1" shrinkToFit="1"/>
    </xf>
    <xf numFmtId="0" fontId="12" fillId="9" borderId="2" xfId="0" applyFont="1" applyFill="1" applyBorder="1" applyAlignment="1">
      <alignment horizontal="center" vertical="center" wrapText="1"/>
    </xf>
    <xf numFmtId="0" fontId="8" fillId="8" borderId="3" xfId="0" applyFont="1" applyFill="1" applyBorder="1" applyAlignment="1">
      <alignment horizontal="center" vertical="center" wrapText="1" shrinkToFit="1"/>
    </xf>
    <xf numFmtId="0" fontId="13" fillId="0" borderId="0" xfId="0" applyFont="1" applyAlignment="1">
      <alignment horizontal="center" vertical="center"/>
    </xf>
    <xf numFmtId="2" fontId="0" fillId="0" borderId="0" xfId="0" applyNumberFormat="1" applyAlignment="1">
      <alignment horizontal="center"/>
    </xf>
    <xf numFmtId="9" fontId="0" fillId="0" borderId="0" xfId="0" applyNumberFormat="1"/>
    <xf numFmtId="0" fontId="8" fillId="10" borderId="1" xfId="0" applyFont="1" applyFill="1" applyBorder="1" applyAlignment="1">
      <alignment horizontal="center" vertical="center" wrapText="1" shrinkToFit="1"/>
    </xf>
    <xf numFmtId="0" fontId="8" fillId="10" borderId="2" xfId="0" applyFont="1" applyFill="1" applyBorder="1" applyAlignment="1">
      <alignment horizontal="center" vertical="center" wrapText="1" shrinkToFit="1"/>
    </xf>
    <xf numFmtId="0" fontId="8" fillId="10" borderId="3" xfId="0" applyFont="1" applyFill="1" applyBorder="1" applyAlignment="1">
      <alignment horizontal="center" vertical="center" wrapText="1" shrinkToFit="1"/>
    </xf>
    <xf numFmtId="0" fontId="0" fillId="5" borderId="0" xfId="0" applyFill="1" applyAlignment="1">
      <alignment horizontal="center" vertical="center"/>
    </xf>
    <xf numFmtId="0" fontId="0" fillId="3" borderId="0" xfId="0" applyFill="1" applyAlignment="1">
      <alignment horizontal="center" vertical="center"/>
    </xf>
    <xf numFmtId="0" fontId="0" fillId="11" borderId="0" xfId="0" applyFill="1" applyAlignment="1">
      <alignment horizontal="center"/>
    </xf>
    <xf numFmtId="0" fontId="7" fillId="11" borderId="0" xfId="0" applyFont="1" applyFill="1"/>
    <xf numFmtId="0" fontId="0" fillId="11" borderId="0" xfId="0" applyFill="1"/>
    <xf numFmtId="0" fontId="0" fillId="0" borderId="0" xfId="0" applyAlignment="1">
      <alignment horizontal="left"/>
    </xf>
    <xf numFmtId="0" fontId="7" fillId="6" borderId="0" xfId="0" applyFont="1" applyFill="1"/>
    <xf numFmtId="0" fontId="10" fillId="7" borderId="4" xfId="0" applyFont="1" applyFill="1" applyBorder="1" applyAlignment="1">
      <alignment horizontal="right" vertical="top"/>
    </xf>
    <xf numFmtId="0" fontId="14" fillId="12" borderId="6" xfId="3"/>
    <xf numFmtId="0" fontId="15" fillId="0" borderId="6" xfId="4"/>
    <xf numFmtId="0" fontId="16" fillId="13" borderId="0" xfId="0" applyFont="1" applyFill="1" applyAlignment="1">
      <alignment horizontal="center" vertical="center" wrapText="1"/>
    </xf>
    <xf numFmtId="0" fontId="16" fillId="14" borderId="7" xfId="0" applyFont="1" applyFill="1" applyBorder="1" applyAlignment="1">
      <alignment horizontal="center" vertical="center" wrapText="1"/>
    </xf>
    <xf numFmtId="0" fontId="16" fillId="15" borderId="7" xfId="0" applyFont="1" applyFill="1" applyBorder="1" applyAlignment="1">
      <alignment horizontal="center" vertical="center" wrapText="1"/>
    </xf>
    <xf numFmtId="0" fontId="16" fillId="15" borderId="7" xfId="0" applyFont="1" applyFill="1" applyBorder="1" applyAlignment="1">
      <alignment horizontal="left" vertical="center"/>
    </xf>
    <xf numFmtId="0" fontId="16" fillId="15" borderId="9" xfId="0" applyFont="1" applyFill="1" applyBorder="1" applyAlignment="1">
      <alignment horizontal="center" vertical="center" wrapText="1"/>
    </xf>
    <xf numFmtId="0" fontId="18" fillId="0" borderId="0" xfId="5"/>
    <xf numFmtId="166" fontId="0" fillId="0" borderId="0" xfId="1" applyNumberFormat="1" applyFont="1"/>
    <xf numFmtId="167" fontId="0" fillId="0" borderId="0" xfId="1" applyNumberFormat="1" applyFont="1"/>
    <xf numFmtId="164" fontId="17" fillId="13" borderId="7" xfId="1" applyNumberFormat="1" applyFont="1" applyFill="1" applyBorder="1" applyAlignment="1">
      <alignment horizontal="right" vertical="center"/>
    </xf>
    <xf numFmtId="164" fontId="0" fillId="0" borderId="0" xfId="0" applyNumberFormat="1"/>
    <xf numFmtId="3" fontId="18" fillId="0" borderId="0" xfId="5" applyNumberFormat="1"/>
    <xf numFmtId="164" fontId="0" fillId="0" borderId="0" xfId="0" applyNumberFormat="1" applyAlignment="1">
      <alignment horizontal="center"/>
    </xf>
    <xf numFmtId="0" fontId="28" fillId="0" borderId="6" xfId="4" applyFont="1"/>
    <xf numFmtId="0" fontId="19" fillId="0" borderId="0" xfId="0" applyFont="1" applyAlignment="1">
      <alignment horizontal="left" vertical="center"/>
    </xf>
    <xf numFmtId="0" fontId="20" fillId="0" borderId="0" xfId="0" applyFont="1" applyAlignment="1">
      <alignment horizontal="left" vertical="center"/>
    </xf>
    <xf numFmtId="0" fontId="21" fillId="16" borderId="14" xfId="0" applyFont="1" applyFill="1" applyBorder="1" applyAlignment="1">
      <alignment horizontal="left" vertical="center"/>
    </xf>
    <xf numFmtId="0" fontId="20" fillId="17" borderId="14" xfId="0" applyFont="1" applyFill="1" applyBorder="1" applyAlignment="1">
      <alignment horizontal="left" vertical="center"/>
    </xf>
    <xf numFmtId="0" fontId="0" fillId="18" borderId="0" xfId="0" applyFill="1"/>
    <xf numFmtId="0" fontId="20" fillId="19" borderId="14" xfId="0" applyFont="1" applyFill="1" applyBorder="1" applyAlignment="1">
      <alignment horizontal="left" vertical="center"/>
    </xf>
    <xf numFmtId="3" fontId="19" fillId="0" borderId="0" xfId="0" applyNumberFormat="1" applyFont="1" applyAlignment="1">
      <alignment horizontal="right" vertical="center" shrinkToFit="1"/>
    </xf>
    <xf numFmtId="3" fontId="19" fillId="20" borderId="0" xfId="0" applyNumberFormat="1" applyFont="1" applyFill="1" applyAlignment="1">
      <alignment horizontal="right" vertical="center" shrinkToFit="1"/>
    </xf>
    <xf numFmtId="3" fontId="27" fillId="0" borderId="0" xfId="0" applyNumberFormat="1" applyFont="1" applyAlignment="1">
      <alignment horizontal="right" vertical="center" shrinkToFit="1"/>
    </xf>
    <xf numFmtId="0" fontId="11" fillId="0" borderId="0" xfId="0" applyFont="1"/>
    <xf numFmtId="0" fontId="7" fillId="11" borderId="0" xfId="0" applyFont="1" applyFill="1" applyAlignment="1">
      <alignment horizontal="center"/>
    </xf>
    <xf numFmtId="0" fontId="0" fillId="21" borderId="0" xfId="0" applyFill="1"/>
    <xf numFmtId="0" fontId="0" fillId="22" borderId="0" xfId="0" applyFill="1"/>
    <xf numFmtId="0" fontId="0" fillId="23" borderId="0" xfId="0" applyFill="1"/>
    <xf numFmtId="0" fontId="0" fillId="24" borderId="0" xfId="0" applyFill="1"/>
    <xf numFmtId="0" fontId="0" fillId="25" borderId="0" xfId="0" applyFill="1"/>
    <xf numFmtId="0" fontId="30" fillId="0" borderId="6" xfId="4" applyFont="1"/>
    <xf numFmtId="164" fontId="19" fillId="13" borderId="7" xfId="1" applyNumberFormat="1" applyFont="1" applyFill="1" applyBorder="1" applyAlignment="1">
      <alignment horizontal="right" vertical="center"/>
    </xf>
    <xf numFmtId="164" fontId="27" fillId="13" borderId="10" xfId="1" applyNumberFormat="1" applyFont="1" applyFill="1" applyBorder="1" applyAlignment="1">
      <alignment horizontal="right" vertical="center"/>
    </xf>
    <xf numFmtId="168" fontId="19" fillId="20" borderId="0" xfId="0" applyNumberFormat="1" applyFont="1" applyFill="1" applyAlignment="1">
      <alignment horizontal="right" vertical="center" shrinkToFit="1"/>
    </xf>
    <xf numFmtId="168" fontId="19" fillId="0" borderId="0" xfId="0" applyNumberFormat="1" applyFont="1" applyAlignment="1">
      <alignment horizontal="right" vertical="center" shrinkToFit="1"/>
    </xf>
    <xf numFmtId="4" fontId="19" fillId="0" borderId="0" xfId="0" applyNumberFormat="1" applyFont="1" applyAlignment="1">
      <alignment horizontal="right" vertical="center" shrinkToFit="1"/>
    </xf>
    <xf numFmtId="4" fontId="19" fillId="20" borderId="0" xfId="0" applyNumberFormat="1" applyFont="1" applyFill="1" applyAlignment="1">
      <alignment horizontal="right" vertical="center" shrinkToFit="1"/>
    </xf>
    <xf numFmtId="168" fontId="27" fillId="20" borderId="0" xfId="0" applyNumberFormat="1" applyFont="1" applyFill="1" applyAlignment="1">
      <alignment horizontal="right" vertical="center" shrinkToFit="1"/>
    </xf>
    <xf numFmtId="168" fontId="27" fillId="0" borderId="0" xfId="0" applyNumberFormat="1" applyFont="1" applyAlignment="1">
      <alignment horizontal="right" vertical="center" shrinkToFit="1"/>
    </xf>
    <xf numFmtId="4" fontId="27" fillId="20" borderId="0" xfId="0" applyNumberFormat="1" applyFont="1" applyFill="1" applyAlignment="1">
      <alignment horizontal="right" vertical="center" shrinkToFit="1"/>
    </xf>
    <xf numFmtId="4" fontId="27" fillId="0" borderId="0" xfId="0" applyNumberFormat="1" applyFont="1" applyAlignment="1">
      <alignment horizontal="right" vertical="center" shrinkToFit="1"/>
    </xf>
    <xf numFmtId="9" fontId="29" fillId="0" borderId="0" xfId="2" applyFont="1"/>
    <xf numFmtId="0" fontId="26" fillId="0" borderId="0" xfId="0" applyFont="1"/>
    <xf numFmtId="0" fontId="0" fillId="26" borderId="0" xfId="0" applyFill="1"/>
    <xf numFmtId="0" fontId="0" fillId="27" borderId="0" xfId="0" applyFill="1"/>
    <xf numFmtId="0" fontId="0" fillId="28" borderId="0" xfId="0" applyFill="1"/>
    <xf numFmtId="0" fontId="0" fillId="29" borderId="0" xfId="0" applyFill="1"/>
    <xf numFmtId="0" fontId="0" fillId="30" borderId="0" xfId="0" applyFill="1"/>
    <xf numFmtId="0" fontId="13" fillId="0" borderId="0" xfId="0" applyFont="1" applyAlignment="1">
      <alignment horizontal="left" vertical="center"/>
    </xf>
    <xf numFmtId="2" fontId="0" fillId="0" borderId="0" xfId="0" applyNumberFormat="1" applyAlignment="1">
      <alignment horizontal="left"/>
    </xf>
    <xf numFmtId="0" fontId="8" fillId="8" borderId="1" xfId="5" applyFont="1" applyFill="1" applyBorder="1" applyAlignment="1">
      <alignment horizontal="center" vertical="center" wrapText="1" shrinkToFit="1"/>
    </xf>
    <xf numFmtId="0" fontId="8" fillId="8" borderId="2" xfId="5" applyFont="1" applyFill="1" applyBorder="1" applyAlignment="1">
      <alignment horizontal="center" vertical="center" wrapText="1" shrinkToFit="1"/>
    </xf>
    <xf numFmtId="0" fontId="6" fillId="0" borderId="0" xfId="10" applyFont="1"/>
    <xf numFmtId="0" fontId="2" fillId="0" borderId="0" xfId="10"/>
    <xf numFmtId="0" fontId="23" fillId="0" borderId="0" xfId="10" applyFont="1"/>
    <xf numFmtId="9" fontId="0" fillId="0" borderId="0" xfId="11" applyFont="1"/>
    <xf numFmtId="164" fontId="0" fillId="0" borderId="0" xfId="12" applyNumberFormat="1" applyFont="1"/>
    <xf numFmtId="9" fontId="26" fillId="0" borderId="0" xfId="11" applyFont="1"/>
    <xf numFmtId="164" fontId="26" fillId="0" borderId="0" xfId="12" applyNumberFormat="1" applyFont="1"/>
    <xf numFmtId="9" fontId="29" fillId="0" borderId="0" xfId="11" applyFont="1"/>
    <xf numFmtId="0" fontId="2" fillId="0" borderId="0" xfId="10" applyAlignment="1">
      <alignment horizontal="right"/>
    </xf>
    <xf numFmtId="9" fontId="2" fillId="0" borderId="0" xfId="10" applyNumberFormat="1"/>
    <xf numFmtId="9" fontId="35" fillId="0" borderId="0" xfId="11" applyFont="1"/>
    <xf numFmtId="1" fontId="2" fillId="0" borderId="0" xfId="10" applyNumberFormat="1"/>
    <xf numFmtId="1" fontId="23" fillId="0" borderId="0" xfId="10" applyNumberFormat="1" applyFont="1"/>
    <xf numFmtId="165" fontId="2" fillId="0" borderId="0" xfId="10" applyNumberFormat="1"/>
    <xf numFmtId="2" fontId="18" fillId="0" borderId="0" xfId="5" applyNumberFormat="1" applyAlignment="1">
      <alignment horizontal="left"/>
    </xf>
    <xf numFmtId="0" fontId="23" fillId="0" borderId="0" xfId="10" applyFont="1" applyAlignment="1">
      <alignment horizontal="center"/>
    </xf>
    <xf numFmtId="164" fontId="2" fillId="0" borderId="0" xfId="12" applyNumberFormat="1" applyFont="1"/>
    <xf numFmtId="164" fontId="2" fillId="0" borderId="0" xfId="10" applyNumberFormat="1"/>
    <xf numFmtId="164" fontId="5" fillId="0" borderId="0" xfId="12" applyNumberFormat="1" applyFont="1"/>
    <xf numFmtId="0" fontId="5" fillId="0" borderId="0" xfId="10" applyFont="1"/>
    <xf numFmtId="9" fontId="5" fillId="0" borderId="0" xfId="10" applyNumberFormat="1" applyFont="1"/>
    <xf numFmtId="0" fontId="32" fillId="0" borderId="0" xfId="10" applyFont="1"/>
    <xf numFmtId="9" fontId="13" fillId="0" borderId="0" xfId="11" applyFont="1"/>
    <xf numFmtId="9" fontId="31" fillId="0" borderId="0" xfId="11" applyFont="1"/>
    <xf numFmtId="9" fontId="32" fillId="0" borderId="0" xfId="10" applyNumberFormat="1" applyFont="1"/>
    <xf numFmtId="9" fontId="33" fillId="0" borderId="0" xfId="11" applyFont="1"/>
    <xf numFmtId="9" fontId="35" fillId="0" borderId="0" xfId="0" applyNumberFormat="1" applyFont="1" applyAlignment="1">
      <alignment horizontal="center"/>
    </xf>
    <xf numFmtId="169" fontId="0" fillId="0" borderId="0" xfId="0" applyNumberFormat="1"/>
    <xf numFmtId="9" fontId="29" fillId="0" borderId="0" xfId="0" applyNumberFormat="1" applyFont="1"/>
    <xf numFmtId="164" fontId="19" fillId="13" borderId="10" xfId="1" applyNumberFormat="1" applyFont="1" applyFill="1" applyBorder="1" applyAlignment="1">
      <alignment horizontal="right" vertical="center"/>
    </xf>
    <xf numFmtId="0" fontId="0" fillId="0" borderId="0" xfId="2" applyNumberFormat="1" applyFont="1"/>
    <xf numFmtId="167" fontId="0" fillId="0" borderId="0" xfId="0" applyNumberFormat="1"/>
    <xf numFmtId="170" fontId="29" fillId="0" borderId="0" xfId="0" applyNumberFormat="1" applyFont="1"/>
    <xf numFmtId="167" fontId="0" fillId="0" borderId="0" xfId="0" quotePrefix="1" applyNumberFormat="1"/>
    <xf numFmtId="0" fontId="23" fillId="0" borderId="0" xfId="7" applyFont="1" applyAlignment="1">
      <alignment horizontal="center"/>
    </xf>
    <xf numFmtId="164" fontId="1" fillId="0" borderId="0" xfId="1" applyNumberFormat="1" applyFont="1"/>
    <xf numFmtId="164" fontId="5" fillId="0" borderId="0" xfId="1" applyNumberFormat="1" applyFont="1"/>
    <xf numFmtId="0" fontId="1" fillId="0" borderId="0" xfId="7" applyFont="1"/>
    <xf numFmtId="0" fontId="0" fillId="31" borderId="0" xfId="0" applyFill="1"/>
    <xf numFmtId="0" fontId="0" fillId="32" borderId="0" xfId="0" applyFill="1"/>
    <xf numFmtId="0" fontId="0" fillId="33" borderId="0" xfId="0" applyFill="1"/>
    <xf numFmtId="0" fontId="0" fillId="34" borderId="0" xfId="0" applyFill="1"/>
    <xf numFmtId="0" fontId="0" fillId="0" borderId="5" xfId="0" applyBorder="1" applyAlignment="1">
      <alignment horizontal="center" vertical="center" wrapText="1"/>
    </xf>
    <xf numFmtId="0" fontId="0" fillId="0" borderId="0" xfId="0" applyAlignment="1">
      <alignment horizontal="center" vertical="center" wrapText="1"/>
    </xf>
    <xf numFmtId="0" fontId="16" fillId="15" borderId="7" xfId="0" applyFont="1" applyFill="1" applyBorder="1" applyAlignment="1">
      <alignment horizontal="left" vertical="center"/>
    </xf>
    <xf numFmtId="0" fontId="16" fillId="15" borderId="12" xfId="0" applyFont="1" applyFill="1" applyBorder="1" applyAlignment="1">
      <alignment horizontal="left" vertical="center"/>
    </xf>
    <xf numFmtId="0" fontId="16" fillId="15" borderId="11" xfId="0" applyFont="1" applyFill="1" applyBorder="1" applyAlignment="1">
      <alignment horizontal="center" vertical="center" wrapText="1"/>
    </xf>
    <xf numFmtId="0" fontId="16" fillId="15" borderId="8" xfId="0" applyFont="1" applyFill="1" applyBorder="1" applyAlignment="1">
      <alignment horizontal="left" vertical="center"/>
    </xf>
    <xf numFmtId="0" fontId="16" fillId="15" borderId="10" xfId="0" applyFont="1" applyFill="1" applyBorder="1" applyAlignment="1">
      <alignment horizontal="left" vertical="center"/>
    </xf>
    <xf numFmtId="0" fontId="16" fillId="15" borderId="11" xfId="0" applyFont="1" applyFill="1" applyBorder="1" applyAlignment="1">
      <alignment horizontal="left" vertical="center"/>
    </xf>
    <xf numFmtId="0" fontId="16" fillId="15" borderId="13" xfId="0" applyFont="1" applyFill="1" applyBorder="1" applyAlignment="1">
      <alignment horizontal="left" vertical="center"/>
    </xf>
    <xf numFmtId="0" fontId="21" fillId="16" borderId="14" xfId="0" applyFont="1" applyFill="1" applyBorder="1" applyAlignment="1">
      <alignment horizontal="right" vertical="center"/>
    </xf>
    <xf numFmtId="0" fontId="0" fillId="0" borderId="5" xfId="0" applyBorder="1" applyAlignment="1">
      <alignment horizontal="center" vertical="center"/>
    </xf>
    <xf numFmtId="0" fontId="0" fillId="0" borderId="0" xfId="0" applyAlignment="1">
      <alignment horizontal="center" vertical="center"/>
    </xf>
    <xf numFmtId="0" fontId="21" fillId="16" borderId="14" xfId="0" applyFont="1" applyFill="1" applyBorder="1" applyAlignment="1">
      <alignment horizontal="center" vertical="center"/>
    </xf>
    <xf numFmtId="0" fontId="2" fillId="0" borderId="0" xfId="10" applyAlignment="1">
      <alignment horizontal="left"/>
    </xf>
    <xf numFmtId="0" fontId="2" fillId="0" borderId="0" xfId="10" applyAlignment="1">
      <alignment horizontal="center"/>
    </xf>
    <xf numFmtId="0" fontId="11" fillId="0" borderId="0" xfId="0" applyFont="1" applyAlignment="1">
      <alignment horizontal="center"/>
    </xf>
  </cellXfs>
  <cellStyles count="13">
    <cellStyle name="Body" xfId="4" xr:uid="{CB93DAF9-86B4-4098-8926-EA86FAC1267C}"/>
    <cellStyle name="Header" xfId="3" xr:uid="{5BD36B50-DC78-42D0-9665-C2E3423130E7}"/>
    <cellStyle name="Milliers" xfId="1" builtinId="3"/>
    <cellStyle name="Milliers 2" xfId="9" xr:uid="{EAAB2195-18F1-4D8F-BC3C-98D52ED35CBC}"/>
    <cellStyle name="Milliers 2 2" xfId="12" xr:uid="{D0BD9BDD-3337-4A74-8ED5-9B66F048582C}"/>
    <cellStyle name="Normal" xfId="0" builtinId="0"/>
    <cellStyle name="Normal 2" xfId="5" xr:uid="{9CAB1214-16AA-4D2B-9117-9ACCA20FDD77}"/>
    <cellStyle name="Normal 2 2" xfId="6" xr:uid="{FF3900C9-3A53-4816-B323-341D72FC906B}"/>
    <cellStyle name="Normal 3" xfId="7" xr:uid="{D2FD3B89-E791-4B03-95F2-084AAD938C8E}"/>
    <cellStyle name="Normal 3 2" xfId="10" xr:uid="{C5E7B508-630F-438B-A20C-CE0B393A16FB}"/>
    <cellStyle name="Pourcentage" xfId="2" builtinId="5"/>
    <cellStyle name="Pourcentage 2" xfId="8" xr:uid="{11929990-FF89-4570-8196-3D9A680BE7AB}"/>
    <cellStyle name="Pourcentage 2 2" xfId="11" xr:uid="{812BC327-B300-4E93-97C8-864671CDCDD1}"/>
  </cellStyles>
  <dxfs count="1">
    <dxf>
      <font>
        <color rgb="FFD1DEEE"/>
      </font>
      <fill>
        <patternFill>
          <bgColor rgb="FFD1DEEE"/>
        </patternFill>
      </fill>
    </dxf>
  </dxfs>
  <tableStyles count="0" defaultTableStyle="TableStyleMedium2" defaultPivotStyle="PivotStyleLight16"/>
  <colors>
    <mruColors>
      <color rgb="FFCB9763"/>
      <color rgb="FFD9B28B"/>
      <color rgb="FF996633"/>
      <color rgb="FF808000"/>
      <color rgb="FFFF4B4B"/>
      <color rgb="FF52AB2F"/>
      <color rgb="FF489729"/>
      <color rgb="FFFFD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11</xdr:col>
      <xdr:colOff>678179</xdr:colOff>
      <xdr:row>16</xdr:row>
      <xdr:rowOff>20956</xdr:rowOff>
    </xdr:from>
    <xdr:to>
      <xdr:col>15</xdr:col>
      <xdr:colOff>590549</xdr:colOff>
      <xdr:row>29</xdr:row>
      <xdr:rowOff>19472</xdr:rowOff>
    </xdr:to>
    <xdr:pic>
      <xdr:nvPicPr>
        <xdr:cNvPr id="2" name="Image 1">
          <a:extLst>
            <a:ext uri="{FF2B5EF4-FFF2-40B4-BE49-F238E27FC236}">
              <a16:creationId xmlns:a16="http://schemas.microsoft.com/office/drawing/2014/main" id="{3E618C75-0887-459C-824F-2EA8C073E227}"/>
            </a:ext>
          </a:extLst>
        </xdr:cNvPr>
        <xdr:cNvPicPr>
          <a:picLocks noChangeAspect="1"/>
        </xdr:cNvPicPr>
      </xdr:nvPicPr>
      <xdr:blipFill>
        <a:blip xmlns:r="http://schemas.openxmlformats.org/officeDocument/2006/relationships" r:embed="rId1"/>
        <a:stretch>
          <a:fillRect/>
        </a:stretch>
      </xdr:blipFill>
      <xdr:spPr>
        <a:xfrm>
          <a:off x="9494519" y="2947036"/>
          <a:ext cx="3086100" cy="2341666"/>
        </a:xfrm>
        <a:prstGeom prst="rect">
          <a:avLst/>
        </a:prstGeom>
      </xdr:spPr>
    </xdr:pic>
    <xdr:clientData/>
  </xdr:twoCellAnchor>
  <xdr:twoCellAnchor editAs="oneCell">
    <xdr:from>
      <xdr:col>11</xdr:col>
      <xdr:colOff>752475</xdr:colOff>
      <xdr:row>4</xdr:row>
      <xdr:rowOff>19051</xdr:rowOff>
    </xdr:from>
    <xdr:to>
      <xdr:col>15</xdr:col>
      <xdr:colOff>436245</xdr:colOff>
      <xdr:row>16</xdr:row>
      <xdr:rowOff>37169</xdr:rowOff>
    </xdr:to>
    <xdr:pic>
      <xdr:nvPicPr>
        <xdr:cNvPr id="3" name="Image 2">
          <a:extLst>
            <a:ext uri="{FF2B5EF4-FFF2-40B4-BE49-F238E27FC236}">
              <a16:creationId xmlns:a16="http://schemas.microsoft.com/office/drawing/2014/main" id="{67AB48C1-198A-4E60-B7B8-6B621BDB49E6}"/>
            </a:ext>
          </a:extLst>
        </xdr:cNvPr>
        <xdr:cNvPicPr>
          <a:picLocks noChangeAspect="1"/>
        </xdr:cNvPicPr>
      </xdr:nvPicPr>
      <xdr:blipFill>
        <a:blip xmlns:r="http://schemas.openxmlformats.org/officeDocument/2006/relationships" r:embed="rId2"/>
        <a:stretch>
          <a:fillRect/>
        </a:stretch>
      </xdr:blipFill>
      <xdr:spPr>
        <a:xfrm>
          <a:off x="9568815" y="750571"/>
          <a:ext cx="2857500" cy="2193628"/>
        </a:xfrm>
        <a:prstGeom prst="rect">
          <a:avLst/>
        </a:prstGeom>
      </xdr:spPr>
    </xdr:pic>
    <xdr:clientData/>
  </xdr:twoCellAnchor>
  <xdr:twoCellAnchor editAs="oneCell">
    <xdr:from>
      <xdr:col>11</xdr:col>
      <xdr:colOff>676274</xdr:colOff>
      <xdr:row>29</xdr:row>
      <xdr:rowOff>21541</xdr:rowOff>
    </xdr:from>
    <xdr:to>
      <xdr:col>15</xdr:col>
      <xdr:colOff>474345</xdr:colOff>
      <xdr:row>41</xdr:row>
      <xdr:rowOff>98986</xdr:rowOff>
    </xdr:to>
    <xdr:pic>
      <xdr:nvPicPr>
        <xdr:cNvPr id="4" name="Image 3">
          <a:extLst>
            <a:ext uri="{FF2B5EF4-FFF2-40B4-BE49-F238E27FC236}">
              <a16:creationId xmlns:a16="http://schemas.microsoft.com/office/drawing/2014/main" id="{5E29FE36-1C00-4A1A-B47F-696D8445BD8F}"/>
            </a:ext>
          </a:extLst>
        </xdr:cNvPr>
        <xdr:cNvPicPr>
          <a:picLocks noChangeAspect="1"/>
        </xdr:cNvPicPr>
      </xdr:nvPicPr>
      <xdr:blipFill>
        <a:blip xmlns:r="http://schemas.openxmlformats.org/officeDocument/2006/relationships" r:embed="rId3"/>
        <a:stretch>
          <a:fillRect/>
        </a:stretch>
      </xdr:blipFill>
      <xdr:spPr>
        <a:xfrm>
          <a:off x="9492614" y="5325061"/>
          <a:ext cx="2966086" cy="2249145"/>
        </a:xfrm>
        <a:prstGeom prst="rect">
          <a:avLst/>
        </a:prstGeom>
      </xdr:spPr>
    </xdr:pic>
    <xdr:clientData/>
  </xdr:twoCellAnchor>
  <xdr:twoCellAnchor editAs="oneCell">
    <xdr:from>
      <xdr:col>8</xdr:col>
      <xdr:colOff>74295</xdr:colOff>
      <xdr:row>41</xdr:row>
      <xdr:rowOff>106680</xdr:rowOff>
    </xdr:from>
    <xdr:to>
      <xdr:col>11</xdr:col>
      <xdr:colOff>704849</xdr:colOff>
      <xdr:row>54</xdr:row>
      <xdr:rowOff>40846</xdr:rowOff>
    </xdr:to>
    <xdr:pic>
      <xdr:nvPicPr>
        <xdr:cNvPr id="5" name="Image 4">
          <a:extLst>
            <a:ext uri="{FF2B5EF4-FFF2-40B4-BE49-F238E27FC236}">
              <a16:creationId xmlns:a16="http://schemas.microsoft.com/office/drawing/2014/main" id="{A8CFC110-3FFD-4466-BC4F-9FE4DCC90849}"/>
            </a:ext>
          </a:extLst>
        </xdr:cNvPr>
        <xdr:cNvPicPr>
          <a:picLocks noChangeAspect="1"/>
        </xdr:cNvPicPr>
      </xdr:nvPicPr>
      <xdr:blipFill>
        <a:blip xmlns:r="http://schemas.openxmlformats.org/officeDocument/2006/relationships" r:embed="rId4"/>
        <a:stretch>
          <a:fillRect/>
        </a:stretch>
      </xdr:blipFill>
      <xdr:spPr>
        <a:xfrm>
          <a:off x="6513195" y="7604760"/>
          <a:ext cx="3011804" cy="2288746"/>
        </a:xfrm>
        <a:prstGeom prst="rect">
          <a:avLst/>
        </a:prstGeom>
      </xdr:spPr>
    </xdr:pic>
    <xdr:clientData/>
  </xdr:twoCellAnchor>
  <xdr:twoCellAnchor editAs="oneCell">
    <xdr:from>
      <xdr:col>8</xdr:col>
      <xdr:colOff>0</xdr:colOff>
      <xdr:row>4</xdr:row>
      <xdr:rowOff>1</xdr:rowOff>
    </xdr:from>
    <xdr:to>
      <xdr:col>11</xdr:col>
      <xdr:colOff>592455</xdr:colOff>
      <xdr:row>16</xdr:row>
      <xdr:rowOff>77919</xdr:rowOff>
    </xdr:to>
    <xdr:pic>
      <xdr:nvPicPr>
        <xdr:cNvPr id="6" name="Image 5">
          <a:extLst>
            <a:ext uri="{FF2B5EF4-FFF2-40B4-BE49-F238E27FC236}">
              <a16:creationId xmlns:a16="http://schemas.microsoft.com/office/drawing/2014/main" id="{0074B3B4-88F1-4AF0-89C4-35C7DCA6A945}"/>
            </a:ext>
          </a:extLst>
        </xdr:cNvPr>
        <xdr:cNvPicPr>
          <a:picLocks noChangeAspect="1"/>
        </xdr:cNvPicPr>
      </xdr:nvPicPr>
      <xdr:blipFill>
        <a:blip xmlns:r="http://schemas.openxmlformats.org/officeDocument/2006/relationships" r:embed="rId5"/>
        <a:stretch>
          <a:fillRect/>
        </a:stretch>
      </xdr:blipFill>
      <xdr:spPr>
        <a:xfrm>
          <a:off x="6438900" y="731521"/>
          <a:ext cx="2967990" cy="2249618"/>
        </a:xfrm>
        <a:prstGeom prst="rect">
          <a:avLst/>
        </a:prstGeom>
      </xdr:spPr>
    </xdr:pic>
    <xdr:clientData/>
  </xdr:twoCellAnchor>
  <xdr:twoCellAnchor editAs="oneCell">
    <xdr:from>
      <xdr:col>8</xdr:col>
      <xdr:colOff>76201</xdr:colOff>
      <xdr:row>16</xdr:row>
      <xdr:rowOff>114301</xdr:rowOff>
    </xdr:from>
    <xdr:to>
      <xdr:col>11</xdr:col>
      <xdr:colOff>626745</xdr:colOff>
      <xdr:row>28</xdr:row>
      <xdr:rowOff>172737</xdr:rowOff>
    </xdr:to>
    <xdr:pic>
      <xdr:nvPicPr>
        <xdr:cNvPr id="7" name="Image 6">
          <a:extLst>
            <a:ext uri="{FF2B5EF4-FFF2-40B4-BE49-F238E27FC236}">
              <a16:creationId xmlns:a16="http://schemas.microsoft.com/office/drawing/2014/main" id="{76EC8455-46EB-48E4-8638-CE8AE129B2D7}"/>
            </a:ext>
          </a:extLst>
        </xdr:cNvPr>
        <xdr:cNvPicPr>
          <a:picLocks noChangeAspect="1"/>
        </xdr:cNvPicPr>
      </xdr:nvPicPr>
      <xdr:blipFill>
        <a:blip xmlns:r="http://schemas.openxmlformats.org/officeDocument/2006/relationships" r:embed="rId6"/>
        <a:stretch>
          <a:fillRect/>
        </a:stretch>
      </xdr:blipFill>
      <xdr:spPr>
        <a:xfrm>
          <a:off x="6515101" y="3040381"/>
          <a:ext cx="2931794" cy="2233946"/>
        </a:xfrm>
        <a:prstGeom prst="rect">
          <a:avLst/>
        </a:prstGeom>
      </xdr:spPr>
    </xdr:pic>
    <xdr:clientData/>
  </xdr:twoCellAnchor>
  <xdr:twoCellAnchor editAs="oneCell">
    <xdr:from>
      <xdr:col>8</xdr:col>
      <xdr:colOff>57150</xdr:colOff>
      <xdr:row>29</xdr:row>
      <xdr:rowOff>22859</xdr:rowOff>
    </xdr:from>
    <xdr:to>
      <xdr:col>11</xdr:col>
      <xdr:colOff>668655</xdr:colOff>
      <xdr:row>41</xdr:row>
      <xdr:rowOff>59841</xdr:rowOff>
    </xdr:to>
    <xdr:pic>
      <xdr:nvPicPr>
        <xdr:cNvPr id="8" name="Image 7">
          <a:extLst>
            <a:ext uri="{FF2B5EF4-FFF2-40B4-BE49-F238E27FC236}">
              <a16:creationId xmlns:a16="http://schemas.microsoft.com/office/drawing/2014/main" id="{8F2B9341-96BC-4EF2-862C-429772735D4F}"/>
            </a:ext>
          </a:extLst>
        </xdr:cNvPr>
        <xdr:cNvPicPr>
          <a:picLocks noChangeAspect="1"/>
        </xdr:cNvPicPr>
      </xdr:nvPicPr>
      <xdr:blipFill>
        <a:blip xmlns:r="http://schemas.openxmlformats.org/officeDocument/2006/relationships" r:embed="rId7"/>
        <a:stretch>
          <a:fillRect/>
        </a:stretch>
      </xdr:blipFill>
      <xdr:spPr>
        <a:xfrm>
          <a:off x="6496050" y="5326379"/>
          <a:ext cx="2983230" cy="2208682"/>
        </a:xfrm>
        <a:prstGeom prst="rect">
          <a:avLst/>
        </a:prstGeom>
      </xdr:spPr>
    </xdr:pic>
    <xdr:clientData/>
  </xdr:twoCellAnchor>
  <xdr:twoCellAnchor editAs="oneCell">
    <xdr:from>
      <xdr:col>11</xdr:col>
      <xdr:colOff>723900</xdr:colOff>
      <xdr:row>41</xdr:row>
      <xdr:rowOff>38100</xdr:rowOff>
    </xdr:from>
    <xdr:to>
      <xdr:col>16</xdr:col>
      <xdr:colOff>59055</xdr:colOff>
      <xdr:row>54</xdr:row>
      <xdr:rowOff>129966</xdr:rowOff>
    </xdr:to>
    <xdr:pic>
      <xdr:nvPicPr>
        <xdr:cNvPr id="9" name="Image 8">
          <a:extLst>
            <a:ext uri="{FF2B5EF4-FFF2-40B4-BE49-F238E27FC236}">
              <a16:creationId xmlns:a16="http://schemas.microsoft.com/office/drawing/2014/main" id="{EECAF8E5-ACAB-4D01-A5B2-26953796792D}"/>
            </a:ext>
          </a:extLst>
        </xdr:cNvPr>
        <xdr:cNvPicPr>
          <a:picLocks noChangeAspect="1"/>
        </xdr:cNvPicPr>
      </xdr:nvPicPr>
      <xdr:blipFill>
        <a:blip xmlns:r="http://schemas.openxmlformats.org/officeDocument/2006/relationships" r:embed="rId8"/>
        <a:stretch>
          <a:fillRect/>
        </a:stretch>
      </xdr:blipFill>
      <xdr:spPr>
        <a:xfrm>
          <a:off x="9540240" y="7536180"/>
          <a:ext cx="3291840" cy="24369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257175</xdr:colOff>
      <xdr:row>1</xdr:row>
      <xdr:rowOff>9525</xdr:rowOff>
    </xdr:from>
    <xdr:to>
      <xdr:col>34</xdr:col>
      <xdr:colOff>361950</xdr:colOff>
      <xdr:row>9</xdr:row>
      <xdr:rowOff>169753</xdr:rowOff>
    </xdr:to>
    <xdr:pic>
      <xdr:nvPicPr>
        <xdr:cNvPr id="2" name="Image 1">
          <a:extLst>
            <a:ext uri="{FF2B5EF4-FFF2-40B4-BE49-F238E27FC236}">
              <a16:creationId xmlns:a16="http://schemas.microsoft.com/office/drawing/2014/main" id="{5982F986-3F98-4AB4-A847-3CF6C791C390}"/>
            </a:ext>
          </a:extLst>
        </xdr:cNvPr>
        <xdr:cNvPicPr>
          <a:picLocks noChangeAspect="1"/>
        </xdr:cNvPicPr>
      </xdr:nvPicPr>
      <xdr:blipFill>
        <a:blip xmlns:r="http://schemas.openxmlformats.org/officeDocument/2006/relationships" r:embed="rId1"/>
        <a:stretch>
          <a:fillRect/>
        </a:stretch>
      </xdr:blipFill>
      <xdr:spPr>
        <a:xfrm>
          <a:off x="18278475" y="192405"/>
          <a:ext cx="4063365" cy="1602313"/>
        </a:xfrm>
        <a:prstGeom prst="rect">
          <a:avLst/>
        </a:prstGeom>
      </xdr:spPr>
    </xdr:pic>
    <xdr:clientData/>
  </xdr:twoCellAnchor>
  <xdr:twoCellAnchor editAs="oneCell">
    <xdr:from>
      <xdr:col>35</xdr:col>
      <xdr:colOff>0</xdr:colOff>
      <xdr:row>1</xdr:row>
      <xdr:rowOff>1</xdr:rowOff>
    </xdr:from>
    <xdr:to>
      <xdr:col>42</xdr:col>
      <xdr:colOff>186690</xdr:colOff>
      <xdr:row>10</xdr:row>
      <xdr:rowOff>21982</xdr:rowOff>
    </xdr:to>
    <xdr:pic>
      <xdr:nvPicPr>
        <xdr:cNvPr id="3" name="Image 2">
          <a:extLst>
            <a:ext uri="{FF2B5EF4-FFF2-40B4-BE49-F238E27FC236}">
              <a16:creationId xmlns:a16="http://schemas.microsoft.com/office/drawing/2014/main" id="{24C366AF-EDE4-44DC-89CC-E519AE6322C0}"/>
            </a:ext>
          </a:extLst>
        </xdr:cNvPr>
        <xdr:cNvPicPr>
          <a:picLocks noChangeAspect="1"/>
        </xdr:cNvPicPr>
      </xdr:nvPicPr>
      <xdr:blipFill>
        <a:blip xmlns:r="http://schemas.openxmlformats.org/officeDocument/2006/relationships" r:embed="rId2"/>
        <a:stretch>
          <a:fillRect/>
        </a:stretch>
      </xdr:blipFill>
      <xdr:spPr>
        <a:xfrm>
          <a:off x="22776180" y="182881"/>
          <a:ext cx="5720715" cy="1662186"/>
        </a:xfrm>
        <a:prstGeom prst="rect">
          <a:avLst/>
        </a:prstGeom>
      </xdr:spPr>
    </xdr:pic>
    <xdr:clientData/>
  </xdr:twoCellAnchor>
  <xdr:twoCellAnchor editAs="oneCell">
    <xdr:from>
      <xdr:col>29</xdr:col>
      <xdr:colOff>114300</xdr:colOff>
      <xdr:row>11</xdr:row>
      <xdr:rowOff>1</xdr:rowOff>
    </xdr:from>
    <xdr:to>
      <xdr:col>34</xdr:col>
      <xdr:colOff>398145</xdr:colOff>
      <xdr:row>30</xdr:row>
      <xdr:rowOff>54294</xdr:rowOff>
    </xdr:to>
    <xdr:pic>
      <xdr:nvPicPr>
        <xdr:cNvPr id="4" name="Image 3">
          <a:extLst>
            <a:ext uri="{FF2B5EF4-FFF2-40B4-BE49-F238E27FC236}">
              <a16:creationId xmlns:a16="http://schemas.microsoft.com/office/drawing/2014/main" id="{A3B69DF6-6808-4627-9711-F08B6903D193}"/>
            </a:ext>
          </a:extLst>
        </xdr:cNvPr>
        <xdr:cNvPicPr>
          <a:picLocks noChangeAspect="1"/>
        </xdr:cNvPicPr>
      </xdr:nvPicPr>
      <xdr:blipFill>
        <a:blip xmlns:r="http://schemas.openxmlformats.org/officeDocument/2006/relationships" r:embed="rId3"/>
        <a:stretch>
          <a:fillRect/>
        </a:stretch>
      </xdr:blipFill>
      <xdr:spPr>
        <a:xfrm>
          <a:off x="18135600" y="2011681"/>
          <a:ext cx="4250055" cy="3496628"/>
        </a:xfrm>
        <a:prstGeom prst="rect">
          <a:avLst/>
        </a:prstGeom>
      </xdr:spPr>
    </xdr:pic>
    <xdr:clientData/>
  </xdr:twoCellAnchor>
  <xdr:twoCellAnchor editAs="oneCell">
    <xdr:from>
      <xdr:col>34</xdr:col>
      <xdr:colOff>548640</xdr:colOff>
      <xdr:row>11</xdr:row>
      <xdr:rowOff>110491</xdr:rowOff>
    </xdr:from>
    <xdr:to>
      <xdr:col>40</xdr:col>
      <xdr:colOff>243840</xdr:colOff>
      <xdr:row>27</xdr:row>
      <xdr:rowOff>130558</xdr:rowOff>
    </xdr:to>
    <xdr:pic>
      <xdr:nvPicPr>
        <xdr:cNvPr id="5" name="Image 4">
          <a:extLst>
            <a:ext uri="{FF2B5EF4-FFF2-40B4-BE49-F238E27FC236}">
              <a16:creationId xmlns:a16="http://schemas.microsoft.com/office/drawing/2014/main" id="{A4BD7995-0EE5-4640-A198-70B3F4988F69}"/>
            </a:ext>
          </a:extLst>
        </xdr:cNvPr>
        <xdr:cNvPicPr>
          <a:picLocks noChangeAspect="1"/>
        </xdr:cNvPicPr>
      </xdr:nvPicPr>
      <xdr:blipFill>
        <a:blip xmlns:r="http://schemas.openxmlformats.org/officeDocument/2006/relationships" r:embed="rId4"/>
        <a:stretch>
          <a:fillRect/>
        </a:stretch>
      </xdr:blipFill>
      <xdr:spPr>
        <a:xfrm>
          <a:off x="22532340" y="2122171"/>
          <a:ext cx="4431030" cy="2908047"/>
        </a:xfrm>
        <a:prstGeom prst="rect">
          <a:avLst/>
        </a:prstGeom>
      </xdr:spPr>
    </xdr:pic>
    <xdr:clientData/>
  </xdr:twoCellAnchor>
  <xdr:twoCellAnchor editAs="oneCell">
    <xdr:from>
      <xdr:col>40</xdr:col>
      <xdr:colOff>377190</xdr:colOff>
      <xdr:row>11</xdr:row>
      <xdr:rowOff>28576</xdr:rowOff>
    </xdr:from>
    <xdr:to>
      <xdr:col>47</xdr:col>
      <xdr:colOff>212510</xdr:colOff>
      <xdr:row>19</xdr:row>
      <xdr:rowOff>17146</xdr:rowOff>
    </xdr:to>
    <xdr:pic>
      <xdr:nvPicPr>
        <xdr:cNvPr id="6" name="Image 5">
          <a:extLst>
            <a:ext uri="{FF2B5EF4-FFF2-40B4-BE49-F238E27FC236}">
              <a16:creationId xmlns:a16="http://schemas.microsoft.com/office/drawing/2014/main" id="{09D03971-18B0-4A1B-BDDF-ED93562E88AA}"/>
            </a:ext>
          </a:extLst>
        </xdr:cNvPr>
        <xdr:cNvPicPr>
          <a:picLocks noChangeAspect="1"/>
        </xdr:cNvPicPr>
      </xdr:nvPicPr>
      <xdr:blipFill>
        <a:blip xmlns:r="http://schemas.openxmlformats.org/officeDocument/2006/relationships" r:embed="rId5"/>
        <a:stretch>
          <a:fillRect/>
        </a:stretch>
      </xdr:blipFill>
      <xdr:spPr>
        <a:xfrm>
          <a:off x="27115770" y="2040256"/>
          <a:ext cx="5376965" cy="1451610"/>
        </a:xfrm>
        <a:prstGeom prst="rect">
          <a:avLst/>
        </a:prstGeom>
      </xdr:spPr>
    </xdr:pic>
    <xdr:clientData/>
  </xdr:twoCellAnchor>
  <xdr:twoCellAnchor editAs="oneCell">
    <xdr:from>
      <xdr:col>29</xdr:col>
      <xdr:colOff>1</xdr:colOff>
      <xdr:row>31</xdr:row>
      <xdr:rowOff>1</xdr:rowOff>
    </xdr:from>
    <xdr:to>
      <xdr:col>34</xdr:col>
      <xdr:colOff>512539</xdr:colOff>
      <xdr:row>46</xdr:row>
      <xdr:rowOff>95251</xdr:rowOff>
    </xdr:to>
    <xdr:pic>
      <xdr:nvPicPr>
        <xdr:cNvPr id="7" name="Image 6">
          <a:extLst>
            <a:ext uri="{FF2B5EF4-FFF2-40B4-BE49-F238E27FC236}">
              <a16:creationId xmlns:a16="http://schemas.microsoft.com/office/drawing/2014/main" id="{55343F29-21B9-4C03-9E30-3308D74092A1}"/>
            </a:ext>
          </a:extLst>
        </xdr:cNvPr>
        <xdr:cNvPicPr>
          <a:picLocks noChangeAspect="1"/>
        </xdr:cNvPicPr>
      </xdr:nvPicPr>
      <xdr:blipFill>
        <a:blip xmlns:r="http://schemas.openxmlformats.org/officeDocument/2006/relationships" r:embed="rId6"/>
        <a:stretch>
          <a:fillRect/>
        </a:stretch>
      </xdr:blipFill>
      <xdr:spPr>
        <a:xfrm>
          <a:off x="18021301" y="5669281"/>
          <a:ext cx="4478748" cy="2796540"/>
        </a:xfrm>
        <a:prstGeom prst="rect">
          <a:avLst/>
        </a:prstGeom>
      </xdr:spPr>
    </xdr:pic>
    <xdr:clientData/>
  </xdr:twoCellAnchor>
  <xdr:twoCellAnchor editAs="oneCell">
    <xdr:from>
      <xdr:col>35</xdr:col>
      <xdr:colOff>0</xdr:colOff>
      <xdr:row>30</xdr:row>
      <xdr:rowOff>0</xdr:rowOff>
    </xdr:from>
    <xdr:to>
      <xdr:col>40</xdr:col>
      <xdr:colOff>664845</xdr:colOff>
      <xdr:row>46</xdr:row>
      <xdr:rowOff>53988</xdr:rowOff>
    </xdr:to>
    <xdr:pic>
      <xdr:nvPicPr>
        <xdr:cNvPr id="8" name="Image 7">
          <a:extLst>
            <a:ext uri="{FF2B5EF4-FFF2-40B4-BE49-F238E27FC236}">
              <a16:creationId xmlns:a16="http://schemas.microsoft.com/office/drawing/2014/main" id="{B1392940-ED33-4C30-8979-546ED7F711E2}"/>
            </a:ext>
          </a:extLst>
        </xdr:cNvPr>
        <xdr:cNvPicPr>
          <a:picLocks noChangeAspect="1"/>
        </xdr:cNvPicPr>
      </xdr:nvPicPr>
      <xdr:blipFill>
        <a:blip xmlns:r="http://schemas.openxmlformats.org/officeDocument/2006/relationships" r:embed="rId7"/>
        <a:stretch>
          <a:fillRect/>
        </a:stretch>
      </xdr:blipFill>
      <xdr:spPr>
        <a:xfrm>
          <a:off x="22776180" y="5486400"/>
          <a:ext cx="4631055" cy="2945778"/>
        </a:xfrm>
        <a:prstGeom prst="rect">
          <a:avLst/>
        </a:prstGeom>
      </xdr:spPr>
    </xdr:pic>
    <xdr:clientData/>
  </xdr:twoCellAnchor>
  <xdr:twoCellAnchor editAs="oneCell">
    <xdr:from>
      <xdr:col>5</xdr:col>
      <xdr:colOff>472440</xdr:colOff>
      <xdr:row>34</xdr:row>
      <xdr:rowOff>0</xdr:rowOff>
    </xdr:from>
    <xdr:to>
      <xdr:col>14</xdr:col>
      <xdr:colOff>117696</xdr:colOff>
      <xdr:row>49</xdr:row>
      <xdr:rowOff>57150</xdr:rowOff>
    </xdr:to>
    <xdr:pic>
      <xdr:nvPicPr>
        <xdr:cNvPr id="9" name="Image 8">
          <a:extLst>
            <a:ext uri="{FF2B5EF4-FFF2-40B4-BE49-F238E27FC236}">
              <a16:creationId xmlns:a16="http://schemas.microsoft.com/office/drawing/2014/main" id="{F5713436-6643-4BE7-BD91-4373D49CA2AF}"/>
            </a:ext>
          </a:extLst>
        </xdr:cNvPr>
        <xdr:cNvPicPr>
          <a:picLocks noChangeAspect="1"/>
        </xdr:cNvPicPr>
      </xdr:nvPicPr>
      <xdr:blipFill>
        <a:blip xmlns:r="http://schemas.openxmlformats.org/officeDocument/2006/relationships" r:embed="rId8"/>
        <a:stretch>
          <a:fillRect/>
        </a:stretch>
      </xdr:blipFill>
      <xdr:spPr>
        <a:xfrm>
          <a:off x="4030980" y="6217920"/>
          <a:ext cx="4956396" cy="2758440"/>
        </a:xfrm>
        <a:prstGeom prst="rect">
          <a:avLst/>
        </a:prstGeom>
      </xdr:spPr>
    </xdr:pic>
    <xdr:clientData/>
  </xdr:twoCellAnchor>
  <xdr:twoCellAnchor editAs="oneCell">
    <xdr:from>
      <xdr:col>0</xdr:col>
      <xdr:colOff>0</xdr:colOff>
      <xdr:row>34</xdr:row>
      <xdr:rowOff>19051</xdr:rowOff>
    </xdr:from>
    <xdr:to>
      <xdr:col>5</xdr:col>
      <xdr:colOff>207645</xdr:colOff>
      <xdr:row>48</xdr:row>
      <xdr:rowOff>55037</xdr:rowOff>
    </xdr:to>
    <xdr:pic>
      <xdr:nvPicPr>
        <xdr:cNvPr id="10" name="Image 9">
          <a:extLst>
            <a:ext uri="{FF2B5EF4-FFF2-40B4-BE49-F238E27FC236}">
              <a16:creationId xmlns:a16="http://schemas.microsoft.com/office/drawing/2014/main" id="{ECA4A332-EE11-4EA1-B7E7-2082059AD0DA}"/>
            </a:ext>
          </a:extLst>
        </xdr:cNvPr>
        <xdr:cNvPicPr>
          <a:picLocks noChangeAspect="1"/>
        </xdr:cNvPicPr>
      </xdr:nvPicPr>
      <xdr:blipFill>
        <a:blip xmlns:r="http://schemas.openxmlformats.org/officeDocument/2006/relationships" r:embed="rId9"/>
        <a:stretch>
          <a:fillRect/>
        </a:stretch>
      </xdr:blipFill>
      <xdr:spPr>
        <a:xfrm>
          <a:off x="0" y="6236971"/>
          <a:ext cx="3769995" cy="2562016"/>
        </a:xfrm>
        <a:prstGeom prst="rect">
          <a:avLst/>
        </a:prstGeom>
      </xdr:spPr>
    </xdr:pic>
    <xdr:clientData/>
  </xdr:twoCellAnchor>
  <xdr:twoCellAnchor editAs="oneCell">
    <xdr:from>
      <xdr:col>0</xdr:col>
      <xdr:colOff>0</xdr:colOff>
      <xdr:row>49</xdr:row>
      <xdr:rowOff>1</xdr:rowOff>
    </xdr:from>
    <xdr:to>
      <xdr:col>7</xdr:col>
      <xdr:colOff>170752</xdr:colOff>
      <xdr:row>68</xdr:row>
      <xdr:rowOff>131446</xdr:rowOff>
    </xdr:to>
    <xdr:pic>
      <xdr:nvPicPr>
        <xdr:cNvPr id="11" name="Image 10">
          <a:extLst>
            <a:ext uri="{FF2B5EF4-FFF2-40B4-BE49-F238E27FC236}">
              <a16:creationId xmlns:a16="http://schemas.microsoft.com/office/drawing/2014/main" id="{C04735B4-007D-4853-AA7F-F15D5575EA35}"/>
            </a:ext>
          </a:extLst>
        </xdr:cNvPr>
        <xdr:cNvPicPr>
          <a:picLocks noChangeAspect="1"/>
        </xdr:cNvPicPr>
      </xdr:nvPicPr>
      <xdr:blipFill>
        <a:blip xmlns:r="http://schemas.openxmlformats.org/officeDocument/2006/relationships" r:embed="rId10"/>
        <a:stretch>
          <a:fillRect/>
        </a:stretch>
      </xdr:blipFill>
      <xdr:spPr>
        <a:xfrm>
          <a:off x="0" y="8961121"/>
          <a:ext cx="4937062" cy="3566160"/>
        </a:xfrm>
        <a:prstGeom prst="rect">
          <a:avLst/>
        </a:prstGeom>
      </xdr:spPr>
    </xdr:pic>
    <xdr:clientData/>
  </xdr:twoCellAnchor>
  <xdr:twoCellAnchor editAs="oneCell">
    <xdr:from>
      <xdr:col>7</xdr:col>
      <xdr:colOff>285751</xdr:colOff>
      <xdr:row>50</xdr:row>
      <xdr:rowOff>0</xdr:rowOff>
    </xdr:from>
    <xdr:to>
      <xdr:col>15</xdr:col>
      <xdr:colOff>321946</xdr:colOff>
      <xdr:row>66</xdr:row>
      <xdr:rowOff>92652</xdr:rowOff>
    </xdr:to>
    <xdr:pic>
      <xdr:nvPicPr>
        <xdr:cNvPr id="12" name="Image 11">
          <a:extLst>
            <a:ext uri="{FF2B5EF4-FFF2-40B4-BE49-F238E27FC236}">
              <a16:creationId xmlns:a16="http://schemas.microsoft.com/office/drawing/2014/main" id="{41FBCCE9-118D-42D8-851A-59E1AC5BDF36}"/>
            </a:ext>
          </a:extLst>
        </xdr:cNvPr>
        <xdr:cNvPicPr>
          <a:picLocks noChangeAspect="1"/>
        </xdr:cNvPicPr>
      </xdr:nvPicPr>
      <xdr:blipFill>
        <a:blip xmlns:r="http://schemas.openxmlformats.org/officeDocument/2006/relationships" r:embed="rId11"/>
        <a:stretch>
          <a:fillRect/>
        </a:stretch>
      </xdr:blipFill>
      <xdr:spPr>
        <a:xfrm>
          <a:off x="5048251" y="9144000"/>
          <a:ext cx="4869180" cy="2980632"/>
        </a:xfrm>
        <a:prstGeom prst="rect">
          <a:avLst/>
        </a:prstGeom>
      </xdr:spPr>
    </xdr:pic>
    <xdr:clientData/>
  </xdr:twoCellAnchor>
  <xdr:twoCellAnchor editAs="oneCell">
    <xdr:from>
      <xdr:col>0</xdr:col>
      <xdr:colOff>0</xdr:colOff>
      <xdr:row>68</xdr:row>
      <xdr:rowOff>167640</xdr:rowOff>
    </xdr:from>
    <xdr:to>
      <xdr:col>7</xdr:col>
      <xdr:colOff>398145</xdr:colOff>
      <xdr:row>87</xdr:row>
      <xdr:rowOff>135783</xdr:rowOff>
    </xdr:to>
    <xdr:pic>
      <xdr:nvPicPr>
        <xdr:cNvPr id="13" name="Image 12">
          <a:extLst>
            <a:ext uri="{FF2B5EF4-FFF2-40B4-BE49-F238E27FC236}">
              <a16:creationId xmlns:a16="http://schemas.microsoft.com/office/drawing/2014/main" id="{972191B7-F8D5-4DD1-B600-668AF19469A4}"/>
            </a:ext>
          </a:extLst>
        </xdr:cNvPr>
        <xdr:cNvPicPr>
          <a:picLocks noChangeAspect="1"/>
        </xdr:cNvPicPr>
      </xdr:nvPicPr>
      <xdr:blipFill>
        <a:blip xmlns:r="http://schemas.openxmlformats.org/officeDocument/2006/relationships" r:embed="rId12"/>
        <a:stretch>
          <a:fillRect/>
        </a:stretch>
      </xdr:blipFill>
      <xdr:spPr>
        <a:xfrm>
          <a:off x="0" y="12603480"/>
          <a:ext cx="5164455" cy="3399048"/>
        </a:xfrm>
        <a:prstGeom prst="rect">
          <a:avLst/>
        </a:prstGeom>
      </xdr:spPr>
    </xdr:pic>
    <xdr:clientData/>
  </xdr:twoCellAnchor>
  <xdr:twoCellAnchor editAs="oneCell">
    <xdr:from>
      <xdr:col>7</xdr:col>
      <xdr:colOff>550545</xdr:colOff>
      <xdr:row>69</xdr:row>
      <xdr:rowOff>7620</xdr:rowOff>
    </xdr:from>
    <xdr:to>
      <xdr:col>17</xdr:col>
      <xdr:colOff>208267</xdr:colOff>
      <xdr:row>86</xdr:row>
      <xdr:rowOff>74295</xdr:rowOff>
    </xdr:to>
    <xdr:pic>
      <xdr:nvPicPr>
        <xdr:cNvPr id="14" name="Image 13">
          <a:extLst>
            <a:ext uri="{FF2B5EF4-FFF2-40B4-BE49-F238E27FC236}">
              <a16:creationId xmlns:a16="http://schemas.microsoft.com/office/drawing/2014/main" id="{8CE78E10-AC4C-461F-BE99-F90F678A2726}"/>
            </a:ext>
          </a:extLst>
        </xdr:cNvPr>
        <xdr:cNvPicPr>
          <a:picLocks noChangeAspect="1"/>
        </xdr:cNvPicPr>
      </xdr:nvPicPr>
      <xdr:blipFill>
        <a:blip xmlns:r="http://schemas.openxmlformats.org/officeDocument/2006/relationships" r:embed="rId13"/>
        <a:stretch>
          <a:fillRect/>
        </a:stretch>
      </xdr:blipFill>
      <xdr:spPr>
        <a:xfrm>
          <a:off x="5313045" y="12626340"/>
          <a:ext cx="5858497" cy="3141345"/>
        </a:xfrm>
        <a:prstGeom prst="rect">
          <a:avLst/>
        </a:prstGeom>
      </xdr:spPr>
    </xdr:pic>
    <xdr:clientData/>
  </xdr:twoCellAnchor>
  <xdr:twoCellAnchor editAs="oneCell">
    <xdr:from>
      <xdr:col>22</xdr:col>
      <xdr:colOff>1120140</xdr:colOff>
      <xdr:row>49</xdr:row>
      <xdr:rowOff>38101</xdr:rowOff>
    </xdr:from>
    <xdr:to>
      <xdr:col>31</xdr:col>
      <xdr:colOff>377190</xdr:colOff>
      <xdr:row>72</xdr:row>
      <xdr:rowOff>21554</xdr:rowOff>
    </xdr:to>
    <xdr:pic>
      <xdr:nvPicPr>
        <xdr:cNvPr id="15" name="Image 14">
          <a:extLst>
            <a:ext uri="{FF2B5EF4-FFF2-40B4-BE49-F238E27FC236}">
              <a16:creationId xmlns:a16="http://schemas.microsoft.com/office/drawing/2014/main" id="{25A1A45B-7038-495B-94C4-34DE1E8763E4}"/>
            </a:ext>
          </a:extLst>
        </xdr:cNvPr>
        <xdr:cNvPicPr>
          <a:picLocks noChangeAspect="1"/>
        </xdr:cNvPicPr>
      </xdr:nvPicPr>
      <xdr:blipFill>
        <a:blip xmlns:r="http://schemas.openxmlformats.org/officeDocument/2006/relationships" r:embed="rId14"/>
        <a:stretch>
          <a:fillRect/>
        </a:stretch>
      </xdr:blipFill>
      <xdr:spPr>
        <a:xfrm>
          <a:off x="14973300" y="8999221"/>
          <a:ext cx="4996815" cy="4153498"/>
        </a:xfrm>
        <a:prstGeom prst="rect">
          <a:avLst/>
        </a:prstGeom>
      </xdr:spPr>
    </xdr:pic>
    <xdr:clientData/>
  </xdr:twoCellAnchor>
  <xdr:twoCellAnchor editAs="oneCell">
    <xdr:from>
      <xdr:col>31</xdr:col>
      <xdr:colOff>531496</xdr:colOff>
      <xdr:row>48</xdr:row>
      <xdr:rowOff>53340</xdr:rowOff>
    </xdr:from>
    <xdr:to>
      <xdr:col>38</xdr:col>
      <xdr:colOff>592456</xdr:colOff>
      <xdr:row>68</xdr:row>
      <xdr:rowOff>58521</xdr:rowOff>
    </xdr:to>
    <xdr:pic>
      <xdr:nvPicPr>
        <xdr:cNvPr id="16" name="Image 15">
          <a:extLst>
            <a:ext uri="{FF2B5EF4-FFF2-40B4-BE49-F238E27FC236}">
              <a16:creationId xmlns:a16="http://schemas.microsoft.com/office/drawing/2014/main" id="{2FEFA3D7-91D3-4E04-903D-C489284283AC}"/>
            </a:ext>
          </a:extLst>
        </xdr:cNvPr>
        <xdr:cNvPicPr>
          <a:picLocks noChangeAspect="1"/>
        </xdr:cNvPicPr>
      </xdr:nvPicPr>
      <xdr:blipFill>
        <a:blip xmlns:r="http://schemas.openxmlformats.org/officeDocument/2006/relationships" r:embed="rId15"/>
        <a:stretch>
          <a:fillRect/>
        </a:stretch>
      </xdr:blipFill>
      <xdr:spPr>
        <a:xfrm>
          <a:off x="20137756" y="8831580"/>
          <a:ext cx="5606415" cy="3624681"/>
        </a:xfrm>
        <a:prstGeom prst="rect">
          <a:avLst/>
        </a:prstGeom>
      </xdr:spPr>
    </xdr:pic>
    <xdr:clientData/>
  </xdr:twoCellAnchor>
  <xdr:twoCellAnchor editAs="oneCell">
    <xdr:from>
      <xdr:col>15</xdr:col>
      <xdr:colOff>531496</xdr:colOff>
      <xdr:row>54</xdr:row>
      <xdr:rowOff>38100</xdr:rowOff>
    </xdr:from>
    <xdr:to>
      <xdr:col>22</xdr:col>
      <xdr:colOff>1011556</xdr:colOff>
      <xdr:row>60</xdr:row>
      <xdr:rowOff>131732</xdr:rowOff>
    </xdr:to>
    <xdr:pic>
      <xdr:nvPicPr>
        <xdr:cNvPr id="17" name="Image 16">
          <a:extLst>
            <a:ext uri="{FF2B5EF4-FFF2-40B4-BE49-F238E27FC236}">
              <a16:creationId xmlns:a16="http://schemas.microsoft.com/office/drawing/2014/main" id="{F5F68B0C-4B5C-4C79-9438-25CE9DB3D351}"/>
            </a:ext>
          </a:extLst>
        </xdr:cNvPr>
        <xdr:cNvPicPr>
          <a:picLocks noChangeAspect="1"/>
        </xdr:cNvPicPr>
      </xdr:nvPicPr>
      <xdr:blipFill>
        <a:blip xmlns:r="http://schemas.openxmlformats.org/officeDocument/2006/relationships" r:embed="rId16"/>
        <a:stretch>
          <a:fillRect/>
        </a:stretch>
      </xdr:blipFill>
      <xdr:spPr>
        <a:xfrm>
          <a:off x="10125076" y="9913620"/>
          <a:ext cx="4739640" cy="1192817"/>
        </a:xfrm>
        <a:prstGeom prst="rect">
          <a:avLst/>
        </a:prstGeom>
      </xdr:spPr>
    </xdr:pic>
    <xdr:clientData/>
  </xdr:twoCellAnchor>
  <xdr:twoCellAnchor editAs="oneCell">
    <xdr:from>
      <xdr:col>15</xdr:col>
      <xdr:colOff>0</xdr:colOff>
      <xdr:row>36</xdr:row>
      <xdr:rowOff>0</xdr:rowOff>
    </xdr:from>
    <xdr:to>
      <xdr:col>26</xdr:col>
      <xdr:colOff>34176</xdr:colOff>
      <xdr:row>46</xdr:row>
      <xdr:rowOff>38100</xdr:rowOff>
    </xdr:to>
    <xdr:pic>
      <xdr:nvPicPr>
        <xdr:cNvPr id="18" name="Image 17">
          <a:extLst>
            <a:ext uri="{FF2B5EF4-FFF2-40B4-BE49-F238E27FC236}">
              <a16:creationId xmlns:a16="http://schemas.microsoft.com/office/drawing/2014/main" id="{FDF79BFA-DCD8-40BD-8A0E-CCED39A2E31A}"/>
            </a:ext>
          </a:extLst>
        </xdr:cNvPr>
        <xdr:cNvPicPr>
          <a:picLocks noChangeAspect="1"/>
        </xdr:cNvPicPr>
      </xdr:nvPicPr>
      <xdr:blipFill>
        <a:blip xmlns:r="http://schemas.openxmlformats.org/officeDocument/2006/relationships" r:embed="rId17"/>
        <a:stretch>
          <a:fillRect/>
        </a:stretch>
      </xdr:blipFill>
      <xdr:spPr>
        <a:xfrm>
          <a:off x="9572625" y="6515100"/>
          <a:ext cx="7139826" cy="18478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9EEC-3FC9-412A-9859-6E1EA9967F0E}">
  <sheetPr>
    <tabColor rgb="FFFF0000"/>
  </sheetPr>
  <dimension ref="A1:AG15"/>
  <sheetViews>
    <sheetView tabSelected="1" workbookViewId="0">
      <pane xSplit="3" ySplit="1" topLeftCell="D2" activePane="bottomRight" state="frozen"/>
      <selection pane="topRight" activeCell="D1" sqref="D1"/>
      <selection pane="bottomLeft" activeCell="A2" sqref="A2"/>
      <selection pane="bottomRight" activeCell="G17" sqref="G17"/>
    </sheetView>
  </sheetViews>
  <sheetFormatPr baseColWidth="10" defaultColWidth="9.109375" defaultRowHeight="14.4"/>
  <cols>
    <col min="1" max="1" width="53.6640625" bestFit="1" customWidth="1"/>
    <col min="2" max="2" width="18.44140625" bestFit="1" customWidth="1"/>
    <col min="3" max="3" width="61.5546875" bestFit="1" customWidth="1"/>
    <col min="4" max="4" width="8" bestFit="1" customWidth="1"/>
    <col min="5" max="5" width="9" bestFit="1" customWidth="1"/>
    <col min="6" max="6" width="9.33203125" bestFit="1" customWidth="1"/>
    <col min="7" max="7" width="81.5546875" bestFit="1" customWidth="1"/>
  </cols>
  <sheetData>
    <row r="1" spans="1:33" ht="38.4" thickBot="1">
      <c r="A1" s="27" t="s">
        <v>32</v>
      </c>
      <c r="B1" s="28" t="s">
        <v>33</v>
      </c>
      <c r="C1" s="28" t="s">
        <v>34</v>
      </c>
      <c r="D1" s="28" t="s">
        <v>35</v>
      </c>
      <c r="E1" s="28" t="s">
        <v>36</v>
      </c>
      <c r="F1" s="29" t="s">
        <v>37</v>
      </c>
      <c r="G1" s="28" t="s">
        <v>38</v>
      </c>
    </row>
    <row r="2" spans="1:33">
      <c r="A2" t="s">
        <v>40</v>
      </c>
      <c r="B2" s="30" t="s">
        <v>39</v>
      </c>
      <c r="C2" s="9" t="str">
        <f>_xlfn.TEXTJOIN(":",TRUE,H2:M2)</f>
        <v>Matière première:Produit:Coproduit:Ingrédient:Emission</v>
      </c>
      <c r="F2" t="s">
        <v>492</v>
      </c>
      <c r="G2" s="11" t="s">
        <v>41</v>
      </c>
      <c r="H2" s="82" t="s">
        <v>383</v>
      </c>
      <c r="I2" s="83" t="s">
        <v>384</v>
      </c>
      <c r="J2" s="84" t="s">
        <v>385</v>
      </c>
      <c r="K2" s="85" t="s">
        <v>386</v>
      </c>
      <c r="L2" s="86" t="s">
        <v>387</v>
      </c>
    </row>
    <row r="3" spans="1:33">
      <c r="A3" t="s">
        <v>388</v>
      </c>
      <c r="B3" s="30" t="s">
        <v>39</v>
      </c>
      <c r="C3" s="9" t="str">
        <f>_xlfn.TEXTJOIN(":",TRUE,H3:M3)</f>
        <v>Equins finis:Viandes:Autres produits:Coproduits bruts:Coproduits transformés:Eau</v>
      </c>
      <c r="F3" t="s">
        <v>493</v>
      </c>
      <c r="G3" s="11" t="s">
        <v>41</v>
      </c>
      <c r="H3" s="67" t="s">
        <v>374</v>
      </c>
      <c r="I3" s="64" t="s">
        <v>310</v>
      </c>
      <c r="J3" s="66" t="s">
        <v>311</v>
      </c>
      <c r="K3" s="68" t="s">
        <v>389</v>
      </c>
      <c r="L3" s="65" t="s">
        <v>312</v>
      </c>
      <c r="M3" s="13" t="s">
        <v>390</v>
      </c>
    </row>
    <row r="4" spans="1:33">
      <c r="A4" s="9" t="s">
        <v>391</v>
      </c>
      <c r="B4" s="31" t="s">
        <v>42</v>
      </c>
      <c r="C4" s="9" t="s">
        <v>467</v>
      </c>
      <c r="G4" s="11"/>
    </row>
    <row r="5" spans="1:33">
      <c r="A5" t="s">
        <v>392</v>
      </c>
      <c r="B5" s="31" t="s">
        <v>42</v>
      </c>
      <c r="C5" s="9" t="s">
        <v>144</v>
      </c>
      <c r="G5" s="11"/>
    </row>
    <row r="6" spans="1:33">
      <c r="A6" s="9" t="s">
        <v>46</v>
      </c>
      <c r="B6" s="31" t="s">
        <v>42</v>
      </c>
      <c r="C6" s="9" t="str">
        <f>_xlfn.TEXTJOIN(":",TRUE,H6:M6)</f>
        <v>2015:2019:2023</v>
      </c>
      <c r="G6" s="11" t="s">
        <v>43</v>
      </c>
      <c r="H6">
        <v>2015</v>
      </c>
      <c r="I6">
        <v>2019</v>
      </c>
      <c r="J6">
        <v>2023</v>
      </c>
    </row>
    <row r="7" spans="1:33">
      <c r="A7" t="s">
        <v>22</v>
      </c>
      <c r="B7" s="31" t="s">
        <v>42</v>
      </c>
      <c r="C7" t="s">
        <v>26</v>
      </c>
      <c r="G7" s="11"/>
    </row>
    <row r="8" spans="1:33">
      <c r="A8" t="s">
        <v>393</v>
      </c>
      <c r="B8" s="63" t="s">
        <v>44</v>
      </c>
      <c r="C8" t="str">
        <f ca="1">_xlfn.TEXTJOIN(":",TRUE,H8:AI8)</f>
        <v>Abattages = 8 kt (Agreste - Statistique Agricole Annuelle - SSP):Abattages = 4 kt (Agreste - Statistique Agricole Annuelle - SSP):Abattages = 2 kt (Agreste - Statistique Agricole Annuelle - SSP):Importations d'équins = 0 kt (Agreste - Statistique Agricole Annuelle - SSP):Exportations d'équins à destination bouchère = 5 kt (Ifce d'après TRACES, dounaes):Exportations d'équins à destination bouchère = 4 kt (Ifce d'après TRACES, dounaes):Exportations d'équins à destination bouchère = 3 kt (Ifce d'après TRACES, dounaes):Importations de viande fraîche = 12 kt (Douanes - Eurostat):Importations de viande congelée = 1 kt (Douanes - Eurostat):Importations d'abats = 0 kt (Douanes - Eurostat):Exportations de viande fraîche = 3 kt (Douanes - Eurostat):Exportations de viande congelée = 1 kt (Douanes - Eurostat):Exportations d'abats = 0 kt (Douanes - Eurostat):Importations de viande fraîche = 9 kt (Douanes - Eurostat):Importations d'abats = 2 kt (Douanes - Eurostat):Exportations de viande fraîche = 1 kt (Douanes - Eurostat):Importations de viande fraîche = 7 kt (Douanes - Eurostat):Importations de viande congelée = 0 kt (Douanes - Eurostat):Exportations de viande fraîche = 2 kt (Douanes - Eurostat):Exportations de viande congelée = 0 kt (Douanes - Eurostat):Rendement en viande de l'abattage-découpe = 36 % (A dire d'expert):Rendement en abats de l'abattage-découpe = 10,25 % (Blézat):Rendement en C1 de l'abattage-découpe = 6,06 % (Blézat):Rendement en C2 de l'abattage-découpe = 0 % (Blézat):Rendement en C3 et alimentaire de l'abattage-découpe = 39,43 % (Blézat):Rendement en peaux de l'abattage-découpe = 7 % (Blézat):Pertes en eau de l'abattage-découpe = 1,26 % (Blézat):Valorisation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usages:Valorisation des farines animales en énergie = 0 kt (SIFCO):Valorisation des farines animales en fertilisation = 0 kt (SIFCO):Valorisation des graisses animales en énergie = 0 kt (SIFCO):Valorisation des PAT par les autres IAA = 0 kt (SIFCO):Valorisation des PAT en alimentation animale rente = 0 kt (SIFCO):Valorisation des PAT en petfood = 0 kt (SIFCO):Valorisation des PAT en aquaculture = 0 kt (SIFCO):Valorisation des PAT en énergie = 0 kt (SIFCO):Valorisation des PAT en fertilisation = 0 kt (SIFCO):Valorisation des PAT par les autres industries = 0 kt (SIFCO):Valorisation des PAT pour d'autres usages = 0 kt (SIFCO):Valorisation des CGA par les autres IAA = 0 kt (SIFCO):Valorisation des CGA en alimentation animale rente = 0 kt (SIFCO):Valorisation des CGA en petfood = 0 kt (SIFCO):Valorisation des CGA en aquaculture = 0 kt (SIFCO):Valorisation des CGA en énergie = 0 kt (SIFCO):Valorisation des CGA par les autres industries = 0 kt (SIFCO):Valorisation des CGA pour d'autres usages = 0 kt (SIFCO):Part de PAT exportées = 47,29 % (SIFCO):Part de CGA exportées = 70,41 % (SIFCO):Part de PAT exportées = 58 % (SIFCO):Part de CGA exportées = 78 % (SIFCO):Part de PAT exportées = 66 % (SIFCO):Part de viande fraîche consommée en boucherie = 50 % (Kantar):Part de viande fraîche consommée en GMS = 50 % (Kantar):Part de viande congelée consommée par les autres IAA = 100 % (A dire d'expert):Part des abats consommée en petfood = 100 % (A dire d'expert):Part de la production de viande congelée = 10 % (A dire d'expert)</v>
      </c>
      <c r="H8" t="str" cm="1">
        <f t="array" aca="1" ref="H8" ca="1">IF(IF(INDIRECT("'"&amp;Etiquettes!H13&amp;"'"&amp;"!n1")=$A$8,_xlfn.TEXTJOIN(":",TRUE,_xlfn.UNIQUE(INDIRECT("'"&amp;Etiquettes!H13&amp;"'"&amp;"!n2:n1000"))),"")="0","",IF(INDIRECT("'"&amp;Etiquettes!H13&amp;"'"&amp;"!n1")=$A$8,_xlfn.TEXTJOIN(":",TRUE,_xlfn.UNIQUE(INDIRECT("'"&amp;Etiquettes!H13&amp;"'"&amp;"!n2:n1000"))),""))</f>
        <v/>
      </c>
      <c r="I8" t="str" cm="1">
        <f t="array" aca="1" ref="I8" ca="1">IF(IF(INDIRECT("'"&amp;Etiquettes!I13&amp;"'"&amp;"!n1")=$A$8,_xlfn.TEXTJOIN(":",TRUE,_xlfn.UNIQUE(INDIRECT("'"&amp;Etiquettes!I13&amp;"'"&amp;"!n2:n1000"))),"")="0","",IF(INDIRECT("'"&amp;Etiquettes!I13&amp;"'"&amp;"!n1")=$A$8,_xlfn.TEXTJOIN(":",TRUE,_xlfn.UNIQUE(INDIRECT("'"&amp;Etiquettes!I13&amp;"'"&amp;"!n2:n1000"))),""))</f>
        <v/>
      </c>
      <c r="J8" t="str" cm="1">
        <f t="array" aca="1" ref="J8" ca="1">IF(IF(INDIRECT("'"&amp;Etiquettes!J13&amp;"'"&amp;"!n1")=$A$8,_xlfn.TEXTJOIN(":",TRUE,_xlfn.UNIQUE(INDIRECT("'"&amp;Etiquettes!J13&amp;"'"&amp;"!n2:n1000"))),"")="0","",IF(INDIRECT("'"&amp;Etiquettes!J13&amp;"'"&amp;"!n1")=$A$8,_xlfn.TEXTJOIN(":",TRUE,_xlfn.UNIQUE(INDIRECT("'"&amp;Etiquettes!J13&amp;"'"&amp;"!n2:n1000"))),""))</f>
        <v/>
      </c>
      <c r="K8" t="str" cm="1">
        <f t="array" aca="1" ref="K8" ca="1">IF(IF(INDIRECT("'"&amp;Etiquettes!K13&amp;"'"&amp;"!n1")=$A$8,_xlfn.TEXTJOIN(":",TRUE,_xlfn.UNIQUE(INDIRECT("'"&amp;Etiquettes!K13&amp;"'"&amp;"!n2:n1000"))),"")="0","",IF(INDIRECT("'"&amp;Etiquettes!K13&amp;"'"&amp;"!n1")=$A$8,_xlfn.TEXTJOIN(":",TRUE,_xlfn.UNIQUE(INDIRECT("'"&amp;Etiquettes!K13&amp;"'"&amp;"!n2:n1000"))),""))</f>
        <v/>
      </c>
      <c r="L8" t="str" cm="1">
        <f t="array" aca="1" ref="L8" ca="1">IF(IF(INDIRECT("'"&amp;Etiquettes!L13&amp;"'"&amp;"!n1")=$A$8,_xlfn.TEXTJOIN(":",TRUE,_xlfn.UNIQUE(INDIRECT("'"&amp;Etiquettes!L13&amp;"'"&amp;"!n2:n1000"))),"")="0","",IF(INDIRECT("'"&amp;Etiquettes!L13&amp;"'"&amp;"!n1")=$A$8,_xlfn.TEXTJOIN(":",TRUE,_xlfn.UNIQUE(INDIRECT("'"&amp;Etiquettes!L13&amp;"'"&amp;"!n2:n1000"))),""))</f>
        <v/>
      </c>
      <c r="M8" t="str" cm="1">
        <f t="array" aca="1" ref="M8" ca="1">IF(IF(INDIRECT("'"&amp;Etiquettes!M13&amp;"'"&amp;"!n1")=$A$8,_xlfn.TEXTJOIN(":",TRUE,_xlfn.UNIQUE(INDIRECT("'"&amp;Etiquettes!M13&amp;"'"&amp;"!n2:n1000"))),"")="0","",IF(INDIRECT("'"&amp;Etiquettes!M13&amp;"'"&amp;"!n1")=$A$8,_xlfn.TEXTJOIN(":",TRUE,_xlfn.UNIQUE(INDIRECT("'"&amp;Etiquettes!M13&amp;"'"&amp;"!n2:n1000"))),""))</f>
        <v>Abattages = 8 kt (Agreste - Statistique Agricole Annuelle - SSP):Abattages = 4 kt (Agreste - Statistique Agricole Annuelle - SSP):Abattages = 2 kt (Agreste - Statistique Agricole Annuelle - SSP)</v>
      </c>
      <c r="N8" t="str" cm="1">
        <f t="array" aca="1" ref="N8" ca="1">IF(IF(INDIRECT("'"&amp;Etiquettes!N13&amp;"'"&amp;"!n1")=$A$8,_xlfn.TEXTJOIN(":",TRUE,_xlfn.UNIQUE(INDIRECT("'"&amp;Etiquettes!N13&amp;"'"&amp;"!n2:n1000"))),"")="0","",IF(INDIRECT("'"&amp;Etiquettes!N13&amp;"'"&amp;"!n1")=$A$8,_xlfn.TEXTJOIN(":",TRUE,_xlfn.UNIQUE(INDIRECT("'"&amp;Etiquettes!N13&amp;"'"&amp;"!n2:n1000"))),""))</f>
        <v/>
      </c>
      <c r="O8" t="str" cm="1">
        <f t="array" aca="1" ref="O8" ca="1">IF(IF(INDIRECT("'"&amp;Etiquettes!O13&amp;"'"&amp;"!n1")=$A$8,_xlfn.TEXTJOIN(":",TRUE,_xlfn.UNIQUE(INDIRECT("'"&amp;Etiquettes!O13&amp;"'"&amp;"!n2:n1000"))),"")="0","",IF(INDIRECT("'"&amp;Etiquettes!O13&amp;"'"&amp;"!n1")=$A$8,_xlfn.TEXTJOIN(":",TRUE,_xlfn.UNIQUE(INDIRECT("'"&amp;Etiquettes!O13&amp;"'"&amp;"!n2:n1000"))),""))</f>
        <v>Importations d'équins = 0 kt (Agreste - Statistique Agricole Annuelle - SSP)</v>
      </c>
      <c r="P8" t="str" cm="1">
        <f t="array" aca="1" ref="P8" ca="1">IF(IF(INDIRECT("'"&amp;Etiquettes!P13&amp;"'"&amp;"!n1")=$A$8,_xlfn.TEXTJOIN(":",TRUE,_xlfn.UNIQUE(INDIRECT("'"&amp;Etiquettes!P13&amp;"'"&amp;"!n2:n1000"))),"")="0","",IF(INDIRECT("'"&amp;Etiquettes!P13&amp;"'"&amp;"!n1")=$A$8,_xlfn.TEXTJOIN(":",TRUE,_xlfn.UNIQUE(INDIRECT("'"&amp;Etiquettes!P13&amp;"'"&amp;"!n2:n1000"))),""))</f>
        <v/>
      </c>
      <c r="Q8" t="str" cm="1">
        <f t="array" aca="1" ref="Q8" ca="1">IF(IF(INDIRECT("'"&amp;Etiquettes!Q13&amp;"'"&amp;"!n1")=$A$8,_xlfn.TEXTJOIN(":",TRUE,_xlfn.UNIQUE(INDIRECT("'"&amp;Etiquettes!Q13&amp;"'"&amp;"!n2:n1000"))),"")="0","",IF(INDIRECT("'"&amp;Etiquettes!Q13&amp;"'"&amp;"!n1")=$A$8,_xlfn.TEXTJOIN(":",TRUE,_xlfn.UNIQUE(INDIRECT("'"&amp;Etiquettes!Q13&amp;"'"&amp;"!n2:n1000"))),""))</f>
        <v>Exportations d'équins à destination bouchère = 5 kt (Ifce d'après TRACES, dounaes):Exportations d'équins à destination bouchère = 4 kt (Ifce d'après TRACES, dounaes):Exportations d'équins à destination bouchère = 3 kt (Ifce d'après TRACES, dounaes)</v>
      </c>
      <c r="R8" t="str" cm="1">
        <f t="array" aca="1" ref="R8" ca="1">IF(IF(INDIRECT("'"&amp;Etiquettes!R13&amp;"'"&amp;"!n1")=$A$8,_xlfn.TEXTJOIN(":",TRUE,_xlfn.UNIQUE(INDIRECT("'"&amp;Etiquettes!R13&amp;"'"&amp;"!n2:n1000"))),"")="0","",IF(INDIRECT("'"&amp;Etiquettes!R13&amp;"'"&amp;"!n1")=$A$8,_xlfn.TEXTJOIN(":",TRUE,_xlfn.UNIQUE(INDIRECT("'"&amp;Etiquettes!R13&amp;"'"&amp;"!n2:n1000"))),""))</f>
        <v/>
      </c>
      <c r="S8" t="str" cm="1">
        <f t="array" aca="1" ref="S8" ca="1">IF(IF(INDIRECT("'"&amp;Etiquettes!S13&amp;"'"&amp;"!n1")=$A$8,_xlfn.TEXTJOIN(":",TRUE,_xlfn.UNIQUE(INDIRECT("'"&amp;Etiquettes!S13&amp;"'"&amp;"!n2:n1000"))),"")="0","",IF(INDIRECT("'"&amp;Etiquettes!S13&amp;"'"&amp;"!n1")=$A$8,_xlfn.TEXTJOIN(":",TRUE,_xlfn.UNIQUE(INDIRECT("'"&amp;Etiquettes!S13&amp;"'"&amp;"!n2:n1000"))),""))</f>
        <v/>
      </c>
      <c r="T8" t="str" cm="1">
        <f t="array" aca="1" ref="T8" ca="1">IF(IF(INDIRECT("'"&amp;Etiquettes!T13&amp;"'"&amp;"!n1")=$A$8,_xlfn.TEXTJOIN(":",TRUE,_xlfn.UNIQUE(INDIRECT("'"&amp;Etiquettes!T13&amp;"'"&amp;"!n2:n1000"))),"")="0","",IF(INDIRECT("'"&amp;Etiquettes!T13&amp;"'"&amp;"!n1")=$A$8,_xlfn.TEXTJOIN(":",TRUE,_xlfn.UNIQUE(INDIRECT("'"&amp;Etiquettes!T13&amp;"'"&amp;"!n2:n1000"))),""))</f>
        <v>Importations de viande fraîche = 12 kt (Douanes - Eurostat):Importations de viande congelée = 1 kt (Douanes - Eurostat):Importations d'abats = 0 kt (Douanes - Eurostat):Exportations de viande fraîche = 3 kt (Douanes - Eurostat):Exportations de viande congelée = 1 kt (Douanes - Eurostat):Exportations d'abats = 0 kt (Douanes - Eurostat):Importations de viande fraîche = 9 kt (Douanes - Eurostat):Importations d'abats = 2 kt (Douanes - Eurostat):Exportations de viande fraîche = 1 kt (Douanes - Eurostat):Importations de viande fraîche = 7 kt (Douanes - Eurostat):Importations de viande congelée = 0 kt (Douanes - Eurostat):Exportations de viande fraîche = 2 kt (Douanes - Eurostat):Exportations de viande congelée = 0 kt (Douanes - Eurostat)</v>
      </c>
      <c r="U8" t="str" cm="1">
        <f t="array" aca="1" ref="U8" ca="1">IF(IF(INDIRECT("'"&amp;Etiquettes!U13&amp;"'"&amp;"!n1")=$A$8,_xlfn.TEXTJOIN(":",TRUE,_xlfn.UNIQUE(INDIRECT("'"&amp;Etiquettes!U13&amp;"'"&amp;"!n2:n1000"))),"")="0","",IF(INDIRECT("'"&amp;Etiquettes!U13&amp;"'"&amp;"!n1")=$A$8,_xlfn.TEXTJOIN(":",TRUE,_xlfn.UNIQUE(INDIRECT("'"&amp;Etiquettes!U13&amp;"'"&amp;"!n2:n1000"))),""))</f>
        <v/>
      </c>
      <c r="V8" t="str" cm="1">
        <f t="array" aca="1" ref="V8" ca="1">IF(IF(INDIRECT("'"&amp;Etiquettes!V13&amp;"'"&amp;"!n1")=$A$8,_xlfn.TEXTJOIN(":",TRUE,_xlfn.UNIQUE(INDIRECT("'"&amp;Etiquettes!V13&amp;"'"&amp;"!n2:n1000"))),"")="0","",IF(INDIRECT("'"&amp;Etiquettes!V13&amp;"'"&amp;"!n1")=$A$8,_xlfn.TEXTJOIN(":",TRUE,_xlfn.UNIQUE(INDIRECT("'"&amp;Etiquettes!V13&amp;"'"&amp;"!n2:n1000"))),""))</f>
        <v/>
      </c>
      <c r="W8" t="str" cm="1">
        <f t="array" aca="1" ref="W8" ca="1">IF(IF(INDIRECT("'"&amp;Etiquettes!W13&amp;"'"&amp;"!n1")=$A$8,_xlfn.TEXTJOIN(":",TRUE,_xlfn.UNIQUE(INDIRECT("'"&amp;Etiquettes!W13&amp;"'"&amp;"!n2:n1000"))),"")="0","",IF(INDIRECT("'"&amp;Etiquettes!W13&amp;"'"&amp;"!n1")=$A$8,_xlfn.TEXTJOIN(":",TRUE,_xlfn.UNIQUE(INDIRECT("'"&amp;Etiquettes!W13&amp;"'"&amp;"!n2:n1000"))),""))</f>
        <v/>
      </c>
      <c r="X8" t="str" cm="1">
        <f t="array" aca="1" ref="X8" ca="1">IF(IF(INDIRECT("'"&amp;Etiquettes!X13&amp;"'"&amp;"!n1")=$A$8,_xlfn.TEXTJOIN(":",TRUE,_xlfn.UNIQUE(INDIRECT("'"&amp;Etiquettes!X13&amp;"'"&amp;"!n2:n1000"))),"")="0","",IF(INDIRECT("'"&amp;Etiquettes!X13&amp;"'"&amp;"!n1")=$A$8,_xlfn.TEXTJOIN(":",TRUE,_xlfn.UNIQUE(INDIRECT("'"&amp;Etiquettes!X13&amp;"'"&amp;"!n2:n1000"))),""))</f>
        <v>Rendement en viande de l'abattage-découpe = 36 % (A dire d'expert):Rendement en abats de l'abattage-découpe = 10,25 % (Blézat):Rendement en C1 de l'abattage-découpe = 6,06 % (Blézat):Rendement en C2 de l'abattage-découpe = 0 % (Blézat):Rendement en C3 et alimentaire de l'abattage-découpe = 39,43 % (Blézat):Rendement en peaux de l'abattage-découpe = 7 % (Blézat):Pertes en eau de l'abattage-découpe = 1,26 % (Blézat)</v>
      </c>
      <c r="Y8" t="str" cm="1">
        <f t="array" aca="1" ref="Y8" ca="1">IF(IF(INDIRECT("'"&amp;Etiquettes!Y13&amp;"'"&amp;"!n1")=$A$8,_xlfn.TEXTJOIN(":",TRUE,_xlfn.UNIQUE(INDIRECT("'"&amp;Etiquettes!Y13&amp;"'"&amp;"!n2:n1000"))),"")="0","",IF(INDIRECT("'"&amp;Etiquettes!Y13&amp;"'"&amp;"!n1")=$A$8,_xlfn.TEXTJOIN(":",TRUE,_xlfn.UNIQUE(INDIRECT("'"&amp;Etiquettes!Y13&amp;"'"&amp;"!n2:n1000"))),""))</f>
        <v/>
      </c>
      <c r="Z8" t="str" cm="1">
        <f t="array" aca="1" ref="Z8" ca="1">IF(IF(INDIRECT("'"&amp;Etiquettes!Z13&amp;"'"&amp;"!n1")=$A$8,_xlfn.TEXTJOIN(":",TRUE,_xlfn.UNIQUE(INDIRECT("'"&amp;Etiquettes!Z13&amp;"'"&amp;"!n2:n1000"))),"")="0","",IF(INDIRECT("'"&amp;Etiquettes!Z13&amp;"'"&amp;"!n1")=$A$8,_xlfn.TEXTJOIN(":",TRUE,_xlfn.UNIQUE(INDIRECT("'"&amp;Etiquettes!Z13&amp;"'"&amp;"!n2:n1000"))),""))</f>
        <v>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usages:Valorisation des farines animales en énergie = 0 kt (SIFCO):Valorisation des farines animales en fertilisation = 0 kt (SIFCO):Valorisation des graisses animales en énergie = 0 kt (SIFCO):Valorisation des PAT par les autres IAA = 0 kt (SIFCO):Valorisation des PAT en alimentation animale rente = 0 kt (SIFCO):Valorisation des PAT en petfood = 0 kt (SIFCO):Valorisation des PAT en aquaculture = 0 kt (SIFCO):Valorisation des PAT en énergie = 0 kt (SIFCO):Valorisation des PAT en fertilisation = 0 kt (SIFCO):Valorisation des PAT par les autres industries = 0 kt (SIFCO):Valorisation des PAT pour d'autres usages = 0 kt (SIFCO):Valorisation des CGA par les autres IAA = 0 kt (SIFCO):Valorisation des CGA en alimentation animale rente = 0 kt (SIFCO):Valorisation des CGA en petfood = 0 kt (SIFCO):Valorisation des CGA en aquaculture = 0 kt (SIFCO):Valorisation des CGA en énergie = 0 kt (SIFCO):Valorisation des CGA par les autres industries = 0 kt (SIFCO):Valorisation des CGA pour d'autres usages = 0 kt (SIFCO)</v>
      </c>
      <c r="AA8" t="str" cm="1">
        <f t="array" aca="1" ref="AA8" ca="1">IF(IF(INDIRECT("'"&amp;Etiquettes!AA13&amp;"'"&amp;"!n1")=$A$8,_xlfn.TEXTJOIN(":",TRUE,_xlfn.UNIQUE(INDIRECT("'"&amp;Etiquettes!AA13&amp;"'"&amp;"!n2:n1000"))),"")="0","",IF(INDIRECT("'"&amp;Etiquettes!AA13&amp;"'"&amp;"!n1")=$A$8,_xlfn.TEXTJOIN(":",TRUE,_xlfn.UNIQUE(INDIRECT("'"&amp;Etiquettes!AA13&amp;"'"&amp;"!n2:n1000"))),""))</f>
        <v/>
      </c>
      <c r="AB8" t="str" cm="1">
        <f t="array" aca="1" ref="AB8" ca="1">IF(IF(INDIRECT("'"&amp;Etiquettes!AB13&amp;"'"&amp;"!n1")=$A$8,_xlfn.TEXTJOIN(":",TRUE,_xlfn.UNIQUE(INDIRECT("'"&amp;Etiquettes!AB13&amp;"'"&amp;"!n2:n1000"))),"")="0","",IF(INDIRECT("'"&amp;Etiquettes!AB13&amp;"'"&amp;"!n1")=$A$8,_xlfn.TEXTJOIN(":",TRUE,_xlfn.UNIQUE(INDIRECT("'"&amp;Etiquettes!AB13&amp;"'"&amp;"!n2:n1000"))),""))</f>
        <v>Part de PAT exportées = 47,29 % (SIFCO):Part de CGA exportées = 70,41 % (SIFCO):Part de PAT exportées = 58 % (SIFCO):Part de CGA exportées = 78 % (SIFCO):Part de PAT exportées = 66 % (SIFCO)</v>
      </c>
      <c r="AC8" t="str" cm="1">
        <f t="array" aca="1" ref="AC8" ca="1">IF(IF(INDIRECT("'"&amp;Etiquettes!AC13&amp;"'"&amp;"!n1")=$A$8,_xlfn.TEXTJOIN(":",TRUE,_xlfn.UNIQUE(INDIRECT("'"&amp;Etiquettes!AC13&amp;"'"&amp;"!n2:n1000"))),"")="0","",IF(INDIRECT("'"&amp;Etiquettes!AC13&amp;"'"&amp;"!n1")=$A$8,_xlfn.TEXTJOIN(":",TRUE,_xlfn.UNIQUE(INDIRECT("'"&amp;Etiquettes!AC13&amp;"'"&amp;"!n2:n1000"))),""))</f>
        <v/>
      </c>
      <c r="AD8" t="str" cm="1">
        <f t="array" aca="1" ref="AD8" ca="1">IF(IF(INDIRECT("'"&amp;Etiquettes!AD13&amp;"'"&amp;"!n1")=$A$8,_xlfn.TEXTJOIN(":",TRUE,_xlfn.UNIQUE(INDIRECT("'"&amp;Etiquettes!AD13&amp;"'"&amp;"!n2:n1000"))),"")="0","",IF(INDIRECT("'"&amp;Etiquettes!AD13&amp;"'"&amp;"!n1")=$A$8,_xlfn.TEXTJOIN(":",TRUE,_xlfn.UNIQUE(INDIRECT("'"&amp;Etiquettes!AD13&amp;"'"&amp;"!n2:n1000"))),""))</f>
        <v/>
      </c>
      <c r="AE8" t="str" cm="1">
        <f t="array" aca="1" ref="AE8" ca="1">IF(IF(INDIRECT("'"&amp;Etiquettes!AE13&amp;"'"&amp;"!n1")=$A$8,_xlfn.TEXTJOIN(":",TRUE,_xlfn.UNIQUE(INDIRECT("'"&amp;Etiquettes!AE13&amp;"'"&amp;"!n2:n1000"))),"")="0","",IF(INDIRECT("'"&amp;Etiquettes!AE13&amp;"'"&amp;"!n1")=$A$8,_xlfn.TEXTJOIN(":",TRUE,_xlfn.UNIQUE(INDIRECT("'"&amp;Etiquettes!AE13&amp;"'"&amp;"!n2:n1000"))),""))</f>
        <v>Part de viande fraîche consommée en boucherie = 50 % (Kantar):Part de viande fraîche consommée en GMS = 50 % (Kantar):Part de viande congelée consommée par les autres IAA = 100 % (A dire d'expert):Part des abats consommée en petfood = 100 % (A dire d'expert):Part de la production de viande congelée = 10 % (A dire d'expert)</v>
      </c>
      <c r="AF8" t="str" cm="1">
        <f t="array" aca="1" ref="AF8" ca="1">IF(IF(INDIRECT("'"&amp;Etiquettes!AF13&amp;"'"&amp;"!n1")=$A$8,_xlfn.TEXTJOIN(":",TRUE,_xlfn.UNIQUE(INDIRECT("'"&amp;Etiquettes!AF13&amp;"'"&amp;"!n2:n1000"))),"")="0","",IF(INDIRECT("'"&amp;Etiquettes!AF13&amp;"'"&amp;"!n1")=$A$8,_xlfn.TEXTJOIN(":",TRUE,_xlfn.UNIQUE(INDIRECT("'"&amp;Etiquettes!AF13&amp;"'"&amp;"!n2:n1000"))),""))</f>
        <v/>
      </c>
      <c r="AG8" t="str" cm="1">
        <f t="array" aca="1" ref="AG8" ca="1">IF(IF(INDIRECT("'"&amp;Etiquettes!AG13&amp;"'"&amp;"!n1")=$A$8,_xlfn.TEXTJOIN(":",TRUE,_xlfn.UNIQUE(INDIRECT("'"&amp;Etiquettes!AG13&amp;"'"&amp;"!n2:n1000"))),"")="0","",IF(INDIRECT("'"&amp;Etiquettes!AG13&amp;"'"&amp;"!n1")=$A$8,_xlfn.TEXTJOIN(":",TRUE,_xlfn.UNIQUE(INDIRECT("'"&amp;Etiquettes!AG13&amp;"'"&amp;"!n2:n1000"))),""))</f>
        <v/>
      </c>
    </row>
    <row r="9" spans="1:33">
      <c r="A9" t="s">
        <v>24</v>
      </c>
      <c r="B9" s="63" t="s">
        <v>44</v>
      </c>
      <c r="C9" t="str">
        <f ca="1">_xlfn.TEXTJOIN(":",TRUE,H9:CS9)</f>
        <v>Agreste - Statistique Agricole Annuelle - SSP:Agreste - Statistique Agricole Annuelle - SSP:Ifce d'après TRACES, dounaes:Douanes - Eurostat:A dire d'expert:Blézat:SIFCO:SIFCO:Kantar:A dire d'expert:Ifce + hypothèse de modélisation</v>
      </c>
      <c r="H9" t="str" cm="1">
        <f t="array" aca="1" ref="H9" ca="1">IF(IF(INDIRECT("'"&amp;Etiquettes!H13&amp;"'"&amp;"!k1")=$A$9,_xlfn.TEXTJOIN(":",TRUE,_xlfn.UNIQUE(INDIRECT("'"&amp;Etiquettes!H13&amp;"'"&amp;"!k2:k1000"))),"")="0","",IF(INDIRECT("'"&amp;Etiquettes!H13&amp;"'"&amp;"!k1")=$A$9,_xlfn.TEXTJOIN(":",TRUE,_xlfn.UNIQUE(INDIRECT("'"&amp;Etiquettes!H13&amp;"'"&amp;"!k2:k1000"))),""))</f>
        <v/>
      </c>
      <c r="I9" t="str" cm="1">
        <f t="array" aca="1" ref="I9" ca="1">IF(IF(INDIRECT("'"&amp;Etiquettes!I13&amp;"'"&amp;"!k1")=$A$9,_xlfn.TEXTJOIN(":",TRUE,_xlfn.UNIQUE(INDIRECT("'"&amp;Etiquettes!I13&amp;"'"&amp;"!k2:k1000"))),"")="0","",IF(INDIRECT("'"&amp;Etiquettes!I13&amp;"'"&amp;"!k1")=$A$9,_xlfn.TEXTJOIN(":",TRUE,_xlfn.UNIQUE(INDIRECT("'"&amp;Etiquettes!I13&amp;"'"&amp;"!k2:k1000"))),""))</f>
        <v/>
      </c>
      <c r="J9" t="str" cm="1">
        <f t="array" aca="1" ref="J9" ca="1">IF(IF(INDIRECT("'"&amp;Etiquettes!J13&amp;"'"&amp;"!k1")=$A$9,_xlfn.TEXTJOIN(":",TRUE,_xlfn.UNIQUE(INDIRECT("'"&amp;Etiquettes!J13&amp;"'"&amp;"!k2:k1000"))),"")="0","",IF(INDIRECT("'"&amp;Etiquettes!J13&amp;"'"&amp;"!k1")=$A$9,_xlfn.TEXTJOIN(":",TRUE,_xlfn.UNIQUE(INDIRECT("'"&amp;Etiquettes!J13&amp;"'"&amp;"!k2:k1000"))),""))</f>
        <v/>
      </c>
      <c r="K9" t="str" cm="1">
        <f t="array" aca="1" ref="K9" ca="1">IF(IF(INDIRECT("'"&amp;Etiquettes!K13&amp;"'"&amp;"!k1")=$A$9,_xlfn.TEXTJOIN(":",TRUE,_xlfn.UNIQUE(INDIRECT("'"&amp;Etiquettes!K13&amp;"'"&amp;"!k2:k1000"))),"")="0","",IF(INDIRECT("'"&amp;Etiquettes!K13&amp;"'"&amp;"!k1")=$A$9,_xlfn.TEXTJOIN(":",TRUE,_xlfn.UNIQUE(INDIRECT("'"&amp;Etiquettes!K13&amp;"'"&amp;"!k2:k1000"))),""))</f>
        <v/>
      </c>
      <c r="L9" t="str" cm="1">
        <f t="array" aca="1" ref="L9" ca="1">IF(IF(INDIRECT("'"&amp;Etiquettes!L13&amp;"'"&amp;"!k1")=$A$9,_xlfn.TEXTJOIN(":",TRUE,_xlfn.UNIQUE(INDIRECT("'"&amp;Etiquettes!L13&amp;"'"&amp;"!k2:k1000"))),"")="0","",IF(INDIRECT("'"&amp;Etiquettes!L13&amp;"'"&amp;"!k1")=$A$9,_xlfn.TEXTJOIN(":",TRUE,_xlfn.UNIQUE(INDIRECT("'"&amp;Etiquettes!L13&amp;"'"&amp;"!k2:k1000"))),""))</f>
        <v/>
      </c>
      <c r="M9" t="str" cm="1">
        <f t="array" aca="1" ref="M9" ca="1">IF(IF(INDIRECT("'"&amp;Etiquettes!M13&amp;"'"&amp;"!k1")=$A$9,_xlfn.TEXTJOIN(":",TRUE,_xlfn.UNIQUE(INDIRECT("'"&amp;Etiquettes!M13&amp;"'"&amp;"!k2:k1000"))),"")="0","",IF(INDIRECT("'"&amp;Etiquettes!M13&amp;"'"&amp;"!k1")=$A$9,_xlfn.TEXTJOIN(":",TRUE,_xlfn.UNIQUE(INDIRECT("'"&amp;Etiquettes!M13&amp;"'"&amp;"!k2:k1000"))),""))</f>
        <v>Agreste - Statistique Agricole Annuelle - SSP</v>
      </c>
      <c r="N9" t="str" cm="1">
        <f t="array" aca="1" ref="N9" ca="1">IF(IF(INDIRECT("'"&amp;Etiquettes!N13&amp;"'"&amp;"!k1")=$A$9,_xlfn.TEXTJOIN(":",TRUE,_xlfn.UNIQUE(INDIRECT("'"&amp;Etiquettes!N13&amp;"'"&amp;"!k2:k1000"))),"")="0","",IF(INDIRECT("'"&amp;Etiquettes!N13&amp;"'"&amp;"!k1")=$A$9,_xlfn.TEXTJOIN(":",TRUE,_xlfn.UNIQUE(INDIRECT("'"&amp;Etiquettes!N13&amp;"'"&amp;"!k2:k1000"))),""))</f>
        <v/>
      </c>
      <c r="O9" t="str" cm="1">
        <f t="array" aca="1" ref="O9" ca="1">IF(IF(INDIRECT("'"&amp;Etiquettes!O13&amp;"'"&amp;"!k1")=$A$9,_xlfn.TEXTJOIN(":",TRUE,_xlfn.UNIQUE(INDIRECT("'"&amp;Etiquettes!O13&amp;"'"&amp;"!k2:k1000"))),"")="0","",IF(INDIRECT("'"&amp;Etiquettes!O13&amp;"'"&amp;"!k1")=$A$9,_xlfn.TEXTJOIN(":",TRUE,_xlfn.UNIQUE(INDIRECT("'"&amp;Etiquettes!O13&amp;"'"&amp;"!k2:k1000"))),""))</f>
        <v>Agreste - Statistique Agricole Annuelle - SSP</v>
      </c>
      <c r="P9" t="str" cm="1">
        <f t="array" aca="1" ref="P9" ca="1">IF(IF(INDIRECT("'"&amp;Etiquettes!P13&amp;"'"&amp;"!k1")=$A$9,_xlfn.TEXTJOIN(":",TRUE,_xlfn.UNIQUE(INDIRECT("'"&amp;Etiquettes!P13&amp;"'"&amp;"!k2:k1000"))),"")="0","",IF(INDIRECT("'"&amp;Etiquettes!P13&amp;"'"&amp;"!k1")=$A$9,_xlfn.TEXTJOIN(":",TRUE,_xlfn.UNIQUE(INDIRECT("'"&amp;Etiquettes!P13&amp;"'"&amp;"!k2:k1000"))),""))</f>
        <v/>
      </c>
      <c r="Q9" t="str" cm="1">
        <f t="array" aca="1" ref="Q9" ca="1">IF(IF(INDIRECT("'"&amp;Etiquettes!Q13&amp;"'"&amp;"!k1")=$A$9,_xlfn.TEXTJOIN(":",TRUE,_xlfn.UNIQUE(INDIRECT("'"&amp;Etiquettes!Q13&amp;"'"&amp;"!k2:k1000"))),"")="0","",IF(INDIRECT("'"&amp;Etiquettes!Q13&amp;"'"&amp;"!k1")=$A$9,_xlfn.TEXTJOIN(":",TRUE,_xlfn.UNIQUE(INDIRECT("'"&amp;Etiquettes!Q13&amp;"'"&amp;"!k2:k1000"))),""))</f>
        <v>Ifce d'après TRACES, dounaes</v>
      </c>
      <c r="R9" t="str" cm="1">
        <f t="array" aca="1" ref="R9" ca="1">IF(IF(INDIRECT("'"&amp;Etiquettes!R13&amp;"'"&amp;"!k1")=$A$9,_xlfn.TEXTJOIN(":",TRUE,_xlfn.UNIQUE(INDIRECT("'"&amp;Etiquettes!R13&amp;"'"&amp;"!k2:k1000"))),"")="0","",IF(INDIRECT("'"&amp;Etiquettes!R13&amp;"'"&amp;"!k1")=$A$9,_xlfn.TEXTJOIN(":",TRUE,_xlfn.UNIQUE(INDIRECT("'"&amp;Etiquettes!R13&amp;"'"&amp;"!k2:k1000"))),""))</f>
        <v/>
      </c>
      <c r="S9" t="str" cm="1">
        <f t="array" aca="1" ref="S9" ca="1">IF(IF(INDIRECT("'"&amp;Etiquettes!S13&amp;"'"&amp;"!k1")=$A$9,_xlfn.TEXTJOIN(":",TRUE,_xlfn.UNIQUE(INDIRECT("'"&amp;Etiquettes!S13&amp;"'"&amp;"!k2:k1000"))),"")="0","",IF(INDIRECT("'"&amp;Etiquettes!S13&amp;"'"&amp;"!k1")=$A$9,_xlfn.TEXTJOIN(":",TRUE,_xlfn.UNIQUE(INDIRECT("'"&amp;Etiquettes!S13&amp;"'"&amp;"!k2:k1000"))),""))</f>
        <v/>
      </c>
      <c r="T9" t="str" cm="1">
        <f t="array" aca="1" ref="T9" ca="1">IF(IF(INDIRECT("'"&amp;Etiquettes!T13&amp;"'"&amp;"!k1")=$A$9,_xlfn.TEXTJOIN(":",TRUE,_xlfn.UNIQUE(INDIRECT("'"&amp;Etiquettes!T13&amp;"'"&amp;"!k2:k1000"))),"")="0","",IF(INDIRECT("'"&amp;Etiquettes!T13&amp;"'"&amp;"!k1")=$A$9,_xlfn.TEXTJOIN(":",TRUE,_xlfn.UNIQUE(INDIRECT("'"&amp;Etiquettes!T13&amp;"'"&amp;"!k2:k1000"))),""))</f>
        <v>Douanes - Eurostat</v>
      </c>
      <c r="U9" t="str" cm="1">
        <f t="array" aca="1" ref="U9" ca="1">IF(IF(INDIRECT("'"&amp;Etiquettes!U13&amp;"'"&amp;"!k1")=$A$9,_xlfn.TEXTJOIN(":",TRUE,_xlfn.UNIQUE(INDIRECT("'"&amp;Etiquettes!U13&amp;"'"&amp;"!k2:k1000"))),"")="0","",IF(INDIRECT("'"&amp;Etiquettes!U13&amp;"'"&amp;"!k1")=$A$9,_xlfn.TEXTJOIN(":",TRUE,_xlfn.UNIQUE(INDIRECT("'"&amp;Etiquettes!U13&amp;"'"&amp;"!k2:k1000"))),""))</f>
        <v/>
      </c>
      <c r="V9" t="str" cm="1">
        <f t="array" aca="1" ref="V9" ca="1">IF(IF(INDIRECT("'"&amp;Etiquettes!V13&amp;"'"&amp;"!k1")=$A$9,_xlfn.TEXTJOIN(":",TRUE,_xlfn.UNIQUE(INDIRECT("'"&amp;Etiquettes!V13&amp;"'"&amp;"!k2:k1000"))),"")="0","",IF(INDIRECT("'"&amp;Etiquettes!V13&amp;"'"&amp;"!k1")=$A$9,_xlfn.TEXTJOIN(":",TRUE,_xlfn.UNIQUE(INDIRECT("'"&amp;Etiquettes!V13&amp;"'"&amp;"!k2:k1000"))),""))</f>
        <v/>
      </c>
      <c r="W9" t="str" cm="1">
        <f t="array" aca="1" ref="W9" ca="1">IF(IF(INDIRECT("'"&amp;Etiquettes!W13&amp;"'"&amp;"!k1")=$A$9,_xlfn.TEXTJOIN(":",TRUE,_xlfn.UNIQUE(INDIRECT("'"&amp;Etiquettes!W13&amp;"'"&amp;"!k2:k1000"))),"")="0","",IF(INDIRECT("'"&amp;Etiquettes!W13&amp;"'"&amp;"!k1")=$A$9,_xlfn.TEXTJOIN(":",TRUE,_xlfn.UNIQUE(INDIRECT("'"&amp;Etiquettes!W13&amp;"'"&amp;"!k2:k1000"))),""))</f>
        <v/>
      </c>
      <c r="X9" t="str" cm="1">
        <f t="array" aca="1" ref="X9" ca="1">IF(IF(INDIRECT("'"&amp;Etiquettes!X13&amp;"'"&amp;"!k1")=$A$9,_xlfn.TEXTJOIN(":",TRUE,_xlfn.UNIQUE(INDIRECT("'"&amp;Etiquettes!X13&amp;"'"&amp;"!k2:k1000"))),"")="0","",IF(INDIRECT("'"&amp;Etiquettes!X13&amp;"'"&amp;"!k1")=$A$9,_xlfn.TEXTJOIN(":",TRUE,_xlfn.UNIQUE(INDIRECT("'"&amp;Etiquettes!X13&amp;"'"&amp;"!k2:k1000"))),""))</f>
        <v>A dire d'expert:Blézat</v>
      </c>
      <c r="Y9" t="str" cm="1">
        <f t="array" aca="1" ref="Y9" ca="1">IF(IF(INDIRECT("'"&amp;Etiquettes!Y13&amp;"'"&amp;"!k1")=$A$9,_xlfn.TEXTJOIN(":",TRUE,_xlfn.UNIQUE(INDIRECT("'"&amp;Etiquettes!Y13&amp;"'"&amp;"!k2:k1000"))),"")="0","",IF(INDIRECT("'"&amp;Etiquettes!Y13&amp;"'"&amp;"!k1")=$A$9,_xlfn.TEXTJOIN(":",TRUE,_xlfn.UNIQUE(INDIRECT("'"&amp;Etiquettes!Y13&amp;"'"&amp;"!k2:k1000"))),""))</f>
        <v/>
      </c>
      <c r="Z9" t="str" cm="1">
        <f t="array" aca="1" ref="Z9" ca="1">IF(IF(INDIRECT("'"&amp;Etiquettes!Z13&amp;"'"&amp;"!k1")=$A$9,_xlfn.TEXTJOIN(":",TRUE,_xlfn.UNIQUE(INDIRECT("'"&amp;Etiquettes!Z13&amp;"'"&amp;"!k2:k1000"))),"")="0","",IF(INDIRECT("'"&amp;Etiquettes!Z13&amp;"'"&amp;"!k1")=$A$9,_xlfn.TEXTJOIN(":",TRUE,_xlfn.UNIQUE(INDIRECT("'"&amp;Etiquettes!Z13&amp;"'"&amp;"!k2:k1000"))),""))</f>
        <v>SIFCO</v>
      </c>
      <c r="AA9" t="str" cm="1">
        <f t="array" aca="1" ref="AA9" ca="1">IF(IF(INDIRECT("'"&amp;Etiquettes!AA13&amp;"'"&amp;"!k1")=$A$9,_xlfn.TEXTJOIN(":",TRUE,_xlfn.UNIQUE(INDIRECT("'"&amp;Etiquettes!AA13&amp;"'"&amp;"!k2:k1000"))),"")="0","",IF(INDIRECT("'"&amp;Etiquettes!AA13&amp;"'"&amp;"!k1")=$A$9,_xlfn.TEXTJOIN(":",TRUE,_xlfn.UNIQUE(INDIRECT("'"&amp;Etiquettes!AA13&amp;"'"&amp;"!k2:k1000"))),""))</f>
        <v/>
      </c>
      <c r="AB9" t="str" cm="1">
        <f t="array" aca="1" ref="AB9" ca="1">IF(IF(INDIRECT("'"&amp;Etiquettes!AB13&amp;"'"&amp;"!k1")=$A$9,_xlfn.TEXTJOIN(":",TRUE,_xlfn.UNIQUE(INDIRECT("'"&amp;Etiquettes!AB13&amp;"'"&amp;"!k2:k1000"))),"")="0","",IF(INDIRECT("'"&amp;Etiquettes!AB13&amp;"'"&amp;"!k1")=$A$9,_xlfn.TEXTJOIN(":",TRUE,_xlfn.UNIQUE(INDIRECT("'"&amp;Etiquettes!AB13&amp;"'"&amp;"!k2:k1000"))),""))</f>
        <v>SIFCO</v>
      </c>
      <c r="AC9" t="str" cm="1">
        <f t="array" aca="1" ref="AC9" ca="1">IF(IF(INDIRECT("'"&amp;Etiquettes!AC13&amp;"'"&amp;"!k1")=$A$9,_xlfn.TEXTJOIN(":",TRUE,_xlfn.UNIQUE(INDIRECT("'"&amp;Etiquettes!AC13&amp;"'"&amp;"!k2:k1000"))),"")="0","",IF(INDIRECT("'"&amp;Etiquettes!AC13&amp;"'"&amp;"!k1")=$A$9,_xlfn.TEXTJOIN(":",TRUE,_xlfn.UNIQUE(INDIRECT("'"&amp;Etiquettes!AC13&amp;"'"&amp;"!k2:k1000"))),""))</f>
        <v/>
      </c>
      <c r="AD9" t="str" cm="1">
        <f t="array" aca="1" ref="AD9" ca="1">IF(IF(INDIRECT("'"&amp;Etiquettes!AD13&amp;"'"&amp;"!k1")=$A$9,_xlfn.TEXTJOIN(":",TRUE,_xlfn.UNIQUE(INDIRECT("'"&amp;Etiquettes!AD13&amp;"'"&amp;"!k2:k1000"))),"")="0","",IF(INDIRECT("'"&amp;Etiquettes!AD13&amp;"'"&amp;"!k1")=$A$9,_xlfn.TEXTJOIN(":",TRUE,_xlfn.UNIQUE(INDIRECT("'"&amp;Etiquettes!AD13&amp;"'"&amp;"!k2:k1000"))),""))</f>
        <v/>
      </c>
      <c r="AE9" t="str" cm="1">
        <f t="array" aca="1" ref="AE9" ca="1">IF(IF(INDIRECT("'"&amp;Etiquettes!AE13&amp;"'"&amp;"!k1")=$A$9,_xlfn.TEXTJOIN(":",TRUE,_xlfn.UNIQUE(INDIRECT("'"&amp;Etiquettes!AE13&amp;"'"&amp;"!k2:k1000"))),"")="0","",IF(INDIRECT("'"&amp;Etiquettes!AE13&amp;"'"&amp;"!k1")=$A$9,_xlfn.TEXTJOIN(":",TRUE,_xlfn.UNIQUE(INDIRECT("'"&amp;Etiquettes!AE13&amp;"'"&amp;"!k2:k1000"))),""))</f>
        <v>Kantar:A dire d'expert</v>
      </c>
      <c r="AF9" t="str" cm="1">
        <f t="array" aca="1" ref="AF9" ca="1">IF(IF(INDIRECT("'"&amp;Etiquettes!AF13&amp;"'"&amp;"!k1")=$A$9,_xlfn.TEXTJOIN(":",TRUE,_xlfn.UNIQUE(INDIRECT("'"&amp;Etiquettes!AF13&amp;"'"&amp;"!k2:k1000"))),"")="0","",IF(INDIRECT("'"&amp;Etiquettes!AF13&amp;"'"&amp;"!k1")=$A$9,_xlfn.TEXTJOIN(":",TRUE,_xlfn.UNIQUE(INDIRECT("'"&amp;Etiquettes!AF13&amp;"'"&amp;"!k2:k1000"))),""))</f>
        <v/>
      </c>
      <c r="AG9" t="str" cm="1">
        <f t="array" aca="1" ref="AG9" ca="1">IF(IF(INDIRECT("'"&amp;Etiquettes!AG13&amp;"'"&amp;"!k1")=$A$9,_xlfn.TEXTJOIN(":",TRUE,_xlfn.UNIQUE(INDIRECT("'"&amp;Etiquettes!AG13&amp;"'"&amp;"!k2:k1000"))),"")="0","",IF(INDIRECT("'"&amp;Etiquettes!AG13&amp;"'"&amp;"!k1")=$A$9,_xlfn.TEXTJOIN(":",TRUE,_xlfn.UNIQUE(INDIRECT("'"&amp;Etiquettes!AG13&amp;"'"&amp;"!k2:k1000"))),""))</f>
        <v>Ifce + hypothèse de modélisation</v>
      </c>
    </row>
    <row r="10" spans="1:33">
      <c r="A10" t="s">
        <v>4</v>
      </c>
      <c r="B10" s="63" t="s">
        <v>44</v>
      </c>
      <c r="C10" t="str">
        <f ca="1">_xlfn.TEXTJOIN(":",TRUE,H10:CS10)</f>
        <v>Les importations de viande congelées manquantes afin de garantir des approvisionnements égaux aux usages pour la viande congelée ont été retranchées:Les importations de viande congelées manquantes afin de garantir des approvisionnements égaux aux usages pour la viande congelée ont été ajoutées:Statistique comprenant également les ovins et caprins = extrapolation à partir de la production d'abats de chaque espèce:0:Même répartition que le veau (rendements d'abattage et de découpe proches) pour les autres produits et coproduits que la viande:Utilisation du volume 2018:Statistique comprenant également les autres espèces ainsi que les exportations = extrapolation à partir de la production de C3 de chaque espèce et des exportations tous débouchés confondus:Extrapolation à partir des exportations tous débouchés confondus:Cette répartition correspond plus excatement à la répartition des achats, l'hypothèse est que celle à la distribution est similaire.:0:Consommation des autres IAA inconnue (négligée en volume dans le modèle)</v>
      </c>
      <c r="H10" t="str" cm="1">
        <f t="array" aca="1" ref="H10" ca="1">IF(IF(INDIRECT("'"&amp;Etiquettes!H13&amp;"'"&amp;"!j1")=$A$10,_xlfn.TEXTJOIN(":",TRUE,_xlfn.UNIQUE(INDIRECT("'"&amp;Etiquettes!H13&amp;"'"&amp;"!j2:j1000"))),"")="0","",IF(INDIRECT("'"&amp;Etiquettes!H13&amp;"'"&amp;"!j1")=$A$10,_xlfn.TEXTJOIN(":",TRUE,_xlfn.UNIQUE(INDIRECT("'"&amp;Etiquettes!H13&amp;"'"&amp;"!j2:j1000"))),""))</f>
        <v/>
      </c>
      <c r="I10" t="str" cm="1">
        <f t="array" aca="1" ref="I10" ca="1">IF(IF(INDIRECT("'"&amp;Etiquettes!I13&amp;"'"&amp;"!j1")=$A$10,_xlfn.TEXTJOIN(":",TRUE,_xlfn.UNIQUE(INDIRECT("'"&amp;Etiquettes!I13&amp;"'"&amp;"!j2:j1000"))),"")="0","",IF(INDIRECT("'"&amp;Etiquettes!I13&amp;"'"&amp;"!j1")=$A$10,_xlfn.TEXTJOIN(":",TRUE,_xlfn.UNIQUE(INDIRECT("'"&amp;Etiquettes!I13&amp;"'"&amp;"!j2:j1000"))),""))</f>
        <v/>
      </c>
      <c r="J10" t="str" cm="1">
        <f t="array" aca="1" ref="J10" ca="1">IF(IF(INDIRECT("'"&amp;Etiquettes!J13&amp;"'"&amp;"!j1")=$A$10,_xlfn.TEXTJOIN(":",TRUE,_xlfn.UNIQUE(INDIRECT("'"&amp;Etiquettes!J13&amp;"'"&amp;"!j2:j1000"))),"")="0","",IF(INDIRECT("'"&amp;Etiquettes!J13&amp;"'"&amp;"!j1")=$A$10,_xlfn.TEXTJOIN(":",TRUE,_xlfn.UNIQUE(INDIRECT("'"&amp;Etiquettes!J13&amp;"'"&amp;"!j2:j1000"))),""))</f>
        <v/>
      </c>
      <c r="K10" t="str" cm="1">
        <f t="array" aca="1" ref="K10" ca="1">IF(IF(INDIRECT("'"&amp;Etiquettes!K13&amp;"'"&amp;"!j1")=$A$10,_xlfn.TEXTJOIN(":",TRUE,_xlfn.UNIQUE(INDIRECT("'"&amp;Etiquettes!K13&amp;"'"&amp;"!j2:j1000"))),"")="0","",IF(INDIRECT("'"&amp;Etiquettes!K13&amp;"'"&amp;"!j1")=$A$10,_xlfn.TEXTJOIN(":",TRUE,_xlfn.UNIQUE(INDIRECT("'"&amp;Etiquettes!K13&amp;"'"&amp;"!j2:j1000"))),""))</f>
        <v/>
      </c>
      <c r="L10" t="str" cm="1">
        <f t="array" aca="1" ref="L10" ca="1">IF(IF(INDIRECT("'"&amp;Etiquettes!L13&amp;"'"&amp;"!j1")=$A$10,_xlfn.TEXTJOIN(":",TRUE,_xlfn.UNIQUE(INDIRECT("'"&amp;Etiquettes!L13&amp;"'"&amp;"!j2:j1000"))),"")="0","",IF(INDIRECT("'"&amp;Etiquettes!L13&amp;"'"&amp;"!j1")=$A$10,_xlfn.TEXTJOIN(":",TRUE,_xlfn.UNIQUE(INDIRECT("'"&amp;Etiquettes!L13&amp;"'"&amp;"!j2:j1000"))),""))</f>
        <v/>
      </c>
      <c r="M10" t="str" cm="1">
        <f t="array" aca="1" ref="M10" ca="1">IF(IF(INDIRECT("'"&amp;Etiquettes!M13&amp;"'"&amp;"!j1")=$A$10,_xlfn.TEXTJOIN(":",TRUE,_xlfn.UNIQUE(INDIRECT("'"&amp;Etiquettes!M13&amp;"'"&amp;"!j2:j1000"))),"")="0","",IF(INDIRECT("'"&amp;Etiquettes!M13&amp;"'"&amp;"!j1")=$A$10,_xlfn.TEXTJOIN(":",TRUE,_xlfn.UNIQUE(INDIRECT("'"&amp;Etiquettes!M13&amp;"'"&amp;"!j2:j1000"))),""))</f>
        <v/>
      </c>
      <c r="N10" t="str" cm="1">
        <f t="array" aca="1" ref="N10" ca="1">IF(IF(INDIRECT("'"&amp;Etiquettes!N13&amp;"'"&amp;"!j1")=$A$10,_xlfn.TEXTJOIN(":",TRUE,_xlfn.UNIQUE(INDIRECT("'"&amp;Etiquettes!N13&amp;"'"&amp;"!j2:j1000"))),"")="0","",IF(INDIRECT("'"&amp;Etiquettes!N13&amp;"'"&amp;"!j1")=$A$10,_xlfn.TEXTJOIN(":",TRUE,_xlfn.UNIQUE(INDIRECT("'"&amp;Etiquettes!N13&amp;"'"&amp;"!j2:j1000"))),""))</f>
        <v/>
      </c>
      <c r="O10" t="str" cm="1">
        <f t="array" aca="1" ref="O10" ca="1">IF(IF(INDIRECT("'"&amp;Etiquettes!O13&amp;"'"&amp;"!j1")=$A$10,_xlfn.TEXTJOIN(":",TRUE,_xlfn.UNIQUE(INDIRECT("'"&amp;Etiquettes!O13&amp;"'"&amp;"!j2:j1000"))),"")="0","",IF(INDIRECT("'"&amp;Etiquettes!O13&amp;"'"&amp;"!j1")=$A$10,_xlfn.TEXTJOIN(":",TRUE,_xlfn.UNIQUE(INDIRECT("'"&amp;Etiquettes!O13&amp;"'"&amp;"!j2:j1000"))),""))</f>
        <v/>
      </c>
      <c r="P10" t="str" cm="1">
        <f t="array" aca="1" ref="P10" ca="1">IF(IF(INDIRECT("'"&amp;Etiquettes!P13&amp;"'"&amp;"!j1")=$A$10,_xlfn.TEXTJOIN(":",TRUE,_xlfn.UNIQUE(INDIRECT("'"&amp;Etiquettes!P13&amp;"'"&amp;"!j2:j1000"))),"")="0","",IF(INDIRECT("'"&amp;Etiquettes!P13&amp;"'"&amp;"!j1")=$A$10,_xlfn.TEXTJOIN(":",TRUE,_xlfn.UNIQUE(INDIRECT("'"&amp;Etiquettes!P13&amp;"'"&amp;"!j2:j1000"))),""))</f>
        <v/>
      </c>
      <c r="Q10" t="str" cm="1">
        <f t="array" aca="1" ref="Q10" ca="1">IF(IF(INDIRECT("'"&amp;Etiquettes!Q13&amp;"'"&amp;"!j1")=$A$10,_xlfn.TEXTJOIN(":",TRUE,_xlfn.UNIQUE(INDIRECT("'"&amp;Etiquettes!Q13&amp;"'"&amp;"!j2:j1000"))),"")="0","",IF(INDIRECT("'"&amp;Etiquettes!Q13&amp;"'"&amp;"!j1")=$A$10,_xlfn.TEXTJOIN(":",TRUE,_xlfn.UNIQUE(INDIRECT("'"&amp;Etiquettes!Q13&amp;"'"&amp;"!j2:j1000"))),""))</f>
        <v/>
      </c>
      <c r="R10" t="str" cm="1">
        <f t="array" aca="1" ref="R10" ca="1">IF(IF(INDIRECT("'"&amp;Etiquettes!R13&amp;"'"&amp;"!j1")=$A$10,_xlfn.TEXTJOIN(":",TRUE,_xlfn.UNIQUE(INDIRECT("'"&amp;Etiquettes!R13&amp;"'"&amp;"!j2:j1000"))),"")="0","",IF(INDIRECT("'"&amp;Etiquettes!R13&amp;"'"&amp;"!j1")=$A$10,_xlfn.TEXTJOIN(":",TRUE,_xlfn.UNIQUE(INDIRECT("'"&amp;Etiquettes!R13&amp;"'"&amp;"!j2:j1000"))),""))</f>
        <v/>
      </c>
      <c r="S10" t="str" cm="1">
        <f t="array" aca="1" ref="S10" ca="1">IF(IF(INDIRECT("'"&amp;Etiquettes!S13&amp;"'"&amp;"!j1")=$A$10,_xlfn.TEXTJOIN(":",TRUE,_xlfn.UNIQUE(INDIRECT("'"&amp;Etiquettes!S13&amp;"'"&amp;"!j2:j1000"))),"")="0","",IF(INDIRECT("'"&amp;Etiquettes!S13&amp;"'"&amp;"!j1")=$A$10,_xlfn.TEXTJOIN(":",TRUE,_xlfn.UNIQUE(INDIRECT("'"&amp;Etiquettes!S13&amp;"'"&amp;"!j2:j1000"))),""))</f>
        <v/>
      </c>
      <c r="T10" t="str" cm="1">
        <f t="array" aca="1" ref="T10" ca="1">IF(IF(INDIRECT("'"&amp;Etiquettes!T13&amp;"'"&amp;"!j1")=$A$10,_xlfn.TEXTJOIN(":",TRUE,_xlfn.UNIQUE(INDIRECT("'"&amp;Etiquettes!T13&amp;"'"&amp;"!j2:j1000"))),"")="0","",IF(INDIRECT("'"&amp;Etiquettes!T13&amp;"'"&amp;"!j1")=$A$10,_xlfn.TEXTJOIN(":",TRUE,_xlfn.UNIQUE(INDIRECT("'"&amp;Etiquettes!T13&amp;"'"&amp;"!j2:j1000"))),""))</f>
        <v>Les importations de viande congelées manquantes afin de garantir des approvisionnements égaux aux usages pour la viande congelée ont été retranchées:Les importations de viande congelées manquantes afin de garantir des approvisionnements égaux aux usages pour la viande congelée ont été ajoutées:Statistique comprenant également les ovins et caprins = extrapolation à partir de la production d'abats de chaque espèce</v>
      </c>
      <c r="U10" t="str" cm="1">
        <f t="array" aca="1" ref="U10" ca="1">IF(IF(INDIRECT("'"&amp;Etiquettes!U13&amp;"'"&amp;"!j1")=$A$10,_xlfn.TEXTJOIN(":",TRUE,_xlfn.UNIQUE(INDIRECT("'"&amp;Etiquettes!U13&amp;"'"&amp;"!j2:j1000"))),"")="0","",IF(INDIRECT("'"&amp;Etiquettes!U13&amp;"'"&amp;"!j1")=$A$10,_xlfn.TEXTJOIN(":",TRUE,_xlfn.UNIQUE(INDIRECT("'"&amp;Etiquettes!U13&amp;"'"&amp;"!j2:j1000"))),""))</f>
        <v/>
      </c>
      <c r="V10" t="str" cm="1">
        <f t="array" aca="1" ref="V10" ca="1">IF(IF(INDIRECT("'"&amp;Etiquettes!V13&amp;"'"&amp;"!j1")=$A$10,_xlfn.TEXTJOIN(":",TRUE,_xlfn.UNIQUE(INDIRECT("'"&amp;Etiquettes!V13&amp;"'"&amp;"!j2:j1000"))),"")="0","",IF(INDIRECT("'"&amp;Etiquettes!V13&amp;"'"&amp;"!j1")=$A$10,_xlfn.TEXTJOIN(":",TRUE,_xlfn.UNIQUE(INDIRECT("'"&amp;Etiquettes!V13&amp;"'"&amp;"!j2:j1000"))),""))</f>
        <v/>
      </c>
      <c r="W10" t="str" cm="1">
        <f t="array" aca="1" ref="W10" ca="1">IF(IF(INDIRECT("'"&amp;Etiquettes!W13&amp;"'"&amp;"!j1")=$A$10,_xlfn.TEXTJOIN(":",TRUE,_xlfn.UNIQUE(INDIRECT("'"&amp;Etiquettes!W13&amp;"'"&amp;"!j2:j1000"))),"")="0","",IF(INDIRECT("'"&amp;Etiquettes!W13&amp;"'"&amp;"!j1")=$A$10,_xlfn.TEXTJOIN(":",TRUE,_xlfn.UNIQUE(INDIRECT("'"&amp;Etiquettes!W13&amp;"'"&amp;"!j2:j1000"))),""))</f>
        <v/>
      </c>
      <c r="X10" t="str" cm="1">
        <f t="array" aca="1" ref="X10" ca="1">IF(IF(INDIRECT("'"&amp;Etiquettes!X13&amp;"'"&amp;"!j1")=$A$10,_xlfn.TEXTJOIN(":",TRUE,_xlfn.UNIQUE(INDIRECT("'"&amp;Etiquettes!X13&amp;"'"&amp;"!j2:j1000"))),"")="0","",IF(INDIRECT("'"&amp;Etiquettes!X13&amp;"'"&amp;"!j1")=$A$10,_xlfn.TEXTJOIN(":",TRUE,_xlfn.UNIQUE(INDIRECT("'"&amp;Etiquettes!X13&amp;"'"&amp;"!j2:j1000"))),""))</f>
        <v>0:Même répartition que le veau (rendements d'abattage et de découpe proches) pour les autres produits et coproduits que la viande</v>
      </c>
      <c r="Y10" t="str" cm="1">
        <f t="array" aca="1" ref="Y10" ca="1">IF(IF(INDIRECT("'"&amp;Etiquettes!Y13&amp;"'"&amp;"!j1")=$A$10,_xlfn.TEXTJOIN(":",TRUE,_xlfn.UNIQUE(INDIRECT("'"&amp;Etiquettes!Y13&amp;"'"&amp;"!j2:j1000"))),"")="0","",IF(INDIRECT("'"&amp;Etiquettes!Y13&amp;"'"&amp;"!j1")=$A$10,_xlfn.TEXTJOIN(":",TRUE,_xlfn.UNIQUE(INDIRECT("'"&amp;Etiquettes!Y13&amp;"'"&amp;"!j2:j1000"))),""))</f>
        <v/>
      </c>
      <c r="Z10" t="str" cm="1">
        <f t="array" aca="1" ref="Z10" ca="1">IF(IF(INDIRECT("'"&amp;Etiquettes!Z13&amp;"'"&amp;"!j1")=$A$10,_xlfn.TEXTJOIN(":",TRUE,_xlfn.UNIQUE(INDIRECT("'"&amp;Etiquettes!Z13&amp;"'"&amp;"!j2:j1000"))),"")="0","",IF(INDIRECT("'"&amp;Etiquettes!Z13&amp;"'"&amp;"!j1")=$A$10,_xlfn.TEXTJOIN(":",TRUE,_xlfn.UNIQUE(INDIRECT("'"&amp;Etiquettes!Z13&amp;"'"&amp;"!j2:j1000"))),""))</f>
        <v>Utilisation du volume 2018:Statistique comprenant également les autres espèces ainsi que les exportations = extrapolation à partir de la production de C3 de chaque espèce et des exportations tous débouchés confondus</v>
      </c>
      <c r="AA10" t="str" cm="1">
        <f t="array" aca="1" ref="AA10" ca="1">IF(IF(INDIRECT("'"&amp;Etiquettes!AA13&amp;"'"&amp;"!j1")=$A$10,_xlfn.TEXTJOIN(":",TRUE,_xlfn.UNIQUE(INDIRECT("'"&amp;Etiquettes!AA13&amp;"'"&amp;"!j2:j1000"))),"")="0","",IF(INDIRECT("'"&amp;Etiquettes!AA13&amp;"'"&amp;"!j1")=$A$10,_xlfn.TEXTJOIN(":",TRUE,_xlfn.UNIQUE(INDIRECT("'"&amp;Etiquettes!AA13&amp;"'"&amp;"!j2:j1000"))),""))</f>
        <v/>
      </c>
      <c r="AB10" t="str" cm="1">
        <f t="array" aca="1" ref="AB10" ca="1">IF(IF(INDIRECT("'"&amp;Etiquettes!AB13&amp;"'"&amp;"!j1")=$A$10,_xlfn.TEXTJOIN(":",TRUE,_xlfn.UNIQUE(INDIRECT("'"&amp;Etiquettes!AB13&amp;"'"&amp;"!j2:j1000"))),"")="0","",IF(INDIRECT("'"&amp;Etiquettes!AB13&amp;"'"&amp;"!j1")=$A$10,_xlfn.TEXTJOIN(":",TRUE,_xlfn.UNIQUE(INDIRECT("'"&amp;Etiquettes!AB13&amp;"'"&amp;"!j2:j1000"))),""))</f>
        <v>Extrapolation à partir des exportations tous débouchés confondus</v>
      </c>
      <c r="AC10" t="str" cm="1">
        <f t="array" aca="1" ref="AC10" ca="1">IF(IF(INDIRECT("'"&amp;Etiquettes!AC13&amp;"'"&amp;"!j1")=$A$10,_xlfn.TEXTJOIN(":",TRUE,_xlfn.UNIQUE(INDIRECT("'"&amp;Etiquettes!AC13&amp;"'"&amp;"!j2:j1000"))),"")="0","",IF(INDIRECT("'"&amp;Etiquettes!AC13&amp;"'"&amp;"!j1")=$A$10,_xlfn.TEXTJOIN(":",TRUE,_xlfn.UNIQUE(INDIRECT("'"&amp;Etiquettes!AC13&amp;"'"&amp;"!j2:j1000"))),""))</f>
        <v/>
      </c>
      <c r="AD10" t="str" cm="1">
        <f t="array" aca="1" ref="AD10" ca="1">IF(IF(INDIRECT("'"&amp;Etiquettes!AD13&amp;"'"&amp;"!j1")=$A$10,_xlfn.TEXTJOIN(":",TRUE,_xlfn.UNIQUE(INDIRECT("'"&amp;Etiquettes!AD13&amp;"'"&amp;"!j2:j1000"))),"")="0","",IF(INDIRECT("'"&amp;Etiquettes!AD13&amp;"'"&amp;"!j1")=$A$10,_xlfn.TEXTJOIN(":",TRUE,_xlfn.UNIQUE(INDIRECT("'"&amp;Etiquettes!AD13&amp;"'"&amp;"!j2:j1000"))),""))</f>
        <v/>
      </c>
      <c r="AE10" t="str" cm="1">
        <f t="array" aca="1" ref="AE10" ca="1">IF(IF(INDIRECT("'"&amp;Etiquettes!AE13&amp;"'"&amp;"!j1")=$A$10,_xlfn.TEXTJOIN(":",TRUE,_xlfn.UNIQUE(INDIRECT("'"&amp;Etiquettes!AE13&amp;"'"&amp;"!j2:j1000"))),"")="0","",IF(INDIRECT("'"&amp;Etiquettes!AE13&amp;"'"&amp;"!j1")=$A$10,_xlfn.TEXTJOIN(":",TRUE,_xlfn.UNIQUE(INDIRECT("'"&amp;Etiquettes!AE13&amp;"'"&amp;"!j2:j1000"))),""))</f>
        <v>Cette répartition correspond plus excatement à la répartition des achats, l'hypothèse est que celle à la distribution est similaire.:0</v>
      </c>
      <c r="AF10" t="str" cm="1">
        <f t="array" aca="1" ref="AF10" ca="1">IF(IF(INDIRECT("'"&amp;Etiquettes!AF13&amp;"'"&amp;"!j1")=$A$10,_xlfn.TEXTJOIN(":",TRUE,_xlfn.UNIQUE(INDIRECT("'"&amp;Etiquettes!AF13&amp;"'"&amp;"!j2:j1000"))),"")="0","",IF(INDIRECT("'"&amp;Etiquettes!AF13&amp;"'"&amp;"!j1")=$A$10,_xlfn.TEXTJOIN(":",TRUE,_xlfn.UNIQUE(INDIRECT("'"&amp;Etiquettes!AF13&amp;"'"&amp;"!j2:j1000"))),""))</f>
        <v/>
      </c>
      <c r="AG10" t="str" cm="1">
        <f t="array" aca="1" ref="AG10" ca="1">IF(IF(INDIRECT("'"&amp;Etiquettes!AG13&amp;"'"&amp;"!j1")=$A$10,_xlfn.TEXTJOIN(":",TRUE,_xlfn.UNIQUE(INDIRECT("'"&amp;Etiquettes!AG13&amp;"'"&amp;"!j2:j1000"))),"")="0","",IF(INDIRECT("'"&amp;Etiquettes!AG13&amp;"'"&amp;"!j1")=$A$10,_xlfn.TEXTJOIN(":",TRUE,_xlfn.UNIQUE(INDIRECT("'"&amp;Etiquettes!AG13&amp;"'"&amp;"!j2:j1000"))),""))</f>
        <v>Consommation des autres IAA inconnue (négligée en volume dans le modèle)</v>
      </c>
    </row>
    <row r="11" spans="1:33">
      <c r="A11" t="s">
        <v>394</v>
      </c>
      <c r="B11" s="63" t="s">
        <v>44</v>
      </c>
      <c r="C11" s="9" t="str">
        <f>_xlfn.TEXTJOIN(":",TRUE,H11:S11)</f>
        <v>Volume:Rendement:Répartition</v>
      </c>
      <c r="H11" t="s">
        <v>395</v>
      </c>
      <c r="I11" t="s">
        <v>396</v>
      </c>
      <c r="J11" t="s">
        <v>397</v>
      </c>
    </row>
    <row r="12" spans="1:33">
      <c r="A12" t="s">
        <v>31</v>
      </c>
      <c r="B12" s="63" t="s">
        <v>44</v>
      </c>
      <c r="C12" t="str">
        <f ca="1">_xlfn.TEXTJOIN(":",TRUE,H12:CS12)</f>
        <v>Abattages:Importations d'équins:Exportations d'équins à destination bouchère:Importations de viande fraîche:Importations de viande congelée:Importations d'abats:Exportations de viande fraîche:Exportations de viande congelée:Exportations d'abats:Rendement en viande de l'abattage-découpe:Rendement en abats de l'abattage-découpe:Rendement en C1 de l'abattage-découpe:Rendement en C2 de l'abattage-découpe:Rendement en C3 et alimentaire de l'abattage-découpe:Rendement en peaux de l'abattage-découpe:Pertes en eau de l'abattage-découpe:Valorisation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usages:Part de PAT exportées:Part de CGA exportées:Part de viande fraîche consommée en boucherie:Part de viande fraîche consommée en GMS:Part de viande congelée consommée par les autres IAA:Part des abats consommée en petfood:Part de la production de viande congelée:Consommation de viande congelée par les autres IAA</v>
      </c>
      <c r="H12" t="str" cm="1">
        <f t="array" aca="1" ref="H12" ca="1">IF(IF(INDIRECT("'"&amp;Etiquettes!H13&amp;"'"&amp;"!i1")=$A$12,_xlfn.TEXTJOIN(":",TRUE,_xlfn.UNIQUE(INDIRECT("'"&amp;Etiquettes!H13&amp;"'"&amp;"!i2:i1000"))),"")="0","",IF(INDIRECT("'"&amp;Etiquettes!H13&amp;"'"&amp;"!i1")=$A$12,_xlfn.TEXTJOIN(":",TRUE,_xlfn.UNIQUE(INDIRECT("'"&amp;Etiquettes!H13&amp;"'"&amp;"!i2:i1000"))),""))</f>
        <v/>
      </c>
      <c r="I12" t="str" cm="1">
        <f t="array" aca="1" ref="I12" ca="1">IF(IF(INDIRECT("'"&amp;Etiquettes!I13&amp;"'"&amp;"!i1")=$A$12,_xlfn.TEXTJOIN(":",TRUE,_xlfn.UNIQUE(INDIRECT("'"&amp;Etiquettes!I13&amp;"'"&amp;"!i2:i1000"))),"")="0","",IF(INDIRECT("'"&amp;Etiquettes!I13&amp;"'"&amp;"!i1")=$A$12,_xlfn.TEXTJOIN(":",TRUE,_xlfn.UNIQUE(INDIRECT("'"&amp;Etiquettes!I13&amp;"'"&amp;"!i2:i1000"))),""))</f>
        <v/>
      </c>
      <c r="J12" t="str" cm="1">
        <f t="array" aca="1" ref="J12" ca="1">IF(IF(INDIRECT("'"&amp;Etiquettes!J13&amp;"'"&amp;"!i1")=$A$12,_xlfn.TEXTJOIN(":",TRUE,_xlfn.UNIQUE(INDIRECT("'"&amp;Etiquettes!J13&amp;"'"&amp;"!i2:i1000"))),"")="0","",IF(INDIRECT("'"&amp;Etiquettes!J13&amp;"'"&amp;"!i1")=$A$12,_xlfn.TEXTJOIN(":",TRUE,_xlfn.UNIQUE(INDIRECT("'"&amp;Etiquettes!J13&amp;"'"&amp;"!i2:i1000"))),""))</f>
        <v/>
      </c>
      <c r="K12" t="str" cm="1">
        <f t="array" aca="1" ref="K12" ca="1">IF(IF(INDIRECT("'"&amp;Etiquettes!K13&amp;"'"&amp;"!i1")=$A$12,_xlfn.TEXTJOIN(":",TRUE,_xlfn.UNIQUE(INDIRECT("'"&amp;Etiquettes!K13&amp;"'"&amp;"!i2:i1000"))),"")="0","",IF(INDIRECT("'"&amp;Etiquettes!K13&amp;"'"&amp;"!i1")=$A$12,_xlfn.TEXTJOIN(":",TRUE,_xlfn.UNIQUE(INDIRECT("'"&amp;Etiquettes!K13&amp;"'"&amp;"!i2:i1000"))),""))</f>
        <v/>
      </c>
      <c r="L12" t="str" cm="1">
        <f t="array" aca="1" ref="L12" ca="1">IF(IF(INDIRECT("'"&amp;Etiquettes!L13&amp;"'"&amp;"!i1")=$A$12,_xlfn.TEXTJOIN(":",TRUE,_xlfn.UNIQUE(INDIRECT("'"&amp;Etiquettes!L13&amp;"'"&amp;"!i2:i1000"))),"")="0","",IF(INDIRECT("'"&amp;Etiquettes!L13&amp;"'"&amp;"!i1")=$A$12,_xlfn.TEXTJOIN(":",TRUE,_xlfn.UNIQUE(INDIRECT("'"&amp;Etiquettes!L13&amp;"'"&amp;"!i2:i1000"))),""))</f>
        <v/>
      </c>
      <c r="M12" t="str" cm="1">
        <f t="array" aca="1" ref="M12" ca="1">IF(IF(INDIRECT("'"&amp;Etiquettes!M13&amp;"'"&amp;"!i1")=$A$12,_xlfn.TEXTJOIN(":",TRUE,_xlfn.UNIQUE(INDIRECT("'"&amp;Etiquettes!M13&amp;"'"&amp;"!i2:i1000"))),"")="0","",IF(INDIRECT("'"&amp;Etiquettes!M13&amp;"'"&amp;"!i1")=$A$12,_xlfn.TEXTJOIN(":",TRUE,_xlfn.UNIQUE(INDIRECT("'"&amp;Etiquettes!M13&amp;"'"&amp;"!i2:i1000"))),""))</f>
        <v>Abattages</v>
      </c>
      <c r="N12" t="str" cm="1">
        <f t="array" aca="1" ref="N12" ca="1">IF(IF(INDIRECT("'"&amp;Etiquettes!N13&amp;"'"&amp;"!i1")=$A$12,_xlfn.TEXTJOIN(":",TRUE,_xlfn.UNIQUE(INDIRECT("'"&amp;Etiquettes!N13&amp;"'"&amp;"!i2:i1000"))),"")="0","",IF(INDIRECT("'"&amp;Etiquettes!N13&amp;"'"&amp;"!i1")=$A$12,_xlfn.TEXTJOIN(":",TRUE,_xlfn.UNIQUE(INDIRECT("'"&amp;Etiquettes!N13&amp;"'"&amp;"!i2:i1000"))),""))</f>
        <v/>
      </c>
      <c r="O12" t="str" cm="1">
        <f t="array" aca="1" ref="O12" ca="1">IF(IF(INDIRECT("'"&amp;Etiquettes!O13&amp;"'"&amp;"!i1")=$A$12,_xlfn.TEXTJOIN(":",TRUE,_xlfn.UNIQUE(INDIRECT("'"&amp;Etiquettes!O13&amp;"'"&amp;"!i2:i1000"))),"")="0","",IF(INDIRECT("'"&amp;Etiquettes!O13&amp;"'"&amp;"!i1")=$A$12,_xlfn.TEXTJOIN(":",TRUE,_xlfn.UNIQUE(INDIRECT("'"&amp;Etiquettes!O13&amp;"'"&amp;"!i2:i1000"))),""))</f>
        <v>Importations d'équins</v>
      </c>
      <c r="P12" t="str" cm="1">
        <f t="array" aca="1" ref="P12" ca="1">IF(IF(INDIRECT("'"&amp;Etiquettes!P13&amp;"'"&amp;"!i1")=$A$12,_xlfn.TEXTJOIN(":",TRUE,_xlfn.UNIQUE(INDIRECT("'"&amp;Etiquettes!P13&amp;"'"&amp;"!i2:i1000"))),"")="0","",IF(INDIRECT("'"&amp;Etiquettes!P13&amp;"'"&amp;"!i1")=$A$12,_xlfn.TEXTJOIN(":",TRUE,_xlfn.UNIQUE(INDIRECT("'"&amp;Etiquettes!P13&amp;"'"&amp;"!i2:i1000"))),""))</f>
        <v/>
      </c>
      <c r="Q12" t="str" cm="1">
        <f t="array" aca="1" ref="Q12" ca="1">IF(IF(INDIRECT("'"&amp;Etiquettes!Q13&amp;"'"&amp;"!i1")=$A$12,_xlfn.TEXTJOIN(":",TRUE,_xlfn.UNIQUE(INDIRECT("'"&amp;Etiquettes!Q13&amp;"'"&amp;"!i2:i1000"))),"")="0","",IF(INDIRECT("'"&amp;Etiquettes!Q13&amp;"'"&amp;"!i1")=$A$12,_xlfn.TEXTJOIN(":",TRUE,_xlfn.UNIQUE(INDIRECT("'"&amp;Etiquettes!Q13&amp;"'"&amp;"!i2:i1000"))),""))</f>
        <v>Exportations d'équins à destination bouchère</v>
      </c>
      <c r="R12" t="str" cm="1">
        <f t="array" aca="1" ref="R12" ca="1">IF(IF(INDIRECT("'"&amp;Etiquettes!R13&amp;"'"&amp;"!i1")=$A$12,_xlfn.TEXTJOIN(":",TRUE,_xlfn.UNIQUE(INDIRECT("'"&amp;Etiquettes!R13&amp;"'"&amp;"!i2:i1000"))),"")="0","",IF(INDIRECT("'"&amp;Etiquettes!R13&amp;"'"&amp;"!i1")=$A$12,_xlfn.TEXTJOIN(":",TRUE,_xlfn.UNIQUE(INDIRECT("'"&amp;Etiquettes!R13&amp;"'"&amp;"!i2:i1000"))),""))</f>
        <v/>
      </c>
      <c r="S12" t="str" cm="1">
        <f t="array" aca="1" ref="S12" ca="1">IF(IF(INDIRECT("'"&amp;Etiquettes!S13&amp;"'"&amp;"!i1")=$A$12,_xlfn.TEXTJOIN(":",TRUE,_xlfn.UNIQUE(INDIRECT("'"&amp;Etiquettes!S13&amp;"'"&amp;"!i2:i1000"))),"")="0","",IF(INDIRECT("'"&amp;Etiquettes!S13&amp;"'"&amp;"!i1")=$A$12,_xlfn.TEXTJOIN(":",TRUE,_xlfn.UNIQUE(INDIRECT("'"&amp;Etiquettes!S13&amp;"'"&amp;"!i2:i1000"))),""))</f>
        <v/>
      </c>
      <c r="T12" t="str" cm="1">
        <f t="array" aca="1" ref="T12" ca="1">IF(IF(INDIRECT("'"&amp;Etiquettes!T13&amp;"'"&amp;"!i1")=$A$12,_xlfn.TEXTJOIN(":",TRUE,_xlfn.UNIQUE(INDIRECT("'"&amp;Etiquettes!T13&amp;"'"&amp;"!i2:i1000"))),"")="0","",IF(INDIRECT("'"&amp;Etiquettes!T13&amp;"'"&amp;"!i1")=$A$12,_xlfn.TEXTJOIN(":",TRUE,_xlfn.UNIQUE(INDIRECT("'"&amp;Etiquettes!T13&amp;"'"&amp;"!i2:i1000"))),""))</f>
        <v>Importations de viande fraîche:Importations de viande congelée:Importations d'abats:Exportations de viande fraîche:Exportations de viande congelée:Exportations d'abats</v>
      </c>
      <c r="U12" t="str" cm="1">
        <f t="array" aca="1" ref="U12" ca="1">IF(IF(INDIRECT("'"&amp;Etiquettes!U13&amp;"'"&amp;"!i1")=$A$12,_xlfn.TEXTJOIN(":",TRUE,_xlfn.UNIQUE(INDIRECT("'"&amp;Etiquettes!U13&amp;"'"&amp;"!i2:i1000"))),"")="0","",IF(INDIRECT("'"&amp;Etiquettes!U13&amp;"'"&amp;"!i1")=$A$12,_xlfn.TEXTJOIN(":",TRUE,_xlfn.UNIQUE(INDIRECT("'"&amp;Etiquettes!U13&amp;"'"&amp;"!i2:i1000"))),""))</f>
        <v/>
      </c>
      <c r="V12" t="str" cm="1">
        <f t="array" aca="1" ref="V12" ca="1">IF(IF(INDIRECT("'"&amp;Etiquettes!V13&amp;"'"&amp;"!i1")=$A$12,_xlfn.TEXTJOIN(":",TRUE,_xlfn.UNIQUE(INDIRECT("'"&amp;Etiquettes!V13&amp;"'"&amp;"!i2:i1000"))),"")="0","",IF(INDIRECT("'"&amp;Etiquettes!V13&amp;"'"&amp;"!i1")=$A$12,_xlfn.TEXTJOIN(":",TRUE,_xlfn.UNIQUE(INDIRECT("'"&amp;Etiquettes!V13&amp;"'"&amp;"!i2:i1000"))),""))</f>
        <v/>
      </c>
      <c r="W12" t="str" cm="1">
        <f t="array" aca="1" ref="W12" ca="1">IF(IF(INDIRECT("'"&amp;Etiquettes!W13&amp;"'"&amp;"!i1")=$A$12,_xlfn.TEXTJOIN(":",TRUE,_xlfn.UNIQUE(INDIRECT("'"&amp;Etiquettes!W13&amp;"'"&amp;"!i2:i1000"))),"")="0","",IF(INDIRECT("'"&amp;Etiquettes!W13&amp;"'"&amp;"!i1")=$A$12,_xlfn.TEXTJOIN(":",TRUE,_xlfn.UNIQUE(INDIRECT("'"&amp;Etiquettes!W13&amp;"'"&amp;"!i2:i1000"))),""))</f>
        <v/>
      </c>
      <c r="X12" t="str" cm="1">
        <f t="array" aca="1" ref="X12" ca="1">IF(IF(INDIRECT("'"&amp;Etiquettes!X13&amp;"'"&amp;"!i1")=$A$12,_xlfn.TEXTJOIN(":",TRUE,_xlfn.UNIQUE(INDIRECT("'"&amp;Etiquettes!X13&amp;"'"&amp;"!i2:i1000"))),"")="0","",IF(INDIRECT("'"&amp;Etiquettes!X13&amp;"'"&amp;"!i1")=$A$12,_xlfn.TEXTJOIN(":",TRUE,_xlfn.UNIQUE(INDIRECT("'"&amp;Etiquettes!X13&amp;"'"&amp;"!i2:i1000"))),""))</f>
        <v>Rendement en viande de l'abattage-découpe:Rendement en abats de l'abattage-découpe:Rendement en C1 de l'abattage-découpe:Rendement en C2 de l'abattage-découpe:Rendement en C3 et alimentaire de l'abattage-découpe:Rendement en peaux de l'abattage-découpe:Pertes en eau de l'abattage-découpe</v>
      </c>
      <c r="Y12" t="str" cm="1">
        <f t="array" aca="1" ref="Y12" ca="1">IF(IF(INDIRECT("'"&amp;Etiquettes!Y13&amp;"'"&amp;"!i1")=$A$12,_xlfn.TEXTJOIN(":",TRUE,_xlfn.UNIQUE(INDIRECT("'"&amp;Etiquettes!Y13&amp;"'"&amp;"!i2:i1000"))),"")="0","",IF(INDIRECT("'"&amp;Etiquettes!Y13&amp;"'"&amp;"!i1")=$A$12,_xlfn.TEXTJOIN(":",TRUE,_xlfn.UNIQUE(INDIRECT("'"&amp;Etiquettes!Y13&amp;"'"&amp;"!i2:i1000"))),""))</f>
        <v/>
      </c>
      <c r="Z12" t="str" cm="1">
        <f t="array" aca="1" ref="Z12" ca="1">IF(IF(INDIRECT("'"&amp;Etiquettes!Z13&amp;"'"&amp;"!i1")=$A$12,_xlfn.TEXTJOIN(":",TRUE,_xlfn.UNIQUE(INDIRECT("'"&amp;Etiquettes!Z13&amp;"'"&amp;"!i2:i1000"))),"")="0","",IF(INDIRECT("'"&amp;Etiquettes!Z13&amp;"'"&amp;"!i1")=$A$12,_xlfn.TEXTJOIN(":",TRUE,_xlfn.UNIQUE(INDIRECT("'"&amp;Etiquettes!Z13&amp;"'"&amp;"!i2:i1000"))),""))</f>
        <v>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v>
      </c>
      <c r="AA12" t="str" cm="1">
        <f t="array" aca="1" ref="AA12" ca="1">IF(IF(INDIRECT("'"&amp;Etiquettes!AA13&amp;"'"&amp;"!i1")=$A$12,_xlfn.TEXTJOIN(":",TRUE,_xlfn.UNIQUE(INDIRECT("'"&amp;Etiquettes!AA13&amp;"'"&amp;"!i2:i1000"))),"")="0","",IF(INDIRECT("'"&amp;Etiquettes!AA13&amp;"'"&amp;"!i1")=$A$12,_xlfn.TEXTJOIN(":",TRUE,_xlfn.UNIQUE(INDIRECT("'"&amp;Etiquettes!AA13&amp;"'"&amp;"!i2:i1000"))),""))</f>
        <v/>
      </c>
      <c r="AB12" t="str" cm="1">
        <f t="array" aca="1" ref="AB12" ca="1">IF(IF(INDIRECT("'"&amp;Etiquettes!AB13&amp;"'"&amp;"!i1")=$A$12,_xlfn.TEXTJOIN(":",TRUE,_xlfn.UNIQUE(INDIRECT("'"&amp;Etiquettes!AB13&amp;"'"&amp;"!i2:i1000"))),"")="0","",IF(INDIRECT("'"&amp;Etiquettes!AB13&amp;"'"&amp;"!i1")=$A$12,_xlfn.TEXTJOIN(":",TRUE,_xlfn.UNIQUE(INDIRECT("'"&amp;Etiquettes!AB13&amp;"'"&amp;"!i2:i1000"))),""))</f>
        <v>Part de PAT exportées:Part de CGA exportées</v>
      </c>
      <c r="AC12" t="str" cm="1">
        <f t="array" aca="1" ref="AC12" ca="1">IF(IF(INDIRECT("'"&amp;Etiquettes!AC13&amp;"'"&amp;"!i1")=$A$12,_xlfn.TEXTJOIN(":",TRUE,_xlfn.UNIQUE(INDIRECT("'"&amp;Etiquettes!AC13&amp;"'"&amp;"!i2:i1000"))),"")="0","",IF(INDIRECT("'"&amp;Etiquettes!AC13&amp;"'"&amp;"!i1")=$A$12,_xlfn.TEXTJOIN(":",TRUE,_xlfn.UNIQUE(INDIRECT("'"&amp;Etiquettes!AC13&amp;"'"&amp;"!i2:i1000"))),""))</f>
        <v/>
      </c>
      <c r="AD12" t="str" cm="1">
        <f t="array" aca="1" ref="AD12" ca="1">IF(IF(INDIRECT("'"&amp;Etiquettes!AD13&amp;"'"&amp;"!i1")=$A$12,_xlfn.TEXTJOIN(":",TRUE,_xlfn.UNIQUE(INDIRECT("'"&amp;Etiquettes!AD13&amp;"'"&amp;"!i2:i1000"))),"")="0","",IF(INDIRECT("'"&amp;Etiquettes!AD13&amp;"'"&amp;"!i1")=$A$12,_xlfn.TEXTJOIN(":",TRUE,_xlfn.UNIQUE(INDIRECT("'"&amp;Etiquettes!AD13&amp;"'"&amp;"!i2:i1000"))),""))</f>
        <v/>
      </c>
      <c r="AE12" t="str" cm="1">
        <f t="array" aca="1" ref="AE12" ca="1">IF(IF(INDIRECT("'"&amp;Etiquettes!AE13&amp;"'"&amp;"!i1")=$A$12,_xlfn.TEXTJOIN(":",TRUE,_xlfn.UNIQUE(INDIRECT("'"&amp;Etiquettes!AE13&amp;"'"&amp;"!i2:i1000"))),"")="0","",IF(INDIRECT("'"&amp;Etiquettes!AE13&amp;"'"&amp;"!i1")=$A$12,_xlfn.TEXTJOIN(":",TRUE,_xlfn.UNIQUE(INDIRECT("'"&amp;Etiquettes!AE13&amp;"'"&amp;"!i2:i1000"))),""))</f>
        <v>Part de viande fraîche consommée en boucherie:Part de viande fraîche consommée en GMS:Part de viande congelée consommée par les autres IAA:Part des abats consommée en petfood:Part de la production de viande congelée</v>
      </c>
      <c r="AF12" t="str" cm="1">
        <f t="array" aca="1" ref="AF12" ca="1">IF(IF(INDIRECT("'"&amp;Etiquettes!AF13&amp;"'"&amp;"!i1")=$A$12,_xlfn.TEXTJOIN(":",TRUE,_xlfn.UNIQUE(INDIRECT("'"&amp;Etiquettes!AF13&amp;"'"&amp;"!i2:i1000"))),"")="0","",IF(INDIRECT("'"&amp;Etiquettes!AF13&amp;"'"&amp;"!i1")=$A$12,_xlfn.TEXTJOIN(":",TRUE,_xlfn.UNIQUE(INDIRECT("'"&amp;Etiquettes!AF13&amp;"'"&amp;"!i2:i1000"))),""))</f>
        <v/>
      </c>
      <c r="AG12" t="str" cm="1">
        <f t="array" aca="1" ref="AG12" ca="1">IF(IF(INDIRECT("'"&amp;Etiquettes!AG13&amp;"'"&amp;"!i1")=$A$12,_xlfn.TEXTJOIN(":",TRUE,_xlfn.UNIQUE(INDIRECT("'"&amp;Etiquettes!AG13&amp;"'"&amp;"!i2:i1000"))),"")="0","",IF(INDIRECT("'"&amp;Etiquettes!AG13&amp;"'"&amp;"!i1")=$A$12,_xlfn.TEXTJOIN(":",TRUE,_xlfn.UNIQUE(INDIRECT("'"&amp;Etiquettes!AG13&amp;"'"&amp;"!i2:i1000"))),""))</f>
        <v>Consommation de viande congelée par les autres IAA</v>
      </c>
    </row>
    <row r="13" spans="1:33">
      <c r="A13" t="s">
        <v>398</v>
      </c>
      <c r="B13" s="63" t="s">
        <v>44</v>
      </c>
      <c r="C13" t="str">
        <f>_xlfn.TEXTJOIN(":",TRUE,_xlfn.ANCHORARRAY(H13))</f>
        <v xml:space="preserve">Etiquettes:Produits:Secteurs:Echanges territoires:Structure des flux:Données:Abattages - AGRESTE:Données :Echanges - AGRESTE:Données      :Echanges - TRACES:Production - PRODCOM:Données   :Echanges - EUROSTAT:Allocation équins:Contraintes: Données:Anatomie - Blézat:Données    :Contraintes :  Données:Coproduits - SIFCO:Contraintes  :   Données:Débouchés - IFCE: Données </v>
      </c>
      <c r="H13" t="str" cm="1">
        <f t="array" ref="H13:AG13">NomsOnglets</f>
        <v>Etiquettes</v>
      </c>
      <c r="I13" t="str">
        <v>Produits</v>
      </c>
      <c r="J13" t="str">
        <v>Secteurs</v>
      </c>
      <c r="K13" t="str">
        <v>Echanges territoires</v>
      </c>
      <c r="L13" t="str">
        <v>Structure des flux</v>
      </c>
      <c r="M13" t="str">
        <v>Données</v>
      </c>
      <c r="N13" t="str">
        <v>Abattages - AGRESTE</v>
      </c>
      <c r="O13" t="str">
        <v xml:space="preserve">Données </v>
      </c>
      <c r="P13" t="str">
        <v>Echanges - AGRESTE</v>
      </c>
      <c r="Q13" t="str">
        <v xml:space="preserve">Données      </v>
      </c>
      <c r="R13" t="str">
        <v>Echanges - TRACES</v>
      </c>
      <c r="S13" t="str">
        <v>Production - PRODCOM</v>
      </c>
      <c r="T13" t="str">
        <v xml:space="preserve">Données   </v>
      </c>
      <c r="U13" t="str">
        <v>Echanges - EUROSTAT</v>
      </c>
      <c r="V13" t="str">
        <v>Allocation équins</v>
      </c>
      <c r="W13" t="str">
        <v>Contraintes</v>
      </c>
      <c r="X13" t="str">
        <v xml:space="preserve"> Données</v>
      </c>
      <c r="Y13" t="str">
        <v>Anatomie - Blézat</v>
      </c>
      <c r="Z13" t="str">
        <v xml:space="preserve">Données    </v>
      </c>
      <c r="AA13" t="str">
        <v xml:space="preserve">Contraintes </v>
      </c>
      <c r="AB13" t="str">
        <v xml:space="preserve">  Données</v>
      </c>
      <c r="AC13" t="str">
        <v>Coproduits - SIFCO</v>
      </c>
      <c r="AD13" t="str">
        <v xml:space="preserve">Contraintes  </v>
      </c>
      <c r="AE13" t="str">
        <v xml:space="preserve">   Données</v>
      </c>
      <c r="AF13" t="str">
        <v>Débouchés - IFCE</v>
      </c>
      <c r="AG13" t="str">
        <v xml:space="preserve"> Données </v>
      </c>
    </row>
    <row r="14" spans="1:33">
      <c r="A14" t="s">
        <v>399</v>
      </c>
      <c r="B14" s="63" t="s">
        <v>44</v>
      </c>
      <c r="C14" t="s">
        <v>400</v>
      </c>
      <c r="F14" t="s">
        <v>401</v>
      </c>
    </row>
    <row r="15" spans="1:33">
      <c r="A15" s="9" t="s">
        <v>402</v>
      </c>
      <c r="B15" s="63" t="s">
        <v>44</v>
      </c>
      <c r="C15" s="9" t="s">
        <v>207</v>
      </c>
      <c r="F15" t="s">
        <v>494</v>
      </c>
      <c r="G15" s="11" t="s">
        <v>45</v>
      </c>
      <c r="H15" s="129" t="s">
        <v>308</v>
      </c>
      <c r="I15" s="130" t="s">
        <v>25</v>
      </c>
      <c r="J15" s="86" t="s">
        <v>403</v>
      </c>
      <c r="K15" s="131" t="s">
        <v>404</v>
      </c>
      <c r="L15" s="132" t="s">
        <v>309</v>
      </c>
    </row>
  </sheetData>
  <pageMargins left="0.75" right="0.75" top="1" bottom="1" header="0.5" footer="0.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DE64F-90D6-42BC-9D36-127DB80B496F}">
  <sheetPr>
    <tabColor rgb="FF92D050"/>
  </sheetPr>
  <dimension ref="A1:Q4"/>
  <sheetViews>
    <sheetView workbookViewId="0">
      <pane xSplit="2" ySplit="1" topLeftCell="C2" activePane="bottomRight" state="frozen"/>
      <selection pane="topRight" activeCell="C1" sqref="C1"/>
      <selection pane="bottomLeft" activeCell="A2" sqref="A2"/>
      <selection pane="bottomRight" activeCell="O2" sqref="O2"/>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8" bestFit="1" customWidth="1"/>
    <col min="5" max="5" width="9" style="25" bestFit="1" customWidth="1"/>
    <col min="6" max="6" width="14.44140625" style="25"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2.88671875" customWidth="1"/>
    <col min="15" max="15" width="11.109375" customWidth="1"/>
    <col min="16" max="16" width="13" customWidth="1"/>
    <col min="17" max="17" width="20.6640625" bestFit="1" customWidth="1"/>
  </cols>
  <sheetData>
    <row r="1" spans="1:17" ht="38.4" thickBot="1">
      <c r="A1" s="20" t="s">
        <v>19</v>
      </c>
      <c r="B1" s="21" t="s">
        <v>20</v>
      </c>
      <c r="C1" s="21" t="s">
        <v>21</v>
      </c>
      <c r="D1" s="21" t="s">
        <v>23</v>
      </c>
      <c r="E1" s="22" t="str">
        <f>Etiquettes!$A$7</f>
        <v>Unité</v>
      </c>
      <c r="F1" s="22" t="str">
        <f>Etiquettes!$A$4</f>
        <v>Filière</v>
      </c>
      <c r="G1" s="22" t="str">
        <f>Etiquettes!$A$6</f>
        <v>Année</v>
      </c>
      <c r="H1" s="22" t="str">
        <f>Etiquettes!$A$5</f>
        <v>Territoire</v>
      </c>
      <c r="I1" s="22" t="str">
        <f>Etiquettes!$A$12</f>
        <v>Traduction</v>
      </c>
      <c r="J1" s="22" t="str">
        <f>Etiquettes!$A$10</f>
        <v>Hypothèse</v>
      </c>
      <c r="K1" s="22" t="str">
        <f>Etiquettes!$A$9</f>
        <v>Source</v>
      </c>
      <c r="L1" s="22" t="str">
        <f>Etiquettes!$A$13</f>
        <v>Onglet source fichier Excel</v>
      </c>
      <c r="M1" s="22" t="str">
        <f>Etiquettes!$A$11</f>
        <v>Type de donnée collectée</v>
      </c>
      <c r="N1" s="22" t="str">
        <f>Etiquettes!$A$8</f>
        <v>Information collectée</v>
      </c>
      <c r="O1" s="22" t="str">
        <f>Etiquettes!$A$15</f>
        <v>Fiabilité des données</v>
      </c>
      <c r="P1" s="21" t="s">
        <v>3</v>
      </c>
      <c r="Q1" s="23" t="s">
        <v>5</v>
      </c>
    </row>
    <row r="2" spans="1:17">
      <c r="A2" t="str">
        <f>Produits!$B$2</f>
        <v>Equins</v>
      </c>
      <c r="B2" t="str">
        <f>'Echanges territoires'!$B$3</f>
        <v>Export</v>
      </c>
      <c r="C2" s="47">
        <f>'Echanges - TRACES'!C5</f>
        <v>4.95</v>
      </c>
      <c r="E2" s="24" t="str">
        <f>Etiquettes!$C$7</f>
        <v>kt</v>
      </c>
      <c r="F2" s="25" t="str">
        <f>Etiquettes!$C$4</f>
        <v>Viande chevaline</v>
      </c>
      <c r="G2" s="24">
        <f>Etiquettes!$H$6</f>
        <v>2015</v>
      </c>
      <c r="H2" t="str">
        <f>Etiquettes!$C$5</f>
        <v>France</v>
      </c>
      <c r="I2" t="s">
        <v>471</v>
      </c>
      <c r="K2" t="s">
        <v>472</v>
      </c>
      <c r="L2" t="s">
        <v>497</v>
      </c>
      <c r="M2" t="str">
        <f>Etiquettes!$H$11</f>
        <v>Volume</v>
      </c>
      <c r="N2" s="105" t="str">
        <f>_xlfn.CONCAT(I2,IF(OR(ISBLANK(C2),ISERROR(C2)),"",_xlfn.CONCAT(" = ",MROUND(C2,1)," ",E2," (",K2,")")))</f>
        <v>Exportations d'équins à destination bouchère = 5 kt (Ifce d'après TRACES, dounaes)</v>
      </c>
      <c r="O2" s="24" t="str">
        <f>Etiquettes!$I$15</f>
        <v>Elevée</v>
      </c>
      <c r="P2" t="s">
        <v>473</v>
      </c>
      <c r="Q2" s="134" t="s">
        <v>476</v>
      </c>
    </row>
    <row r="3" spans="1:17">
      <c r="A3" t="str">
        <f>Produits!$B$2</f>
        <v>Equins</v>
      </c>
      <c r="B3" t="str">
        <f>'Echanges territoires'!$B$3</f>
        <v>Export</v>
      </c>
      <c r="C3" s="47">
        <f>'Echanges - TRACES'!C6</f>
        <v>4.45</v>
      </c>
      <c r="E3" s="24" t="str">
        <f>Etiquettes!$C$7</f>
        <v>kt</v>
      </c>
      <c r="F3" s="25" t="str">
        <f>Etiquettes!$C$4</f>
        <v>Viande chevaline</v>
      </c>
      <c r="G3" s="24">
        <f>Etiquettes!$I$6</f>
        <v>2019</v>
      </c>
      <c r="H3" t="str">
        <f>Etiquettes!$C$5</f>
        <v>France</v>
      </c>
      <c r="I3" t="s">
        <v>471</v>
      </c>
      <c r="K3" t="s">
        <v>472</v>
      </c>
      <c r="L3" t="s">
        <v>497</v>
      </c>
      <c r="M3" t="str">
        <f>Etiquettes!$H$11</f>
        <v>Volume</v>
      </c>
      <c r="N3" s="105" t="str">
        <f>_xlfn.CONCAT(I3,IF(OR(ISBLANK(C3),ISERROR(C3)),"",_xlfn.CONCAT(" = ",MROUND(C3,1)," ",E3," (",K3,")")))</f>
        <v>Exportations d'équins à destination bouchère = 4 kt (Ifce d'après TRACES, dounaes)</v>
      </c>
      <c r="O3" s="24" t="str">
        <f>Etiquettes!$H$15</f>
        <v>Très élevée</v>
      </c>
      <c r="P3" t="s">
        <v>475</v>
      </c>
      <c r="Q3" s="134"/>
    </row>
    <row r="4" spans="1:17">
      <c r="A4" t="str">
        <f>Produits!$B$2</f>
        <v>Equins</v>
      </c>
      <c r="B4" t="str">
        <f>'Echanges territoires'!$B$3</f>
        <v>Export</v>
      </c>
      <c r="C4" s="47">
        <f>'Echanges - TRACES'!C7</f>
        <v>3.3</v>
      </c>
      <c r="E4" s="24" t="str">
        <f>Etiquettes!$C$7</f>
        <v>kt</v>
      </c>
      <c r="F4" s="25" t="str">
        <f>Etiquettes!$C$4</f>
        <v>Viande chevaline</v>
      </c>
      <c r="G4" s="24">
        <f>Etiquettes!$J$6</f>
        <v>2023</v>
      </c>
      <c r="H4" t="str">
        <f>Etiquettes!$C$5</f>
        <v>France</v>
      </c>
      <c r="I4" t="s">
        <v>471</v>
      </c>
      <c r="K4" t="s">
        <v>472</v>
      </c>
      <c r="L4" t="s">
        <v>497</v>
      </c>
      <c r="M4" t="str">
        <f>Etiquettes!$H$11</f>
        <v>Volume</v>
      </c>
      <c r="N4" s="105" t="str">
        <f t="shared" ref="N4" si="0">_xlfn.CONCAT(I4,IF(OR(ISBLANK(C4),ISERROR(C4)),"",_xlfn.CONCAT(" = ",MROUND(C4,1)," ",E4," (",K4,")")))</f>
        <v>Exportations d'équins à destination bouchère = 3 kt (Ifce d'après TRACES, dounaes)</v>
      </c>
      <c r="O4" s="24" t="str">
        <f>Etiquettes!$H$15</f>
        <v>Très élevée</v>
      </c>
      <c r="P4" t="s">
        <v>475</v>
      </c>
      <c r="Q4" s="134"/>
    </row>
  </sheetData>
  <mergeCells count="1">
    <mergeCell ref="Q2:Q4"/>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0D9F8-F0F5-41B1-AD8D-5518AC77A734}">
  <sheetPr>
    <tabColor rgb="FFFFC000"/>
  </sheetPr>
  <dimension ref="B2:C9"/>
  <sheetViews>
    <sheetView workbookViewId="0">
      <selection activeCell="E18" sqref="E18:E19"/>
    </sheetView>
  </sheetViews>
  <sheetFormatPr baseColWidth="10" defaultRowHeight="14.4"/>
  <sheetData>
    <row r="2" spans="2:3">
      <c r="B2" t="s">
        <v>24</v>
      </c>
      <c r="C2" t="s">
        <v>469</v>
      </c>
    </row>
    <row r="4" spans="2:3">
      <c r="C4" t="s">
        <v>470</v>
      </c>
    </row>
    <row r="5" spans="2:3">
      <c r="B5">
        <v>2015</v>
      </c>
      <c r="C5">
        <v>4.95</v>
      </c>
    </row>
    <row r="6" spans="2:3">
      <c r="B6">
        <v>2019</v>
      </c>
      <c r="C6">
        <v>4.45</v>
      </c>
    </row>
    <row r="7" spans="2:3">
      <c r="B7">
        <v>2023</v>
      </c>
      <c r="C7">
        <v>3.3</v>
      </c>
    </row>
    <row r="9" spans="2:3">
      <c r="B9" t="s">
        <v>474</v>
      </c>
      <c r="C9" t="s">
        <v>473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02EB-1C50-4410-98B9-D477DD3176AE}">
  <dimension ref="A1:L35"/>
  <sheetViews>
    <sheetView workbookViewId="0">
      <selection activeCell="I23" sqref="I23"/>
    </sheetView>
  </sheetViews>
  <sheetFormatPr baseColWidth="10" defaultColWidth="8.88671875" defaultRowHeight="11.4" customHeight="1"/>
  <cols>
    <col min="1" max="1" width="14.88671875" style="45" customWidth="1"/>
    <col min="2" max="2" width="96.33203125" style="45" customWidth="1"/>
    <col min="3" max="5" width="10" style="45" customWidth="1"/>
    <col min="6" max="6" width="8.88671875" style="45"/>
    <col min="7" max="7" width="10.6640625" style="45" bestFit="1" customWidth="1"/>
    <col min="8" max="16384" width="8.88671875" style="45"/>
  </cols>
  <sheetData>
    <row r="1" spans="1:6" ht="14.4">
      <c r="A1" s="53" t="s">
        <v>313</v>
      </c>
      <c r="B1"/>
      <c r="C1"/>
      <c r="D1"/>
      <c r="E1"/>
    </row>
    <row r="2" spans="1:6" ht="14.4">
      <c r="A2" s="53" t="s">
        <v>141</v>
      </c>
      <c r="B2" s="54" t="s">
        <v>314</v>
      </c>
      <c r="C2"/>
      <c r="D2"/>
      <c r="E2"/>
    </row>
    <row r="3" spans="1:6" ht="14.4">
      <c r="A3" s="53" t="s">
        <v>210</v>
      </c>
      <c r="B3" s="53" t="s">
        <v>211</v>
      </c>
      <c r="C3"/>
      <c r="D3"/>
      <c r="E3"/>
    </row>
    <row r="4" spans="1:6" ht="14.4">
      <c r="A4"/>
      <c r="B4"/>
      <c r="C4"/>
      <c r="D4"/>
      <c r="E4"/>
    </row>
    <row r="5" spans="1:6" ht="14.4">
      <c r="A5" s="54" t="s">
        <v>212</v>
      </c>
      <c r="B5"/>
      <c r="C5" s="53" t="s">
        <v>142</v>
      </c>
      <c r="D5"/>
      <c r="E5"/>
    </row>
    <row r="6" spans="1:6" ht="14.4">
      <c r="A6" s="54" t="s">
        <v>143</v>
      </c>
      <c r="B6"/>
      <c r="C6" s="53" t="s">
        <v>144</v>
      </c>
      <c r="D6"/>
      <c r="E6"/>
    </row>
    <row r="7" spans="1:6" ht="14.4">
      <c r="A7" s="54" t="s">
        <v>145</v>
      </c>
      <c r="B7"/>
      <c r="C7" s="53" t="s">
        <v>146</v>
      </c>
      <c r="D7"/>
      <c r="E7"/>
    </row>
    <row r="8" spans="1:6" ht="14.4">
      <c r="A8"/>
      <c r="B8"/>
      <c r="C8"/>
      <c r="D8"/>
      <c r="E8"/>
    </row>
    <row r="9" spans="1:6" ht="14.4">
      <c r="A9" s="142" t="s">
        <v>147</v>
      </c>
      <c r="B9" s="142" t="s">
        <v>147</v>
      </c>
      <c r="C9" s="55" t="s">
        <v>89</v>
      </c>
      <c r="D9" s="55" t="s">
        <v>90</v>
      </c>
      <c r="E9" s="55" t="s">
        <v>91</v>
      </c>
    </row>
    <row r="10" spans="1:6" ht="14.4">
      <c r="A10" s="56" t="s">
        <v>148</v>
      </c>
      <c r="B10" s="56" t="s">
        <v>213</v>
      </c>
      <c r="C10" s="57" t="s">
        <v>149</v>
      </c>
      <c r="D10" s="57" t="s">
        <v>149</v>
      </c>
      <c r="E10" s="57" t="s">
        <v>149</v>
      </c>
    </row>
    <row r="11" spans="1:6" ht="14.4">
      <c r="A11" s="58" t="s">
        <v>315</v>
      </c>
      <c r="B11" s="58" t="s">
        <v>316</v>
      </c>
      <c r="C11" s="59">
        <v>1463448</v>
      </c>
      <c r="D11" s="59">
        <v>951000</v>
      </c>
      <c r="E11" s="59">
        <v>23074</v>
      </c>
    </row>
    <row r="12" spans="1:6" ht="14.4">
      <c r="A12" s="58" t="s">
        <v>150</v>
      </c>
      <c r="B12" s="58" t="s">
        <v>214</v>
      </c>
      <c r="C12" s="60">
        <v>184870706</v>
      </c>
      <c r="D12" s="60">
        <v>156799000</v>
      </c>
      <c r="E12" s="60">
        <v>150711205</v>
      </c>
    </row>
    <row r="13" spans="1:6" ht="14.4">
      <c r="A13" s="58" t="s">
        <v>317</v>
      </c>
      <c r="B13" s="58" t="s">
        <v>318</v>
      </c>
      <c r="C13" s="59" t="s">
        <v>154</v>
      </c>
      <c r="D13" s="59">
        <v>0</v>
      </c>
      <c r="E13" s="59">
        <v>0</v>
      </c>
    </row>
    <row r="14" spans="1:6" ht="14.4">
      <c r="A14" s="58" t="s">
        <v>151</v>
      </c>
      <c r="B14" s="58" t="s">
        <v>215</v>
      </c>
      <c r="C14" s="60">
        <v>58037269</v>
      </c>
      <c r="D14" s="60">
        <v>64780000</v>
      </c>
      <c r="E14" s="60">
        <v>88664631</v>
      </c>
    </row>
    <row r="15" spans="1:6" ht="14.4">
      <c r="A15" s="58" t="s">
        <v>152</v>
      </c>
      <c r="B15" s="58" t="s">
        <v>216</v>
      </c>
      <c r="C15" s="59">
        <v>4508467</v>
      </c>
      <c r="D15" s="59">
        <v>3751970</v>
      </c>
      <c r="E15" s="59">
        <v>3696418</v>
      </c>
      <c r="F15" s="45" t="s">
        <v>305</v>
      </c>
    </row>
    <row r="16" spans="1:6" ht="14.4">
      <c r="A16" s="58" t="s">
        <v>153</v>
      </c>
      <c r="B16" s="58" t="s">
        <v>217</v>
      </c>
      <c r="C16" s="60">
        <v>489835</v>
      </c>
      <c r="D16" s="60" t="s">
        <v>154</v>
      </c>
      <c r="E16" s="60" t="s">
        <v>154</v>
      </c>
      <c r="F16" s="45" t="s">
        <v>305</v>
      </c>
    </row>
    <row r="17" spans="1:12" ht="14.4">
      <c r="A17" s="58" t="s">
        <v>155</v>
      </c>
      <c r="B17" s="58" t="s">
        <v>218</v>
      </c>
      <c r="C17" s="59">
        <v>76302659</v>
      </c>
      <c r="D17" s="59">
        <v>91106000</v>
      </c>
      <c r="E17" s="59" t="s">
        <v>154</v>
      </c>
      <c r="L17" s="50"/>
    </row>
    <row r="18" spans="1:12" ht="14.4">
      <c r="A18" s="58" t="s">
        <v>156</v>
      </c>
      <c r="B18" s="58" t="s">
        <v>219</v>
      </c>
      <c r="C18" s="60">
        <v>1074189976</v>
      </c>
      <c r="D18" s="60">
        <v>1015189000</v>
      </c>
      <c r="E18" s="60">
        <v>918645173</v>
      </c>
    </row>
    <row r="19" spans="1:12" ht="14.4">
      <c r="A19" s="58" t="s">
        <v>319</v>
      </c>
      <c r="B19" s="58" t="s">
        <v>320</v>
      </c>
      <c r="C19" s="59">
        <v>8068701</v>
      </c>
      <c r="D19" s="59">
        <v>8970000</v>
      </c>
      <c r="E19" s="59" t="s">
        <v>154</v>
      </c>
    </row>
    <row r="20" spans="1:12" ht="14.4">
      <c r="A20" s="58" t="s">
        <v>321</v>
      </c>
      <c r="B20" s="58" t="s">
        <v>322</v>
      </c>
      <c r="C20" s="60" t="s">
        <v>154</v>
      </c>
      <c r="D20" s="60" t="s">
        <v>154</v>
      </c>
      <c r="E20" s="60">
        <v>7584470</v>
      </c>
    </row>
    <row r="21" spans="1:12" ht="14.4">
      <c r="A21" s="58" t="s">
        <v>157</v>
      </c>
      <c r="B21" s="58" t="s">
        <v>220</v>
      </c>
      <c r="C21" s="59">
        <v>1043000</v>
      </c>
      <c r="D21" s="59">
        <v>1112000</v>
      </c>
      <c r="E21" s="59">
        <v>2699662</v>
      </c>
    </row>
    <row r="22" spans="1:12" ht="14.4">
      <c r="A22" s="58" t="s">
        <v>158</v>
      </c>
      <c r="B22" s="58" t="s">
        <v>221</v>
      </c>
      <c r="C22" s="60">
        <v>441630415</v>
      </c>
      <c r="D22" s="60">
        <v>437850000</v>
      </c>
      <c r="E22" s="60" t="s">
        <v>154</v>
      </c>
    </row>
    <row r="23" spans="1:12" ht="14.4">
      <c r="A23" s="58" t="s">
        <v>159</v>
      </c>
      <c r="B23" s="58" t="s">
        <v>222</v>
      </c>
      <c r="C23" s="59">
        <v>15080758</v>
      </c>
      <c r="D23" s="59">
        <v>11290000</v>
      </c>
      <c r="E23" s="59">
        <v>9300046</v>
      </c>
    </row>
    <row r="24" spans="1:12" ht="14.4">
      <c r="A24" s="58" t="s">
        <v>323</v>
      </c>
      <c r="B24" s="58" t="s">
        <v>324</v>
      </c>
      <c r="C24" s="60">
        <v>7836072</v>
      </c>
      <c r="D24" s="60">
        <v>8474000</v>
      </c>
      <c r="E24" s="60" t="s">
        <v>154</v>
      </c>
    </row>
    <row r="25" spans="1:12" ht="14.4">
      <c r="A25" s="58" t="s">
        <v>325</v>
      </c>
      <c r="B25" s="58" t="s">
        <v>326</v>
      </c>
      <c r="C25" s="59" t="s">
        <v>154</v>
      </c>
      <c r="D25" s="59" t="s">
        <v>154</v>
      </c>
      <c r="E25" s="59">
        <v>9123852</v>
      </c>
      <c r="G25" s="50"/>
    </row>
    <row r="26" spans="1:12" ht="14.4">
      <c r="A26" s="58" t="s">
        <v>160</v>
      </c>
      <c r="B26" s="58" t="s">
        <v>223</v>
      </c>
      <c r="C26" s="60">
        <v>627937609</v>
      </c>
      <c r="D26" s="60">
        <v>566119000</v>
      </c>
      <c r="E26" s="60">
        <v>462542981</v>
      </c>
    </row>
    <row r="27" spans="1:12" ht="14.4">
      <c r="A27" s="58" t="s">
        <v>161</v>
      </c>
      <c r="B27" s="58" t="s">
        <v>224</v>
      </c>
      <c r="C27" s="59">
        <v>0</v>
      </c>
      <c r="D27" s="59">
        <v>0</v>
      </c>
      <c r="E27" s="59">
        <v>0</v>
      </c>
    </row>
    <row r="28" spans="1:12" ht="14.4">
      <c r="A28" s="58" t="s">
        <v>162</v>
      </c>
      <c r="B28" s="58" t="s">
        <v>225</v>
      </c>
      <c r="C28" s="60">
        <v>196676430</v>
      </c>
      <c r="D28" s="60" t="s">
        <v>154</v>
      </c>
      <c r="E28" s="60">
        <v>137906527</v>
      </c>
    </row>
    <row r="29" spans="1:12" ht="14.4">
      <c r="A29" s="58" t="s">
        <v>163</v>
      </c>
      <c r="B29" s="58" t="s">
        <v>226</v>
      </c>
      <c r="C29" s="59">
        <v>0</v>
      </c>
      <c r="D29" s="59">
        <v>0</v>
      </c>
      <c r="E29" s="59" t="s">
        <v>154</v>
      </c>
    </row>
    <row r="30" spans="1:12" ht="14.4">
      <c r="A30" s="58" t="s">
        <v>164</v>
      </c>
      <c r="B30" s="58" t="s">
        <v>227</v>
      </c>
      <c r="C30" s="60">
        <v>0</v>
      </c>
      <c r="D30" s="60">
        <v>0</v>
      </c>
      <c r="E30" s="60">
        <v>0</v>
      </c>
    </row>
    <row r="31" spans="1:12" ht="14.4">
      <c r="A31" s="58" t="s">
        <v>165</v>
      </c>
      <c r="B31" s="58" t="s">
        <v>228</v>
      </c>
      <c r="C31" s="59">
        <v>463484857</v>
      </c>
      <c r="D31" s="59">
        <v>560031000</v>
      </c>
      <c r="E31" s="59" t="s">
        <v>154</v>
      </c>
    </row>
    <row r="32" spans="1:12" ht="14.4">
      <c r="A32" s="58" t="s">
        <v>166</v>
      </c>
      <c r="B32" s="58" t="s">
        <v>229</v>
      </c>
      <c r="C32" s="60">
        <v>0</v>
      </c>
      <c r="D32" s="60">
        <v>0</v>
      </c>
      <c r="E32" s="60" t="s">
        <v>154</v>
      </c>
    </row>
    <row r="33" spans="1:5" ht="11.4" customHeight="1">
      <c r="A33"/>
      <c r="B33"/>
      <c r="C33"/>
      <c r="D33"/>
      <c r="E33"/>
    </row>
    <row r="34" spans="1:5" ht="14.4">
      <c r="A34" s="54" t="s">
        <v>230</v>
      </c>
      <c r="B34"/>
      <c r="C34"/>
      <c r="D34"/>
      <c r="E34"/>
    </row>
    <row r="35" spans="1:5" ht="14.4">
      <c r="A35" s="54" t="s">
        <v>154</v>
      </c>
      <c r="B35" s="53" t="s">
        <v>231</v>
      </c>
      <c r="C35"/>
      <c r="D35"/>
      <c r="E35"/>
    </row>
  </sheetData>
  <mergeCells count="1">
    <mergeCell ref="A9:B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18105-1BD9-4053-AF2F-9FE22DF2C00D}">
  <sheetPr>
    <tabColor rgb="FF92D050"/>
  </sheetPr>
  <dimension ref="A1:X19"/>
  <sheetViews>
    <sheetView workbookViewId="0">
      <pane xSplit="2" ySplit="1" topLeftCell="C2" activePane="bottomRight" state="frozen"/>
      <selection pane="topRight" activeCell="C1" sqref="C1"/>
      <selection pane="bottomLeft" activeCell="A2" sqref="A2"/>
      <selection pane="bottomRight" activeCell="O4" sqref="O4"/>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8" bestFit="1" customWidth="1"/>
    <col min="5" max="5" width="9" style="25" bestFit="1" customWidth="1"/>
    <col min="6" max="6" width="14.44140625" style="25"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1.88671875" customWidth="1"/>
    <col min="15" max="15" width="11.109375" customWidth="1"/>
    <col min="16" max="16" width="13" customWidth="1"/>
    <col min="17" max="17" width="20.6640625" bestFit="1" customWidth="1"/>
  </cols>
  <sheetData>
    <row r="1" spans="1:24" ht="38.4" thickBot="1">
      <c r="A1" s="20" t="s">
        <v>19</v>
      </c>
      <c r="B1" s="21" t="s">
        <v>20</v>
      </c>
      <c r="C1" s="21" t="s">
        <v>21</v>
      </c>
      <c r="D1" s="21" t="s">
        <v>23</v>
      </c>
      <c r="E1" s="22" t="str">
        <f>Etiquettes!$A$7</f>
        <v>Unité</v>
      </c>
      <c r="F1" s="22" t="str">
        <f>Etiquettes!$A$4</f>
        <v>Filière</v>
      </c>
      <c r="G1" s="22" t="str">
        <f>Etiquettes!$A$6</f>
        <v>Année</v>
      </c>
      <c r="H1" s="22" t="str">
        <f>Etiquettes!$A$5</f>
        <v>Territoire</v>
      </c>
      <c r="I1" s="22" t="str">
        <f>Etiquettes!$A$12</f>
        <v>Traduction</v>
      </c>
      <c r="J1" s="22" t="str">
        <f>Etiquettes!$A$10</f>
        <v>Hypothèse</v>
      </c>
      <c r="K1" s="22" t="str">
        <f>Etiquettes!$A$9</f>
        <v>Source</v>
      </c>
      <c r="L1" s="22" t="str">
        <f>Etiquettes!$A$13</f>
        <v>Onglet source fichier Excel</v>
      </c>
      <c r="M1" s="22" t="str">
        <f>Etiquettes!$A$11</f>
        <v>Type de donnée collectée</v>
      </c>
      <c r="N1" s="22" t="str">
        <f>Etiquettes!$A$8</f>
        <v>Information collectée</v>
      </c>
      <c r="O1" s="22" t="str">
        <f>Etiquettes!$A$15</f>
        <v>Fiabilité des données</v>
      </c>
      <c r="P1" s="21" t="s">
        <v>3</v>
      </c>
      <c r="Q1" s="23" t="s">
        <v>5</v>
      </c>
    </row>
    <row r="2" spans="1:24">
      <c r="A2" t="str">
        <f>'Echanges territoires'!$B$2</f>
        <v>Import</v>
      </c>
      <c r="B2" t="str">
        <f>Produits!$B$5</f>
        <v>Viande, fraîche</v>
      </c>
      <c r="C2" s="47">
        <f>('Echanges - EUROSTAT'!C32/10^4)-X8</f>
        <v>11.991453</v>
      </c>
      <c r="E2" s="24" t="str">
        <f>Etiquettes!$C$7</f>
        <v>kt</v>
      </c>
      <c r="F2" s="25" t="str">
        <f>Etiquettes!$C$4</f>
        <v>Viande chevaline</v>
      </c>
      <c r="G2" s="24">
        <f>Etiquettes!$H$6</f>
        <v>2015</v>
      </c>
      <c r="H2" t="str">
        <f>Etiquettes!$C$5</f>
        <v>France</v>
      </c>
      <c r="I2" t="s">
        <v>438</v>
      </c>
      <c r="J2" t="s">
        <v>486</v>
      </c>
      <c r="K2" t="s">
        <v>412</v>
      </c>
      <c r="L2" t="s">
        <v>498</v>
      </c>
      <c r="M2" t="str">
        <f>Etiquettes!$H$11</f>
        <v>Volume</v>
      </c>
      <c r="N2" s="105" t="str">
        <f t="shared" ref="N2:N13" si="0">_xlfn.CONCAT(I2,IF(OR(ISBLANK(C2),ISERROR(C2)),"",_xlfn.CONCAT(" = ",MROUND(C2,1)," ",E2," (",K2,")")))</f>
        <v>Importations de viande fraîche = 12 kt (Douanes - Eurostat)</v>
      </c>
      <c r="O2" s="24" t="str">
        <f>Etiquettes!$J$15</f>
        <v>Moyenne</v>
      </c>
      <c r="Q2" s="143" t="s">
        <v>303</v>
      </c>
    </row>
    <row r="3" spans="1:24">
      <c r="A3" t="str">
        <f>'Echanges territoires'!$B$2</f>
        <v>Import</v>
      </c>
      <c r="B3" t="str">
        <f>Produits!$B$6</f>
        <v>Viande, congelée</v>
      </c>
      <c r="C3" s="47">
        <f>('Echanges - EUROSTAT'!C33/10^4)+X8</f>
        <v>0.91100399999999992</v>
      </c>
      <c r="E3" s="24" t="str">
        <f>Etiquettes!$C$7</f>
        <v>kt</v>
      </c>
      <c r="F3" s="25" t="str">
        <f>Etiquettes!$C$4</f>
        <v>Viande chevaline</v>
      </c>
      <c r="G3" s="24">
        <f>Etiquettes!$H$6</f>
        <v>2015</v>
      </c>
      <c r="H3" t="str">
        <f>Etiquettes!$C$5</f>
        <v>France</v>
      </c>
      <c r="I3" t="s">
        <v>439</v>
      </c>
      <c r="J3" t="s">
        <v>487</v>
      </c>
      <c r="K3" t="s">
        <v>412</v>
      </c>
      <c r="L3" t="s">
        <v>498</v>
      </c>
      <c r="M3" t="str">
        <f>Etiquettes!$H$11</f>
        <v>Volume</v>
      </c>
      <c r="N3" s="105" t="str">
        <f t="shared" si="0"/>
        <v>Importations de viande congelée = 1 kt (Douanes - Eurostat)</v>
      </c>
      <c r="O3" s="24" t="str">
        <f>Etiquettes!$J$15</f>
        <v>Moyenne</v>
      </c>
      <c r="Q3" s="144"/>
    </row>
    <row r="4" spans="1:24">
      <c r="A4" t="str">
        <f>'Echanges territoires'!$B$2</f>
        <v>Import</v>
      </c>
      <c r="B4" t="str">
        <f>Produits!$B$7</f>
        <v>Abats</v>
      </c>
      <c r="C4" s="47">
        <f>((('Echanges - EUROSTAT'!C35)*'Allocation équins'!$C$5)+'Echanges - EUROSTAT'!C36+'Echanges - EUROSTAT'!C38)/10^4</f>
        <v>0.4482261820738897</v>
      </c>
      <c r="E4" s="24" t="str">
        <f>Etiquettes!$C$7</f>
        <v>kt</v>
      </c>
      <c r="F4" s="25" t="str">
        <f>Etiquettes!$C$4</f>
        <v>Viande chevaline</v>
      </c>
      <c r="G4" s="24">
        <f>Etiquettes!$H$6</f>
        <v>2015</v>
      </c>
      <c r="H4" t="str">
        <f>Etiquettes!$C$5</f>
        <v>France</v>
      </c>
      <c r="I4" t="s">
        <v>440</v>
      </c>
      <c r="J4" t="s">
        <v>444</v>
      </c>
      <c r="K4" t="s">
        <v>412</v>
      </c>
      <c r="L4" t="s">
        <v>498</v>
      </c>
      <c r="M4" t="str">
        <f>Etiquettes!$H$11</f>
        <v>Volume</v>
      </c>
      <c r="N4" s="105" t="str">
        <f t="shared" si="0"/>
        <v>Importations d'abats = 0 kt (Douanes - Eurostat)</v>
      </c>
      <c r="O4" s="24" t="str">
        <f>Etiquettes!$I$15</f>
        <v>Elevée</v>
      </c>
      <c r="Q4" s="144"/>
    </row>
    <row r="5" spans="1:24">
      <c r="A5" t="str">
        <f>Produits!$B$5</f>
        <v>Viande, fraîche</v>
      </c>
      <c r="B5" t="str">
        <f>'Echanges territoires'!$B$3</f>
        <v>Export</v>
      </c>
      <c r="C5" s="47">
        <f>'Echanges - EUROSTAT'!D32/10^4</f>
        <v>3.1860979999999999</v>
      </c>
      <c r="E5" s="24" t="str">
        <f>Etiquettes!$C$7</f>
        <v>kt</v>
      </c>
      <c r="F5" s="25" t="str">
        <f>Etiquettes!$C$4</f>
        <v>Viande chevaline</v>
      </c>
      <c r="G5" s="24">
        <f>Etiquettes!$H$6</f>
        <v>2015</v>
      </c>
      <c r="H5" t="str">
        <f>Etiquettes!$C$5</f>
        <v>France</v>
      </c>
      <c r="I5" t="s">
        <v>441</v>
      </c>
      <c r="K5" t="s">
        <v>412</v>
      </c>
      <c r="L5" t="s">
        <v>498</v>
      </c>
      <c r="M5" t="str">
        <f>Etiquettes!$H$11</f>
        <v>Volume</v>
      </c>
      <c r="N5" s="105" t="str">
        <f t="shared" si="0"/>
        <v>Exportations de viande fraîche = 3 kt (Douanes - Eurostat)</v>
      </c>
      <c r="O5" s="24" t="str">
        <f>Etiquettes!$H$15</f>
        <v>Très élevée</v>
      </c>
      <c r="Q5" s="144"/>
    </row>
    <row r="6" spans="1:24">
      <c r="A6" t="str">
        <f>Produits!$B$6</f>
        <v>Viande, congelée</v>
      </c>
      <c r="B6" t="str">
        <f>'Echanges territoires'!$B$3</f>
        <v>Export</v>
      </c>
      <c r="C6" s="47">
        <f>'Echanges - EUROSTAT'!D33/10^4</f>
        <v>1.173584</v>
      </c>
      <c r="E6" s="24" t="str">
        <f>Etiquettes!$C$7</f>
        <v>kt</v>
      </c>
      <c r="F6" s="25" t="str">
        <f>Etiquettes!$C$4</f>
        <v>Viande chevaline</v>
      </c>
      <c r="G6" s="24">
        <f>Etiquettes!$H$6</f>
        <v>2015</v>
      </c>
      <c r="H6" t="str">
        <f>Etiquettes!$C$5</f>
        <v>France</v>
      </c>
      <c r="I6" t="s">
        <v>442</v>
      </c>
      <c r="K6" t="s">
        <v>412</v>
      </c>
      <c r="L6" t="s">
        <v>498</v>
      </c>
      <c r="M6" t="str">
        <f>Etiquettes!$H$11</f>
        <v>Volume</v>
      </c>
      <c r="N6" s="105" t="str">
        <f t="shared" si="0"/>
        <v>Exportations de viande congelée = 1 kt (Douanes - Eurostat)</v>
      </c>
      <c r="O6" s="24" t="str">
        <f>Etiquettes!$H$15</f>
        <v>Très élevée</v>
      </c>
      <c r="Q6" s="144"/>
    </row>
    <row r="7" spans="1:24">
      <c r="A7" t="str">
        <f>Produits!$B$7</f>
        <v>Abats</v>
      </c>
      <c r="B7" t="str">
        <f>'Echanges territoires'!$B$3</f>
        <v>Export</v>
      </c>
      <c r="C7" s="47">
        <f>((('Echanges - EUROSTAT'!D35+'Echanges - EUROSTAT'!D37)*'Allocation équins'!$C$5)+'Echanges - EUROSTAT'!D36+'Echanges - EUROSTAT'!D38)/10^4</f>
        <v>0.16334994428661204</v>
      </c>
      <c r="E7" s="24" t="str">
        <f>Etiquettes!$C$7</f>
        <v>kt</v>
      </c>
      <c r="F7" s="25" t="str">
        <f>Etiquettes!$C$4</f>
        <v>Viande chevaline</v>
      </c>
      <c r="G7" s="24">
        <f>Etiquettes!$H$6</f>
        <v>2015</v>
      </c>
      <c r="H7" t="str">
        <f>Etiquettes!$C$5</f>
        <v>France</v>
      </c>
      <c r="I7" t="s">
        <v>443</v>
      </c>
      <c r="J7" t="s">
        <v>444</v>
      </c>
      <c r="K7" t="s">
        <v>412</v>
      </c>
      <c r="L7" t="s">
        <v>498</v>
      </c>
      <c r="M7" t="str">
        <f>Etiquettes!$H$11</f>
        <v>Volume</v>
      </c>
      <c r="N7" s="105" t="str">
        <f t="shared" si="0"/>
        <v>Exportations d'abats = 0 kt (Douanes - Eurostat)</v>
      </c>
      <c r="O7" s="24" t="str">
        <f>Etiquettes!$I$15</f>
        <v>Elevée</v>
      </c>
      <c r="Q7" s="144"/>
      <c r="T7" t="s">
        <v>481</v>
      </c>
      <c r="U7" t="s">
        <v>482</v>
      </c>
      <c r="V7" t="s">
        <v>483</v>
      </c>
      <c r="W7" t="s">
        <v>485</v>
      </c>
      <c r="X7" t="s">
        <v>484</v>
      </c>
    </row>
    <row r="8" spans="1:24">
      <c r="A8" t="str">
        <f>'Echanges territoires'!$B$2</f>
        <v>Import</v>
      </c>
      <c r="B8" t="str">
        <f>Produits!$B$5</f>
        <v>Viande, fraîche</v>
      </c>
      <c r="C8" s="47">
        <f>'Echanges - EUROSTAT'!E32/10^4</f>
        <v>8.7572539999999996</v>
      </c>
      <c r="E8" s="24" t="str">
        <f>Etiquettes!$C$7</f>
        <v>kt</v>
      </c>
      <c r="F8" s="25" t="str">
        <f>Etiquettes!$C$4</f>
        <v>Viande chevaline</v>
      </c>
      <c r="G8" s="24">
        <f>Etiquettes!$I$6</f>
        <v>2019</v>
      </c>
      <c r="H8" t="str">
        <f>Etiquettes!$C$5</f>
        <v>France</v>
      </c>
      <c r="I8" t="s">
        <v>438</v>
      </c>
      <c r="J8" t="s">
        <v>486</v>
      </c>
      <c r="K8" t="s">
        <v>412</v>
      </c>
      <c r="L8" t="s">
        <v>498</v>
      </c>
      <c r="M8" t="str">
        <f>Etiquettes!$H$11</f>
        <v>Volume</v>
      </c>
      <c r="N8" s="105" t="str">
        <f t="shared" si="0"/>
        <v>Importations de viande fraîche = 9 kt (Douanes - Eurostat)</v>
      </c>
      <c r="O8" s="24" t="str">
        <f>Etiquettes!$J$15</f>
        <v>Moyenne</v>
      </c>
      <c r="Q8" s="144"/>
      <c r="S8">
        <v>2015</v>
      </c>
      <c r="T8">
        <f>Données!C2*Contraintes!$D$2*'Contraintes  '!$D$10</f>
        <v>0.27257999999999999</v>
      </c>
      <c r="U8" s="124">
        <f>'Echanges - EUROSTAT'!C33/10^4</f>
        <v>0.67256000000000005</v>
      </c>
      <c r="V8" s="122">
        <f>C6</f>
        <v>1.173584</v>
      </c>
      <c r="W8">
        <f>' Données '!$C$2</f>
        <v>0.01</v>
      </c>
      <c r="X8" s="123">
        <f>V8+W8-T8-U8</f>
        <v>0.23844399999999988</v>
      </c>
    </row>
    <row r="9" spans="1:24">
      <c r="A9" t="str">
        <f>'Echanges territoires'!$B$2</f>
        <v>Import</v>
      </c>
      <c r="B9" t="str">
        <f>Produits!$B$6</f>
        <v>Viande, congelée</v>
      </c>
      <c r="C9" s="47">
        <f>('Echanges - EUROSTAT'!E33/10^4)+X9</f>
        <v>1.3320509999999999</v>
      </c>
      <c r="E9" s="24" t="str">
        <f>Etiquettes!$C$7</f>
        <v>kt</v>
      </c>
      <c r="F9" s="25" t="str">
        <f>Etiquettes!$C$4</f>
        <v>Viande chevaline</v>
      </c>
      <c r="G9" s="24">
        <f>Etiquettes!$I$6</f>
        <v>2019</v>
      </c>
      <c r="H9" t="str">
        <f>Etiquettes!$C$5</f>
        <v>France</v>
      </c>
      <c r="I9" t="s">
        <v>439</v>
      </c>
      <c r="J9" t="s">
        <v>487</v>
      </c>
      <c r="K9" t="s">
        <v>412</v>
      </c>
      <c r="L9" t="s">
        <v>498</v>
      </c>
      <c r="M9" t="str">
        <f>Etiquettes!$H$11</f>
        <v>Volume</v>
      </c>
      <c r="N9" s="105" t="str">
        <f t="shared" si="0"/>
        <v>Importations de viande congelée = 1 kt (Douanes - Eurostat)</v>
      </c>
      <c r="O9" s="24" t="str">
        <f>Etiquettes!$J$15</f>
        <v>Moyenne</v>
      </c>
      <c r="Q9" s="144"/>
      <c r="S9">
        <v>2019</v>
      </c>
      <c r="T9">
        <f>Données!C3*Contraintes!$D$2*'Contraintes  '!$D$10</f>
        <v>0.13128000000000001</v>
      </c>
      <c r="U9" s="122">
        <f>'Echanges - EUROSTAT'!E33/10^4</f>
        <v>0.26325700000000002</v>
      </c>
      <c r="V9" s="122">
        <f>C12</f>
        <v>1.4533309999999999</v>
      </c>
      <c r="W9">
        <f>' Données '!$C$2</f>
        <v>0.01</v>
      </c>
      <c r="X9" s="123">
        <f t="shared" ref="X9:X10" si="1">V9+W9-T9-U9</f>
        <v>1.0687939999999998</v>
      </c>
    </row>
    <row r="10" spans="1:24">
      <c r="A10" t="str">
        <f>'Echanges territoires'!$B$2</f>
        <v>Import</v>
      </c>
      <c r="B10" t="str">
        <f>Produits!$B$7</f>
        <v>Abats</v>
      </c>
      <c r="C10" s="47">
        <f>((('Echanges - EUROSTAT'!E35+'Echanges - EUROSTAT'!E37)*'Allocation équins'!$C$5)+'Echanges - EUROSTAT'!E36+'Echanges - EUROSTAT'!E38)/10^4</f>
        <v>1.8433952594223644</v>
      </c>
      <c r="E10" s="24" t="str">
        <f>Etiquettes!$C$7</f>
        <v>kt</v>
      </c>
      <c r="F10" s="25" t="str">
        <f>Etiquettes!$C$4</f>
        <v>Viande chevaline</v>
      </c>
      <c r="G10" s="24">
        <f>Etiquettes!$I$6</f>
        <v>2019</v>
      </c>
      <c r="H10" t="str">
        <f>Etiquettes!$C$5</f>
        <v>France</v>
      </c>
      <c r="I10" t="s">
        <v>440</v>
      </c>
      <c r="J10" t="s">
        <v>444</v>
      </c>
      <c r="K10" t="s">
        <v>412</v>
      </c>
      <c r="L10" t="s">
        <v>498</v>
      </c>
      <c r="M10" t="str">
        <f>Etiquettes!$H$11</f>
        <v>Volume</v>
      </c>
      <c r="N10" s="105" t="str">
        <f t="shared" si="0"/>
        <v>Importations d'abats = 2 kt (Douanes - Eurostat)</v>
      </c>
      <c r="O10" s="24" t="str">
        <f>Etiquettes!$I$15</f>
        <v>Elevée</v>
      </c>
      <c r="Q10" s="144"/>
      <c r="S10">
        <v>2023</v>
      </c>
      <c r="T10">
        <f>Données!C4*Contraintes!$D$2*'Contraintes  '!$D$10</f>
        <v>5.9460000000000006E-2</v>
      </c>
      <c r="U10" s="122">
        <f>'Echanges - EUROSTAT'!G33/10^4</f>
        <v>3.7634000000000001E-2</v>
      </c>
      <c r="V10" s="122">
        <f>C18</f>
        <v>0.40587299999999998</v>
      </c>
      <c r="W10">
        <f>' Données '!$C$2</f>
        <v>0.01</v>
      </c>
      <c r="X10" s="123">
        <f t="shared" si="1"/>
        <v>0.31877899999999998</v>
      </c>
    </row>
    <row r="11" spans="1:24">
      <c r="A11" t="str">
        <f>Produits!$B$5</f>
        <v>Viande, fraîche</v>
      </c>
      <c r="B11" t="str">
        <f>'Echanges territoires'!$B$3</f>
        <v>Export</v>
      </c>
      <c r="C11" s="47">
        <f>('Echanges - EUROSTAT'!F32/10^4)-X9</f>
        <v>0.96280500000000058</v>
      </c>
      <c r="E11" s="24" t="str">
        <f>Etiquettes!$C$7</f>
        <v>kt</v>
      </c>
      <c r="F11" s="25" t="str">
        <f>Etiquettes!$C$4</f>
        <v>Viande chevaline</v>
      </c>
      <c r="G11" s="24">
        <f>Etiquettes!$I$6</f>
        <v>2019</v>
      </c>
      <c r="H11" t="str">
        <f>Etiquettes!$C$5</f>
        <v>France</v>
      </c>
      <c r="I11" t="s">
        <v>441</v>
      </c>
      <c r="K11" t="s">
        <v>412</v>
      </c>
      <c r="L11" t="s">
        <v>498</v>
      </c>
      <c r="M11" t="str">
        <f>Etiquettes!$H$11</f>
        <v>Volume</v>
      </c>
      <c r="N11" s="105" t="str">
        <f t="shared" si="0"/>
        <v>Exportations de viande fraîche = 1 kt (Douanes - Eurostat)</v>
      </c>
      <c r="O11" s="24" t="str">
        <f>Etiquettes!$H$15</f>
        <v>Très élevée</v>
      </c>
      <c r="Q11" s="144"/>
    </row>
    <row r="12" spans="1:24">
      <c r="A12" t="str">
        <f>Produits!$B$6</f>
        <v>Viande, congelée</v>
      </c>
      <c r="B12" t="str">
        <f>'Echanges territoires'!$B$3</f>
        <v>Export</v>
      </c>
      <c r="C12" s="47">
        <f>'Echanges - EUROSTAT'!F33/10^4</f>
        <v>1.4533309999999999</v>
      </c>
      <c r="E12" s="24" t="str">
        <f>Etiquettes!$C$7</f>
        <v>kt</v>
      </c>
      <c r="F12" s="25" t="str">
        <f>Etiquettes!$C$4</f>
        <v>Viande chevaline</v>
      </c>
      <c r="G12" s="24">
        <f>Etiquettes!$I$6</f>
        <v>2019</v>
      </c>
      <c r="H12" t="str">
        <f>Etiquettes!$C$5</f>
        <v>France</v>
      </c>
      <c r="I12" t="s">
        <v>442</v>
      </c>
      <c r="K12" t="s">
        <v>412</v>
      </c>
      <c r="L12" t="s">
        <v>498</v>
      </c>
      <c r="M12" t="str">
        <f>Etiquettes!$H$11</f>
        <v>Volume</v>
      </c>
      <c r="N12" s="105" t="str">
        <f t="shared" si="0"/>
        <v>Exportations de viande congelée = 1 kt (Douanes - Eurostat)</v>
      </c>
      <c r="O12" s="24" t="str">
        <f>Etiquettes!$H$15</f>
        <v>Très élevée</v>
      </c>
      <c r="Q12" s="144"/>
    </row>
    <row r="13" spans="1:24">
      <c r="A13" t="str">
        <f>Produits!$B$7</f>
        <v>Abats</v>
      </c>
      <c r="B13" t="str">
        <f>'Echanges territoires'!$B$3</f>
        <v>Export</v>
      </c>
      <c r="C13" s="47">
        <f>((('Echanges - EUROSTAT'!F35+'Echanges - EUROSTAT'!F37)*'Allocation équins'!$C$5)+'Echanges - EUROSTAT'!F36+'Echanges - EUROSTAT'!F38)/10^4</f>
        <v>5.383148051614331E-2</v>
      </c>
      <c r="E13" s="24" t="str">
        <f>Etiquettes!$C$7</f>
        <v>kt</v>
      </c>
      <c r="F13" s="25" t="str">
        <f>Etiquettes!$C$4</f>
        <v>Viande chevaline</v>
      </c>
      <c r="G13" s="24">
        <f>Etiquettes!$I$6</f>
        <v>2019</v>
      </c>
      <c r="H13" t="str">
        <f>Etiquettes!$C$5</f>
        <v>France</v>
      </c>
      <c r="I13" t="s">
        <v>443</v>
      </c>
      <c r="J13" t="s">
        <v>444</v>
      </c>
      <c r="K13" t="s">
        <v>412</v>
      </c>
      <c r="L13" t="s">
        <v>498</v>
      </c>
      <c r="M13" t="str">
        <f>Etiquettes!$H$11</f>
        <v>Volume</v>
      </c>
      <c r="N13" s="105" t="str">
        <f t="shared" si="0"/>
        <v>Exportations d'abats = 0 kt (Douanes - Eurostat)</v>
      </c>
      <c r="O13" s="24" t="str">
        <f>Etiquettes!$I$15</f>
        <v>Elevée</v>
      </c>
      <c r="Q13" s="144"/>
    </row>
    <row r="14" spans="1:24">
      <c r="A14" t="str">
        <f>'Echanges territoires'!$B$2</f>
        <v>Import</v>
      </c>
      <c r="B14" t="str">
        <f>Produits!$B$5</f>
        <v>Viande, fraîche</v>
      </c>
      <c r="C14" s="47">
        <f>'Echanges - EUROSTAT'!G32/10^4</f>
        <v>6.6698309999999994</v>
      </c>
      <c r="E14" s="24" t="str">
        <f>Etiquettes!$C$7</f>
        <v>kt</v>
      </c>
      <c r="F14" s="25" t="str">
        <f>Etiquettes!$C$4</f>
        <v>Viande chevaline</v>
      </c>
      <c r="G14" s="24">
        <f>Etiquettes!$J$6</f>
        <v>2023</v>
      </c>
      <c r="H14" t="str">
        <f>Etiquettes!$C$5</f>
        <v>France</v>
      </c>
      <c r="I14" t="s">
        <v>438</v>
      </c>
      <c r="J14" t="s">
        <v>486</v>
      </c>
      <c r="K14" t="s">
        <v>412</v>
      </c>
      <c r="L14" t="s">
        <v>498</v>
      </c>
      <c r="M14" t="str">
        <f>Etiquettes!$H$11</f>
        <v>Volume</v>
      </c>
      <c r="N14" s="105" t="str">
        <f t="shared" ref="N14:N19" si="2">_xlfn.CONCAT(I14,IF(OR(ISBLANK(C14),ISERROR(C14)),"",_xlfn.CONCAT(" = ",MROUND(C14,1)," ",E14," (",K14,")")))</f>
        <v>Importations de viande fraîche = 7 kt (Douanes - Eurostat)</v>
      </c>
      <c r="O14" s="24" t="str">
        <f>Etiquettes!$J$15</f>
        <v>Moyenne</v>
      </c>
      <c r="Q14" s="144"/>
    </row>
    <row r="15" spans="1:24">
      <c r="A15" t="str">
        <f>'Echanges territoires'!$B$2</f>
        <v>Import</v>
      </c>
      <c r="B15" t="str">
        <f>Produits!$B$6</f>
        <v>Viande, congelée</v>
      </c>
      <c r="C15" s="47">
        <f>('Echanges - EUROSTAT'!G33/10^4)+X10</f>
        <v>0.35641299999999998</v>
      </c>
      <c r="E15" s="24" t="str">
        <f>Etiquettes!$C$7</f>
        <v>kt</v>
      </c>
      <c r="F15" s="25" t="str">
        <f>Etiquettes!$C$4</f>
        <v>Viande chevaline</v>
      </c>
      <c r="G15" s="24">
        <f>Etiquettes!$J$6</f>
        <v>2023</v>
      </c>
      <c r="H15" t="str">
        <f>Etiquettes!$C$5</f>
        <v>France</v>
      </c>
      <c r="I15" t="s">
        <v>439</v>
      </c>
      <c r="J15" t="s">
        <v>487</v>
      </c>
      <c r="K15" t="s">
        <v>412</v>
      </c>
      <c r="L15" t="s">
        <v>498</v>
      </c>
      <c r="M15" t="str">
        <f>Etiquettes!$H$11</f>
        <v>Volume</v>
      </c>
      <c r="N15" s="105" t="str">
        <f t="shared" si="2"/>
        <v>Importations de viande congelée = 0 kt (Douanes - Eurostat)</v>
      </c>
      <c r="O15" s="24" t="str">
        <f>Etiquettes!$J$15</f>
        <v>Moyenne</v>
      </c>
      <c r="Q15" s="144"/>
    </row>
    <row r="16" spans="1:24">
      <c r="A16" t="str">
        <f>'Echanges territoires'!$B$2</f>
        <v>Import</v>
      </c>
      <c r="B16" t="str">
        <f>Produits!$B$7</f>
        <v>Abats</v>
      </c>
      <c r="C16" s="47">
        <f>((('Echanges - EUROSTAT'!G35+'Echanges - EUROSTAT'!G37)*'Allocation équins'!C5)+'Echanges - EUROSTAT'!G36+'Echanges - EUROSTAT'!G38)/10^4</f>
        <v>0.14500607017156308</v>
      </c>
      <c r="E16" s="24" t="str">
        <f>Etiquettes!$C$7</f>
        <v>kt</v>
      </c>
      <c r="F16" s="25" t="str">
        <f>Etiquettes!$C$4</f>
        <v>Viande chevaline</v>
      </c>
      <c r="G16" s="24">
        <f>Etiquettes!$J$6</f>
        <v>2023</v>
      </c>
      <c r="H16" t="str">
        <f>Etiquettes!$C$5</f>
        <v>France</v>
      </c>
      <c r="I16" t="s">
        <v>440</v>
      </c>
      <c r="J16" t="s">
        <v>444</v>
      </c>
      <c r="K16" t="s">
        <v>412</v>
      </c>
      <c r="L16" t="s">
        <v>498</v>
      </c>
      <c r="M16" t="str">
        <f>Etiquettes!$H$11</f>
        <v>Volume</v>
      </c>
      <c r="N16" s="105" t="str">
        <f t="shared" si="2"/>
        <v>Importations d'abats = 0 kt (Douanes - Eurostat)</v>
      </c>
      <c r="O16" s="24" t="str">
        <f>Etiquettes!$I$15</f>
        <v>Elevée</v>
      </c>
      <c r="Q16" s="144"/>
    </row>
    <row r="17" spans="1:17">
      <c r="A17" t="str">
        <f>Produits!$B$5</f>
        <v>Viande, fraîche</v>
      </c>
      <c r="B17" t="str">
        <f>'Echanges territoires'!$B$3</f>
        <v>Export</v>
      </c>
      <c r="C17" s="47">
        <f>('Echanges - EUROSTAT'!H32/10^4)-X10</f>
        <v>1.780896</v>
      </c>
      <c r="E17" s="24" t="str">
        <f>Etiquettes!$C$7</f>
        <v>kt</v>
      </c>
      <c r="F17" s="25" t="str">
        <f>Etiquettes!$C$4</f>
        <v>Viande chevaline</v>
      </c>
      <c r="G17" s="24">
        <f>Etiquettes!$J$6</f>
        <v>2023</v>
      </c>
      <c r="H17" t="str">
        <f>Etiquettes!$C$5</f>
        <v>France</v>
      </c>
      <c r="I17" t="s">
        <v>441</v>
      </c>
      <c r="K17" t="s">
        <v>412</v>
      </c>
      <c r="L17" t="s">
        <v>498</v>
      </c>
      <c r="M17" t="str">
        <f>Etiquettes!$H$11</f>
        <v>Volume</v>
      </c>
      <c r="N17" s="105" t="str">
        <f t="shared" si="2"/>
        <v>Exportations de viande fraîche = 2 kt (Douanes - Eurostat)</v>
      </c>
      <c r="O17" s="24" t="str">
        <f>Etiquettes!$H$15</f>
        <v>Très élevée</v>
      </c>
      <c r="Q17" s="144"/>
    </row>
    <row r="18" spans="1:17">
      <c r="A18" t="str">
        <f>Produits!$B$6</f>
        <v>Viande, congelée</v>
      </c>
      <c r="B18" t="str">
        <f>'Echanges territoires'!$B$3</f>
        <v>Export</v>
      </c>
      <c r="C18" s="47">
        <f>'Echanges - EUROSTAT'!H33/10^4</f>
        <v>0.40587299999999998</v>
      </c>
      <c r="E18" s="24" t="str">
        <f>Etiquettes!$C$7</f>
        <v>kt</v>
      </c>
      <c r="F18" s="25" t="str">
        <f>Etiquettes!$C$4</f>
        <v>Viande chevaline</v>
      </c>
      <c r="G18" s="24">
        <f>Etiquettes!$J$6</f>
        <v>2023</v>
      </c>
      <c r="H18" t="str">
        <f>Etiquettes!$C$5</f>
        <v>France</v>
      </c>
      <c r="I18" t="s">
        <v>442</v>
      </c>
      <c r="K18" t="s">
        <v>412</v>
      </c>
      <c r="L18" t="s">
        <v>498</v>
      </c>
      <c r="M18" t="str">
        <f>Etiquettes!$H$11</f>
        <v>Volume</v>
      </c>
      <c r="N18" s="105" t="str">
        <f t="shared" si="2"/>
        <v>Exportations de viande congelée = 0 kt (Douanes - Eurostat)</v>
      </c>
      <c r="O18" s="24" t="str">
        <f>Etiquettes!$H$15</f>
        <v>Très élevée</v>
      </c>
      <c r="Q18" s="144"/>
    </row>
    <row r="19" spans="1:17">
      <c r="A19" t="str">
        <f>Produits!$B$7</f>
        <v>Abats</v>
      </c>
      <c r="B19" t="str">
        <f>'Echanges territoires'!$B$3</f>
        <v>Export</v>
      </c>
      <c r="C19" s="47">
        <f>((('Echanges - EUROSTAT'!H35+'Echanges - EUROSTAT'!H37)*'Allocation équins'!C5)+'Echanges - EUROSTAT'!H36+'Echanges - EUROSTAT'!H38)/10^4</f>
        <v>0.17645292961512296</v>
      </c>
      <c r="E19" s="24" t="str">
        <f>Etiquettes!$C$7</f>
        <v>kt</v>
      </c>
      <c r="F19" s="25" t="str">
        <f>Etiquettes!$C$4</f>
        <v>Viande chevaline</v>
      </c>
      <c r="G19" s="24">
        <f>Etiquettes!$J$6</f>
        <v>2023</v>
      </c>
      <c r="H19" t="str">
        <f>Etiquettes!$C$5</f>
        <v>France</v>
      </c>
      <c r="I19" t="s">
        <v>443</v>
      </c>
      <c r="J19" t="s">
        <v>444</v>
      </c>
      <c r="K19" t="s">
        <v>412</v>
      </c>
      <c r="L19" t="s">
        <v>498</v>
      </c>
      <c r="M19" t="str">
        <f>Etiquettes!$H$11</f>
        <v>Volume</v>
      </c>
      <c r="N19" s="105" t="str">
        <f t="shared" si="2"/>
        <v>Exportations d'abats = 0 kt (Douanes - Eurostat)</v>
      </c>
      <c r="O19" s="24" t="str">
        <f>Etiquettes!$I$15</f>
        <v>Elevée</v>
      </c>
      <c r="Q19" s="144"/>
    </row>
  </sheetData>
  <mergeCells count="1">
    <mergeCell ref="Q2:Q19"/>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40FA1-6BC6-46D4-AAEF-3C9302FD44D6}">
  <sheetPr>
    <tabColor rgb="FFFFC000"/>
  </sheetPr>
  <dimension ref="A1:H71"/>
  <sheetViews>
    <sheetView workbookViewId="0">
      <selection activeCell="E32" sqref="E32"/>
    </sheetView>
  </sheetViews>
  <sheetFormatPr baseColWidth="10" defaultColWidth="8.88671875" defaultRowHeight="11.4" customHeight="1"/>
  <cols>
    <col min="1" max="1" width="14.88671875" style="45" customWidth="1"/>
    <col min="2" max="2" width="114.77734375" style="45" customWidth="1"/>
    <col min="3" max="8" width="11" style="45" customWidth="1"/>
    <col min="9" max="16384" width="8.88671875" style="45"/>
  </cols>
  <sheetData>
    <row r="1" spans="1:8">
      <c r="A1" s="53" t="s">
        <v>327</v>
      </c>
      <c r="B1"/>
      <c r="C1"/>
      <c r="D1"/>
      <c r="E1"/>
      <c r="F1"/>
      <c r="G1"/>
      <c r="H1"/>
    </row>
    <row r="2" spans="1:8">
      <c r="A2" s="53" t="s">
        <v>141</v>
      </c>
      <c r="B2" s="54" t="s">
        <v>328</v>
      </c>
      <c r="C2"/>
      <c r="D2"/>
      <c r="E2"/>
      <c r="F2"/>
      <c r="G2"/>
      <c r="H2"/>
    </row>
    <row r="3" spans="1:8">
      <c r="A3" s="53" t="s">
        <v>210</v>
      </c>
      <c r="B3" s="53" t="s">
        <v>232</v>
      </c>
      <c r="C3"/>
      <c r="D3"/>
      <c r="E3"/>
      <c r="F3"/>
      <c r="G3"/>
      <c r="H3"/>
    </row>
    <row r="4" spans="1:8">
      <c r="A4"/>
      <c r="B4"/>
      <c r="C4"/>
      <c r="D4"/>
      <c r="E4"/>
      <c r="F4"/>
      <c r="G4"/>
      <c r="H4"/>
    </row>
    <row r="5" spans="1:8">
      <c r="A5" s="54" t="s">
        <v>212</v>
      </c>
      <c r="B5"/>
      <c r="C5" s="53" t="s">
        <v>142</v>
      </c>
      <c r="D5"/>
      <c r="E5"/>
      <c r="F5"/>
      <c r="G5"/>
      <c r="H5"/>
    </row>
    <row r="6" spans="1:8">
      <c r="A6" s="54" t="s">
        <v>233</v>
      </c>
      <c r="B6"/>
      <c r="C6" s="53" t="s">
        <v>234</v>
      </c>
      <c r="D6"/>
      <c r="E6"/>
      <c r="F6"/>
      <c r="G6"/>
      <c r="H6"/>
    </row>
    <row r="7" spans="1:8">
      <c r="A7" s="54" t="s">
        <v>235</v>
      </c>
      <c r="B7"/>
      <c r="C7" s="53" t="s">
        <v>236</v>
      </c>
      <c r="D7"/>
      <c r="E7"/>
      <c r="F7"/>
      <c r="G7"/>
      <c r="H7"/>
    </row>
    <row r="8" spans="1:8">
      <c r="A8" s="54" t="s">
        <v>145</v>
      </c>
      <c r="B8"/>
      <c r="C8" s="53" t="s">
        <v>237</v>
      </c>
      <c r="D8"/>
      <c r="E8"/>
      <c r="F8"/>
      <c r="G8"/>
      <c r="H8"/>
    </row>
    <row r="9" spans="1:8">
      <c r="A9"/>
      <c r="B9"/>
      <c r="C9"/>
      <c r="D9"/>
      <c r="E9"/>
      <c r="F9"/>
      <c r="G9"/>
      <c r="H9"/>
    </row>
    <row r="10" spans="1:8">
      <c r="A10" s="142" t="s">
        <v>147</v>
      </c>
      <c r="B10" s="142" t="s">
        <v>147</v>
      </c>
      <c r="C10" s="145" t="s">
        <v>89</v>
      </c>
      <c r="D10" s="145" t="s">
        <v>89</v>
      </c>
      <c r="E10" s="145" t="s">
        <v>90</v>
      </c>
      <c r="F10" s="145" t="s">
        <v>90</v>
      </c>
      <c r="G10" s="145" t="s">
        <v>91</v>
      </c>
      <c r="H10" s="145" t="s">
        <v>91</v>
      </c>
    </row>
    <row r="11" spans="1:8">
      <c r="A11" s="142" t="s">
        <v>238</v>
      </c>
      <c r="B11" s="142" t="s">
        <v>238</v>
      </c>
      <c r="C11" s="55" t="s">
        <v>239</v>
      </c>
      <c r="D11" s="55" t="s">
        <v>240</v>
      </c>
      <c r="E11" s="55" t="s">
        <v>239</v>
      </c>
      <c r="F11" s="55" t="s">
        <v>240</v>
      </c>
      <c r="G11" s="55" t="s">
        <v>239</v>
      </c>
      <c r="H11" s="55" t="s">
        <v>240</v>
      </c>
    </row>
    <row r="12" spans="1:8">
      <c r="A12" s="56" t="s">
        <v>241</v>
      </c>
      <c r="B12" s="56" t="s">
        <v>242</v>
      </c>
      <c r="C12" s="57" t="s">
        <v>149</v>
      </c>
      <c r="D12" s="57" t="s">
        <v>149</v>
      </c>
      <c r="E12" s="57" t="s">
        <v>149</v>
      </c>
      <c r="F12" s="57" t="s">
        <v>149</v>
      </c>
      <c r="G12" s="57" t="s">
        <v>149</v>
      </c>
      <c r="H12" s="57" t="s">
        <v>149</v>
      </c>
    </row>
    <row r="13" spans="1:8">
      <c r="A13" s="58" t="s">
        <v>329</v>
      </c>
      <c r="B13" s="58" t="s">
        <v>330</v>
      </c>
      <c r="C13" s="59" t="s">
        <v>154</v>
      </c>
      <c r="D13" s="59" t="s">
        <v>154</v>
      </c>
      <c r="E13" s="59" t="s">
        <v>154</v>
      </c>
      <c r="F13" s="59" t="s">
        <v>154</v>
      </c>
      <c r="G13" s="59" t="s">
        <v>154</v>
      </c>
      <c r="H13" s="59" t="s">
        <v>154</v>
      </c>
    </row>
    <row r="14" spans="1:8">
      <c r="A14" s="58" t="s">
        <v>331</v>
      </c>
      <c r="B14" s="58" t="s">
        <v>332</v>
      </c>
      <c r="C14" s="60" t="s">
        <v>154</v>
      </c>
      <c r="D14" s="60" t="s">
        <v>154</v>
      </c>
      <c r="E14" s="60" t="s">
        <v>154</v>
      </c>
      <c r="F14" s="60" t="s">
        <v>154</v>
      </c>
      <c r="G14" s="60" t="s">
        <v>154</v>
      </c>
      <c r="H14" s="60" t="s">
        <v>154</v>
      </c>
    </row>
    <row r="15" spans="1:8">
      <c r="A15" s="58" t="s">
        <v>333</v>
      </c>
      <c r="B15" s="58" t="s">
        <v>330</v>
      </c>
      <c r="C15" s="59" t="s">
        <v>154</v>
      </c>
      <c r="D15" s="59" t="s">
        <v>154</v>
      </c>
      <c r="E15" s="59" t="s">
        <v>154</v>
      </c>
      <c r="F15" s="59" t="s">
        <v>154</v>
      </c>
      <c r="G15" s="59" t="s">
        <v>154</v>
      </c>
      <c r="H15" s="59" t="s">
        <v>154</v>
      </c>
    </row>
    <row r="16" spans="1:8">
      <c r="A16" s="58" t="s">
        <v>334</v>
      </c>
      <c r="B16" s="58" t="s">
        <v>335</v>
      </c>
      <c r="C16" s="60" t="s">
        <v>154</v>
      </c>
      <c r="D16" s="60" t="s">
        <v>154</v>
      </c>
      <c r="E16" s="60" t="s">
        <v>154</v>
      </c>
      <c r="F16" s="60" t="s">
        <v>154</v>
      </c>
      <c r="G16" s="60" t="s">
        <v>154</v>
      </c>
      <c r="H16" s="60" t="s">
        <v>154</v>
      </c>
    </row>
    <row r="17" spans="1:8">
      <c r="A17" s="58" t="s">
        <v>336</v>
      </c>
      <c r="B17" s="58" t="s">
        <v>337</v>
      </c>
      <c r="C17" s="59" t="s">
        <v>154</v>
      </c>
      <c r="D17" s="59" t="s">
        <v>154</v>
      </c>
      <c r="E17" s="59" t="s">
        <v>154</v>
      </c>
      <c r="F17" s="59" t="s">
        <v>154</v>
      </c>
      <c r="G17" s="59" t="s">
        <v>154</v>
      </c>
      <c r="H17" s="59" t="s">
        <v>154</v>
      </c>
    </row>
    <row r="18" spans="1:8">
      <c r="A18" s="58" t="s">
        <v>338</v>
      </c>
      <c r="B18" s="58" t="s">
        <v>339</v>
      </c>
      <c r="C18" s="60" t="s">
        <v>154</v>
      </c>
      <c r="D18" s="60" t="s">
        <v>154</v>
      </c>
      <c r="E18" s="60" t="s">
        <v>154</v>
      </c>
      <c r="F18" s="60" t="s">
        <v>154</v>
      </c>
      <c r="G18" s="60" t="s">
        <v>154</v>
      </c>
      <c r="H18" s="60" t="s">
        <v>154</v>
      </c>
    </row>
    <row r="19" spans="1:8">
      <c r="A19" s="58" t="s">
        <v>340</v>
      </c>
      <c r="B19" s="58" t="s">
        <v>341</v>
      </c>
      <c r="C19" s="59" t="s">
        <v>154</v>
      </c>
      <c r="D19" s="59" t="s">
        <v>154</v>
      </c>
      <c r="E19" s="59" t="s">
        <v>154</v>
      </c>
      <c r="F19" s="59" t="s">
        <v>154</v>
      </c>
      <c r="G19" s="59" t="s">
        <v>154</v>
      </c>
      <c r="H19" s="59" t="s">
        <v>154</v>
      </c>
    </row>
    <row r="20" spans="1:8">
      <c r="A20" s="58" t="s">
        <v>342</v>
      </c>
      <c r="B20" s="58" t="s">
        <v>330</v>
      </c>
      <c r="C20" s="72">
        <v>5058.79</v>
      </c>
      <c r="D20" s="72">
        <v>10518.47</v>
      </c>
      <c r="E20" s="72">
        <v>5685.24</v>
      </c>
      <c r="F20" s="72">
        <v>9662.7199999999993</v>
      </c>
      <c r="G20" s="72">
        <v>9777.1299999999992</v>
      </c>
      <c r="H20" s="72">
        <v>13717.94</v>
      </c>
    </row>
    <row r="21" spans="1:8">
      <c r="A21" s="58" t="s">
        <v>343</v>
      </c>
      <c r="B21" s="58" t="s">
        <v>335</v>
      </c>
      <c r="C21" s="73">
        <v>3617.25</v>
      </c>
      <c r="D21" s="73">
        <v>26722.01</v>
      </c>
      <c r="E21" s="59" t="s">
        <v>154</v>
      </c>
      <c r="F21" s="73">
        <v>31627.81</v>
      </c>
      <c r="G21" s="73">
        <v>4674.38</v>
      </c>
      <c r="H21" s="73">
        <v>30506.05</v>
      </c>
    </row>
    <row r="22" spans="1:8">
      <c r="A22" s="58" t="s">
        <v>344</v>
      </c>
      <c r="B22" s="58" t="s">
        <v>345</v>
      </c>
      <c r="C22" s="72">
        <v>2080.29</v>
      </c>
      <c r="D22" s="72">
        <v>24024.12</v>
      </c>
      <c r="E22" s="72">
        <v>2403.16</v>
      </c>
      <c r="F22" s="72">
        <v>24895.119999999999</v>
      </c>
      <c r="G22" s="72">
        <v>8204.14</v>
      </c>
      <c r="H22" s="72">
        <v>23707.99</v>
      </c>
    </row>
    <row r="23" spans="1:8">
      <c r="A23" s="58" t="s">
        <v>346</v>
      </c>
      <c r="B23" s="58" t="s">
        <v>339</v>
      </c>
      <c r="C23" s="74">
        <v>8.6999999999999993</v>
      </c>
      <c r="D23" s="73">
        <v>56.89</v>
      </c>
      <c r="E23" s="73">
        <v>28.68</v>
      </c>
      <c r="F23" s="73">
        <v>60.15</v>
      </c>
      <c r="G23" s="73">
        <v>98.86</v>
      </c>
      <c r="H23" s="73">
        <v>9.33</v>
      </c>
    </row>
    <row r="24" spans="1:8">
      <c r="A24" s="58" t="s">
        <v>347</v>
      </c>
      <c r="B24" s="58" t="s">
        <v>341</v>
      </c>
      <c r="C24" s="75">
        <v>11.5</v>
      </c>
      <c r="D24" s="72">
        <v>758.47</v>
      </c>
      <c r="E24" s="72">
        <v>156.07</v>
      </c>
      <c r="F24" s="72">
        <v>183.85</v>
      </c>
      <c r="G24" s="72">
        <v>0.37</v>
      </c>
      <c r="H24" s="72">
        <v>131.03</v>
      </c>
    </row>
    <row r="25" spans="1:8">
      <c r="A25" s="58" t="s">
        <v>348</v>
      </c>
      <c r="B25" s="58" t="s">
        <v>335</v>
      </c>
      <c r="C25" s="59" t="s">
        <v>154</v>
      </c>
      <c r="D25" s="59" t="s">
        <v>154</v>
      </c>
      <c r="E25" s="59" t="s">
        <v>154</v>
      </c>
      <c r="F25" s="59" t="s">
        <v>154</v>
      </c>
      <c r="G25" s="59" t="s">
        <v>154</v>
      </c>
      <c r="H25" s="59" t="s">
        <v>154</v>
      </c>
    </row>
    <row r="26" spans="1:8">
      <c r="A26" s="58" t="s">
        <v>349</v>
      </c>
      <c r="B26" s="58" t="s">
        <v>350</v>
      </c>
      <c r="C26" s="60" t="s">
        <v>154</v>
      </c>
      <c r="D26" s="60" t="s">
        <v>154</v>
      </c>
      <c r="E26" s="60" t="s">
        <v>154</v>
      </c>
      <c r="F26" s="60" t="s">
        <v>154</v>
      </c>
      <c r="G26" s="60" t="s">
        <v>154</v>
      </c>
      <c r="H26" s="60" t="s">
        <v>154</v>
      </c>
    </row>
    <row r="27" spans="1:8">
      <c r="A27" s="58" t="s">
        <v>351</v>
      </c>
      <c r="B27" s="58" t="s">
        <v>352</v>
      </c>
      <c r="C27" s="59" t="s">
        <v>154</v>
      </c>
      <c r="D27" s="59" t="s">
        <v>154</v>
      </c>
      <c r="E27" s="59" t="s">
        <v>154</v>
      </c>
      <c r="F27" s="59" t="s">
        <v>154</v>
      </c>
      <c r="G27" s="59" t="s">
        <v>154</v>
      </c>
      <c r="H27" s="59" t="s">
        <v>154</v>
      </c>
    </row>
    <row r="28" spans="1:8">
      <c r="A28" s="58" t="s">
        <v>353</v>
      </c>
      <c r="B28" s="58" t="s">
        <v>341</v>
      </c>
      <c r="C28" s="60" t="s">
        <v>154</v>
      </c>
      <c r="D28" s="60" t="s">
        <v>154</v>
      </c>
      <c r="E28" s="60" t="s">
        <v>154</v>
      </c>
      <c r="F28" s="60" t="s">
        <v>154</v>
      </c>
      <c r="G28" s="60" t="s">
        <v>154</v>
      </c>
      <c r="H28" s="60" t="s">
        <v>154</v>
      </c>
    </row>
    <row r="29" spans="1:8">
      <c r="A29" s="58" t="s">
        <v>354</v>
      </c>
      <c r="B29" s="58" t="s">
        <v>355</v>
      </c>
      <c r="C29" s="59" t="s">
        <v>154</v>
      </c>
      <c r="D29" s="59" t="s">
        <v>154</v>
      </c>
      <c r="E29" s="59" t="s">
        <v>154</v>
      </c>
      <c r="F29" s="59" t="s">
        <v>154</v>
      </c>
      <c r="G29" s="59" t="s">
        <v>154</v>
      </c>
      <c r="H29" s="59" t="s">
        <v>154</v>
      </c>
    </row>
    <row r="30" spans="1:8">
      <c r="A30" s="58" t="s">
        <v>356</v>
      </c>
      <c r="B30" s="58" t="s">
        <v>357</v>
      </c>
      <c r="C30" s="60" t="s">
        <v>154</v>
      </c>
      <c r="D30" s="60" t="s">
        <v>154</v>
      </c>
      <c r="E30" s="60" t="s">
        <v>154</v>
      </c>
      <c r="F30" s="60" t="s">
        <v>154</v>
      </c>
      <c r="G30" s="60" t="s">
        <v>154</v>
      </c>
      <c r="H30" s="60" t="s">
        <v>154</v>
      </c>
    </row>
    <row r="31" spans="1:8">
      <c r="A31" s="58" t="s">
        <v>358</v>
      </c>
      <c r="B31" s="58" t="s">
        <v>359</v>
      </c>
      <c r="C31" s="59" t="s">
        <v>154</v>
      </c>
      <c r="D31" s="59" t="s">
        <v>154</v>
      </c>
      <c r="E31" s="59" t="s">
        <v>154</v>
      </c>
      <c r="F31" s="59" t="s">
        <v>154</v>
      </c>
      <c r="G31" s="59" t="s">
        <v>154</v>
      </c>
      <c r="H31" s="59" t="s">
        <v>154</v>
      </c>
    </row>
    <row r="32" spans="1:8">
      <c r="A32" s="58" t="s">
        <v>360</v>
      </c>
      <c r="B32" s="58" t="s">
        <v>361</v>
      </c>
      <c r="C32" s="76">
        <v>122298.97</v>
      </c>
      <c r="D32" s="76">
        <v>31860.98</v>
      </c>
      <c r="E32" s="76">
        <v>87572.54</v>
      </c>
      <c r="F32" s="76">
        <v>20315.990000000002</v>
      </c>
      <c r="G32" s="76">
        <v>66698.31</v>
      </c>
      <c r="H32" s="76">
        <v>20996.75</v>
      </c>
    </row>
    <row r="33" spans="1:8">
      <c r="A33" s="58" t="s">
        <v>362</v>
      </c>
      <c r="B33" s="58" t="s">
        <v>363</v>
      </c>
      <c r="C33" s="79">
        <v>6725.6</v>
      </c>
      <c r="D33" s="77">
        <v>11735.84</v>
      </c>
      <c r="E33" s="77">
        <v>2632.57</v>
      </c>
      <c r="F33" s="77">
        <v>14533.31</v>
      </c>
      <c r="G33" s="77">
        <v>376.34</v>
      </c>
      <c r="H33" s="77">
        <v>4058.73</v>
      </c>
    </row>
    <row r="34" spans="1:8">
      <c r="A34" s="58" t="s">
        <v>364</v>
      </c>
      <c r="B34" s="58" t="s">
        <v>365</v>
      </c>
      <c r="C34" s="60" t="s">
        <v>154</v>
      </c>
      <c r="D34" s="60" t="s">
        <v>154</v>
      </c>
      <c r="E34" s="60" t="s">
        <v>154</v>
      </c>
      <c r="F34" s="60" t="s">
        <v>154</v>
      </c>
      <c r="G34" s="60" t="s">
        <v>154</v>
      </c>
      <c r="H34" s="60" t="s">
        <v>154</v>
      </c>
    </row>
    <row r="35" spans="1:8">
      <c r="A35" s="58" t="s">
        <v>366</v>
      </c>
      <c r="B35" s="58" t="s">
        <v>367</v>
      </c>
      <c r="C35" s="77">
        <v>297.33999999999997</v>
      </c>
      <c r="D35" s="77">
        <v>7.65</v>
      </c>
      <c r="E35" s="77">
        <v>216.95</v>
      </c>
      <c r="F35" s="77">
        <v>130.19</v>
      </c>
      <c r="G35" s="77">
        <v>93.59</v>
      </c>
      <c r="H35" s="77">
        <v>248.42</v>
      </c>
    </row>
    <row r="36" spans="1:8">
      <c r="A36" s="58" t="s">
        <v>368</v>
      </c>
      <c r="B36" s="58" t="s">
        <v>369</v>
      </c>
      <c r="C36" s="76">
        <v>3056.32</v>
      </c>
      <c r="D36" s="76">
        <v>1214.0899999999999</v>
      </c>
      <c r="E36" s="76">
        <v>1074.53</v>
      </c>
      <c r="F36" s="76">
        <v>521.11</v>
      </c>
      <c r="G36" s="78">
        <v>762.6</v>
      </c>
      <c r="H36" s="76">
        <v>830.93</v>
      </c>
    </row>
    <row r="37" spans="1:8">
      <c r="A37" s="58" t="s">
        <v>370</v>
      </c>
      <c r="B37" s="58" t="s">
        <v>371</v>
      </c>
      <c r="C37" s="61" t="s">
        <v>154</v>
      </c>
      <c r="D37" s="79">
        <v>897.5</v>
      </c>
      <c r="E37" s="77">
        <v>1.02</v>
      </c>
      <c r="F37" s="77">
        <v>269.19</v>
      </c>
      <c r="G37" s="79">
        <v>7</v>
      </c>
      <c r="H37" s="77">
        <v>117.54</v>
      </c>
    </row>
    <row r="38" spans="1:8">
      <c r="A38" s="58" t="s">
        <v>372</v>
      </c>
      <c r="B38" s="58" t="s">
        <v>373</v>
      </c>
      <c r="C38" s="76">
        <v>1413.17</v>
      </c>
      <c r="D38" s="76">
        <v>380.53</v>
      </c>
      <c r="E38" s="76">
        <v>17350.060000000001</v>
      </c>
      <c r="F38" s="76">
        <v>0.05</v>
      </c>
      <c r="G38" s="76">
        <v>683.14</v>
      </c>
      <c r="H38" s="76">
        <v>917.88</v>
      </c>
    </row>
    <row r="39" spans="1:8">
      <c r="A39" s="58" t="s">
        <v>243</v>
      </c>
      <c r="B39" s="58" t="s">
        <v>244</v>
      </c>
      <c r="C39" s="73">
        <v>3.29</v>
      </c>
      <c r="D39" s="73">
        <v>8.86</v>
      </c>
      <c r="E39" s="73">
        <v>61.58</v>
      </c>
      <c r="F39" s="73">
        <v>1026.24</v>
      </c>
      <c r="G39" s="73">
        <v>524.83000000000004</v>
      </c>
      <c r="H39" s="59" t="s">
        <v>154</v>
      </c>
    </row>
    <row r="40" spans="1:8">
      <c r="A40" s="58" t="s">
        <v>245</v>
      </c>
      <c r="B40" s="58" t="s">
        <v>246</v>
      </c>
      <c r="C40" s="60" t="s">
        <v>154</v>
      </c>
      <c r="D40" s="60" t="s">
        <v>154</v>
      </c>
      <c r="E40" s="60" t="s">
        <v>154</v>
      </c>
      <c r="F40" s="60" t="s">
        <v>154</v>
      </c>
      <c r="G40" s="60" t="s">
        <v>154</v>
      </c>
      <c r="H40" s="60" t="s">
        <v>154</v>
      </c>
    </row>
    <row r="41" spans="1:8">
      <c r="A41" s="58" t="s">
        <v>247</v>
      </c>
      <c r="B41" s="58" t="s">
        <v>248</v>
      </c>
      <c r="C41" s="73">
        <v>124.18</v>
      </c>
      <c r="D41" s="73">
        <v>240.49</v>
      </c>
      <c r="E41" s="73">
        <v>260.07</v>
      </c>
      <c r="F41" s="73">
        <v>313.25</v>
      </c>
      <c r="G41" s="73">
        <v>158.51</v>
      </c>
      <c r="H41" s="73">
        <v>13.39</v>
      </c>
    </row>
    <row r="42" spans="1:8">
      <c r="A42" s="58" t="s">
        <v>249</v>
      </c>
      <c r="B42" s="58" t="s">
        <v>250</v>
      </c>
      <c r="C42" s="72">
        <v>337158.72</v>
      </c>
      <c r="D42" s="72">
        <v>270517.03999999998</v>
      </c>
      <c r="E42" s="72">
        <v>299519.09000000003</v>
      </c>
      <c r="F42" s="72">
        <v>138970.35999999999</v>
      </c>
      <c r="G42" s="72">
        <v>1395.16</v>
      </c>
      <c r="H42" s="75">
        <v>110648.8</v>
      </c>
    </row>
    <row r="43" spans="1:8">
      <c r="A43" s="58" t="s">
        <v>251</v>
      </c>
      <c r="B43" s="58" t="s">
        <v>252</v>
      </c>
      <c r="C43" s="73">
        <v>245.15</v>
      </c>
      <c r="D43" s="74">
        <v>10.8</v>
      </c>
      <c r="E43" s="74">
        <v>110.6</v>
      </c>
      <c r="F43" s="73">
        <v>69.27</v>
      </c>
      <c r="G43" s="73">
        <v>289.41000000000003</v>
      </c>
      <c r="H43" s="74">
        <v>9.5</v>
      </c>
    </row>
    <row r="44" spans="1:8">
      <c r="A44" s="58" t="s">
        <v>253</v>
      </c>
      <c r="B44" s="58" t="s">
        <v>254</v>
      </c>
      <c r="C44" s="60" t="s">
        <v>154</v>
      </c>
      <c r="D44" s="72">
        <v>0.05</v>
      </c>
      <c r="E44" s="75">
        <v>0.3</v>
      </c>
      <c r="F44" s="72">
        <v>10.66</v>
      </c>
      <c r="G44" s="72">
        <v>0.52</v>
      </c>
      <c r="H44" s="72">
        <v>14.33</v>
      </c>
    </row>
    <row r="45" spans="1:8">
      <c r="A45" s="58" t="s">
        <v>255</v>
      </c>
      <c r="B45" s="58" t="s">
        <v>256</v>
      </c>
      <c r="C45" s="73">
        <v>0.54</v>
      </c>
      <c r="D45" s="73">
        <v>28.77</v>
      </c>
      <c r="E45" s="73">
        <v>0.38</v>
      </c>
      <c r="F45" s="73">
        <v>3.79</v>
      </c>
      <c r="G45" s="73">
        <v>243.82</v>
      </c>
      <c r="H45" s="73">
        <v>1.49</v>
      </c>
    </row>
    <row r="46" spans="1:8">
      <c r="A46" s="58" t="s">
        <v>257</v>
      </c>
      <c r="B46" s="58" t="s">
        <v>258</v>
      </c>
      <c r="C46" s="75">
        <v>496.8</v>
      </c>
      <c r="D46" s="72">
        <v>37291.870000000003</v>
      </c>
      <c r="E46" s="72">
        <v>1132.48</v>
      </c>
      <c r="F46" s="72">
        <v>38290.54</v>
      </c>
      <c r="G46" s="72">
        <v>139.16999999999999</v>
      </c>
      <c r="H46" s="75">
        <v>10992.3</v>
      </c>
    </row>
    <row r="47" spans="1:8">
      <c r="A47" s="58" t="s">
        <v>259</v>
      </c>
      <c r="B47" s="58" t="s">
        <v>260</v>
      </c>
      <c r="C47" s="73">
        <v>35475.360000000001</v>
      </c>
      <c r="D47" s="74">
        <v>1101600</v>
      </c>
      <c r="E47" s="73">
        <v>149598.22</v>
      </c>
      <c r="F47" s="74">
        <v>750769.6</v>
      </c>
      <c r="G47" s="73">
        <v>1165457.83</v>
      </c>
      <c r="H47" s="73">
        <v>571901.06999999995</v>
      </c>
    </row>
    <row r="48" spans="1:8">
      <c r="A48" s="58" t="s">
        <v>261</v>
      </c>
      <c r="B48" s="58" t="s">
        <v>262</v>
      </c>
      <c r="C48" s="75">
        <v>297.2</v>
      </c>
      <c r="D48" s="72">
        <v>475.71</v>
      </c>
      <c r="E48" s="72">
        <v>9643.6299999999992</v>
      </c>
      <c r="F48" s="72">
        <v>1431.33</v>
      </c>
      <c r="G48" s="72">
        <v>472.34</v>
      </c>
      <c r="H48" s="72">
        <v>2136.33</v>
      </c>
    </row>
    <row r="49" spans="1:8">
      <c r="A49" s="58" t="s">
        <v>263</v>
      </c>
      <c r="B49" s="58" t="s">
        <v>264</v>
      </c>
      <c r="C49" s="73">
        <v>5533.47</v>
      </c>
      <c r="D49" s="73">
        <v>3830.38</v>
      </c>
      <c r="E49" s="73">
        <v>6244.88</v>
      </c>
      <c r="F49" s="73">
        <v>8809.49</v>
      </c>
      <c r="G49" s="73">
        <v>8928.91</v>
      </c>
      <c r="H49" s="74">
        <v>5147.8999999999996</v>
      </c>
    </row>
    <row r="50" spans="1:8">
      <c r="A50" s="58" t="s">
        <v>265</v>
      </c>
      <c r="B50" s="58" t="s">
        <v>266</v>
      </c>
      <c r="C50" s="72">
        <v>116.01</v>
      </c>
      <c r="D50" s="72">
        <v>1.06</v>
      </c>
      <c r="E50" s="72">
        <v>107317.41</v>
      </c>
      <c r="F50" s="72">
        <v>52.29</v>
      </c>
      <c r="G50" s="72">
        <v>145.02000000000001</v>
      </c>
      <c r="H50" s="72">
        <v>27.88</v>
      </c>
    </row>
    <row r="51" spans="1:8">
      <c r="A51" s="58" t="s">
        <v>267</v>
      </c>
      <c r="B51" s="58" t="s">
        <v>268</v>
      </c>
      <c r="C51" s="73">
        <v>22747.46</v>
      </c>
      <c r="D51" s="73">
        <v>1598.61</v>
      </c>
      <c r="E51" s="73">
        <v>268.33</v>
      </c>
      <c r="F51" s="73">
        <v>106.54</v>
      </c>
      <c r="G51" s="73">
        <v>859637.27</v>
      </c>
      <c r="H51" s="73">
        <v>24734.880000000001</v>
      </c>
    </row>
    <row r="52" spans="1:8">
      <c r="A52" s="58" t="s">
        <v>269</v>
      </c>
      <c r="B52" s="58" t="s">
        <v>270</v>
      </c>
      <c r="C52" s="72">
        <v>51707.78</v>
      </c>
      <c r="D52" s="72">
        <v>7773.84</v>
      </c>
      <c r="E52" s="72">
        <v>48912.69</v>
      </c>
      <c r="F52" s="72">
        <v>1273.71</v>
      </c>
      <c r="G52" s="75">
        <v>24140.7</v>
      </c>
      <c r="H52" s="72">
        <v>7718.27</v>
      </c>
    </row>
    <row r="53" spans="1:8">
      <c r="A53" s="58" t="s">
        <v>271</v>
      </c>
      <c r="B53" s="58" t="s">
        <v>272</v>
      </c>
      <c r="C53" s="59" t="s">
        <v>154</v>
      </c>
      <c r="D53" s="59" t="s">
        <v>154</v>
      </c>
      <c r="E53" s="59" t="s">
        <v>154</v>
      </c>
      <c r="F53" s="59" t="s">
        <v>154</v>
      </c>
      <c r="G53" s="59" t="s">
        <v>154</v>
      </c>
      <c r="H53" s="59" t="s">
        <v>154</v>
      </c>
    </row>
    <row r="54" spans="1:8">
      <c r="A54" s="58" t="s">
        <v>273</v>
      </c>
      <c r="B54" s="58" t="s">
        <v>274</v>
      </c>
      <c r="C54" s="72">
        <v>127083.78</v>
      </c>
      <c r="D54" s="72">
        <v>116451.99</v>
      </c>
      <c r="E54" s="72">
        <v>176041.76</v>
      </c>
      <c r="F54" s="72">
        <v>66467.240000000005</v>
      </c>
      <c r="G54" s="72">
        <v>133139.04</v>
      </c>
      <c r="H54" s="72">
        <v>13996.54</v>
      </c>
    </row>
    <row r="55" spans="1:8">
      <c r="A55" s="58" t="s">
        <v>275</v>
      </c>
      <c r="B55" s="58" t="s">
        <v>276</v>
      </c>
      <c r="C55" s="73">
        <v>73250.080000000002</v>
      </c>
      <c r="D55" s="73">
        <v>485834.14</v>
      </c>
      <c r="E55" s="73">
        <v>93201.32</v>
      </c>
      <c r="F55" s="73">
        <v>320628.86</v>
      </c>
      <c r="G55" s="74">
        <v>844252.3</v>
      </c>
      <c r="H55" s="73">
        <v>339227.79</v>
      </c>
    </row>
    <row r="56" spans="1:8">
      <c r="A56" s="58" t="s">
        <v>277</v>
      </c>
      <c r="B56" s="58" t="s">
        <v>278</v>
      </c>
      <c r="C56" s="72">
        <v>4558.2700000000004</v>
      </c>
      <c r="D56" s="75">
        <v>5082.1000000000004</v>
      </c>
      <c r="E56" s="72">
        <v>4171.04</v>
      </c>
      <c r="F56" s="72">
        <v>14430.66</v>
      </c>
      <c r="G56" s="72">
        <v>210448.71</v>
      </c>
      <c r="H56" s="72">
        <v>15224.34</v>
      </c>
    </row>
    <row r="57" spans="1:8">
      <c r="A57" s="58" t="s">
        <v>279</v>
      </c>
      <c r="B57" s="58" t="s">
        <v>280</v>
      </c>
      <c r="C57" s="73">
        <v>18252.11</v>
      </c>
      <c r="D57" s="73">
        <v>2233.0500000000002</v>
      </c>
      <c r="E57" s="73">
        <v>42700.97</v>
      </c>
      <c r="F57" s="73">
        <v>3345.15</v>
      </c>
      <c r="G57" s="73">
        <v>34809.03</v>
      </c>
      <c r="H57" s="73">
        <v>3035.83</v>
      </c>
    </row>
    <row r="58" spans="1:8">
      <c r="A58" s="58" t="s">
        <v>281</v>
      </c>
      <c r="B58" s="58" t="s">
        <v>282</v>
      </c>
      <c r="C58" s="72">
        <v>210435.55</v>
      </c>
      <c r="D58" s="72">
        <v>142595.82999999999</v>
      </c>
      <c r="E58" s="72">
        <v>309868.02</v>
      </c>
      <c r="F58" s="72">
        <v>171705.48</v>
      </c>
      <c r="G58" s="72">
        <v>359369.06</v>
      </c>
      <c r="H58" s="72">
        <v>178412.47</v>
      </c>
    </row>
    <row r="59" spans="1:8">
      <c r="A59" s="58" t="s">
        <v>283</v>
      </c>
      <c r="B59" s="58" t="s">
        <v>284</v>
      </c>
      <c r="C59" s="73">
        <v>331241.71999999997</v>
      </c>
      <c r="D59" s="73">
        <v>300222.46999999997</v>
      </c>
      <c r="E59" s="74">
        <v>351198.2</v>
      </c>
      <c r="F59" s="73">
        <v>267112.74</v>
      </c>
      <c r="G59" s="73">
        <v>419230.81</v>
      </c>
      <c r="H59" s="73">
        <v>272100.40999999997</v>
      </c>
    </row>
    <row r="60" spans="1:8">
      <c r="A60" s="58" t="s">
        <v>285</v>
      </c>
      <c r="B60" s="58" t="s">
        <v>286</v>
      </c>
      <c r="C60" s="72">
        <v>2975.47</v>
      </c>
      <c r="D60" s="72">
        <v>23290.19</v>
      </c>
      <c r="E60" s="75">
        <v>6760.1</v>
      </c>
      <c r="F60" s="72">
        <v>22521.63</v>
      </c>
      <c r="G60" s="72">
        <v>9506.65</v>
      </c>
      <c r="H60" s="72">
        <v>3314.34</v>
      </c>
    </row>
    <row r="61" spans="1:8">
      <c r="A61" s="58" t="s">
        <v>287</v>
      </c>
      <c r="B61" s="58" t="s">
        <v>288</v>
      </c>
      <c r="C61" s="73">
        <v>746.47</v>
      </c>
      <c r="D61" s="73">
        <v>698.76</v>
      </c>
      <c r="E61" s="74">
        <v>222.7</v>
      </c>
      <c r="F61" s="73">
        <v>499.28</v>
      </c>
      <c r="G61" s="73">
        <v>821.95</v>
      </c>
      <c r="H61" s="73">
        <v>127.12</v>
      </c>
    </row>
    <row r="62" spans="1:8">
      <c r="A62" s="58" t="s">
        <v>289</v>
      </c>
      <c r="B62" s="58" t="s">
        <v>290</v>
      </c>
      <c r="C62" s="60" t="s">
        <v>154</v>
      </c>
      <c r="D62" s="60" t="s">
        <v>154</v>
      </c>
      <c r="E62" s="60" t="s">
        <v>154</v>
      </c>
      <c r="F62" s="60" t="s">
        <v>154</v>
      </c>
      <c r="G62" s="60" t="s">
        <v>154</v>
      </c>
      <c r="H62" s="60" t="s">
        <v>154</v>
      </c>
    </row>
    <row r="63" spans="1:8">
      <c r="A63" s="58" t="s">
        <v>291</v>
      </c>
      <c r="B63" s="58" t="s">
        <v>292</v>
      </c>
      <c r="C63" s="73">
        <v>22920.52</v>
      </c>
      <c r="D63" s="73">
        <v>25793.38</v>
      </c>
      <c r="E63" s="73">
        <v>24340.26</v>
      </c>
      <c r="F63" s="73">
        <v>22469.06</v>
      </c>
      <c r="G63" s="73">
        <v>21770.02</v>
      </c>
      <c r="H63" s="73">
        <v>11049.88</v>
      </c>
    </row>
    <row r="64" spans="1:8">
      <c r="A64" s="58" t="s">
        <v>293</v>
      </c>
      <c r="B64" s="58" t="s">
        <v>294</v>
      </c>
      <c r="C64" s="72">
        <v>20798.03</v>
      </c>
      <c r="D64" s="72">
        <v>1595.24</v>
      </c>
      <c r="E64" s="72">
        <v>22200.54</v>
      </c>
      <c r="F64" s="72">
        <v>1574.82</v>
      </c>
      <c r="G64" s="72">
        <v>2309.92</v>
      </c>
      <c r="H64" s="72">
        <v>1669.37</v>
      </c>
    </row>
    <row r="65" spans="1:8">
      <c r="A65" s="58" t="s">
        <v>295</v>
      </c>
      <c r="B65" s="58" t="s">
        <v>296</v>
      </c>
      <c r="C65" s="59" t="s">
        <v>154</v>
      </c>
      <c r="D65" s="59" t="s">
        <v>154</v>
      </c>
      <c r="E65" s="59" t="s">
        <v>154</v>
      </c>
      <c r="F65" s="59" t="s">
        <v>154</v>
      </c>
      <c r="G65" s="59" t="s">
        <v>154</v>
      </c>
      <c r="H65" s="59" t="s">
        <v>154</v>
      </c>
    </row>
    <row r="66" spans="1:8">
      <c r="A66" s="58" t="s">
        <v>297</v>
      </c>
      <c r="B66" s="58" t="s">
        <v>298</v>
      </c>
      <c r="C66" s="75">
        <v>5353.5</v>
      </c>
      <c r="D66" s="72">
        <v>33100.17</v>
      </c>
      <c r="E66" s="72">
        <v>4525.93</v>
      </c>
      <c r="F66" s="72">
        <v>34574.089999999997</v>
      </c>
      <c r="G66" s="72">
        <v>5105.75</v>
      </c>
      <c r="H66" s="72">
        <v>34275.620000000003</v>
      </c>
    </row>
    <row r="67" spans="1:8">
      <c r="A67" s="58" t="s">
        <v>299</v>
      </c>
      <c r="B67" s="58" t="s">
        <v>300</v>
      </c>
      <c r="C67" s="59" t="s">
        <v>154</v>
      </c>
      <c r="D67" s="59" t="s">
        <v>154</v>
      </c>
      <c r="E67" s="59" t="s">
        <v>154</v>
      </c>
      <c r="F67" s="59" t="s">
        <v>154</v>
      </c>
      <c r="G67" s="59" t="s">
        <v>154</v>
      </c>
      <c r="H67" s="59" t="s">
        <v>154</v>
      </c>
    </row>
    <row r="68" spans="1:8">
      <c r="A68" s="58" t="s">
        <v>301</v>
      </c>
      <c r="B68" s="58" t="s">
        <v>302</v>
      </c>
      <c r="C68" s="72">
        <v>788128.65</v>
      </c>
      <c r="D68" s="72">
        <v>2669043.0299999998</v>
      </c>
      <c r="E68" s="72">
        <v>1198354.71</v>
      </c>
      <c r="F68" s="72">
        <v>2720058.25</v>
      </c>
      <c r="G68" s="72">
        <v>1723179.33</v>
      </c>
      <c r="H68" s="72">
        <v>2695107.46</v>
      </c>
    </row>
    <row r="69" spans="1:8">
      <c r="A69"/>
      <c r="B69"/>
      <c r="C69"/>
      <c r="D69"/>
      <c r="E69"/>
      <c r="F69"/>
      <c r="G69"/>
      <c r="H69"/>
    </row>
    <row r="70" spans="1:8">
      <c r="A70" s="54" t="s">
        <v>230</v>
      </c>
      <c r="B70"/>
      <c r="C70"/>
      <c r="D70"/>
      <c r="E70"/>
      <c r="F70"/>
      <c r="G70"/>
      <c r="H70"/>
    </row>
    <row r="71" spans="1:8">
      <c r="A71" s="54" t="s">
        <v>154</v>
      </c>
      <c r="B71" s="53" t="s">
        <v>231</v>
      </c>
      <c r="C71"/>
      <c r="D71"/>
      <c r="E71"/>
      <c r="F71"/>
      <c r="G71"/>
      <c r="H71"/>
    </row>
  </sheetData>
  <mergeCells count="5">
    <mergeCell ref="A10:B10"/>
    <mergeCell ref="C10:D10"/>
    <mergeCell ref="E10:F10"/>
    <mergeCell ref="G10:H10"/>
    <mergeCell ref="A11:B1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19F1-D604-4EC3-8317-F1282417B8CB}">
  <sheetPr>
    <tabColor rgb="FFFFC000"/>
  </sheetPr>
  <dimension ref="B2:E6"/>
  <sheetViews>
    <sheetView workbookViewId="0">
      <selection activeCell="D13" sqref="D13"/>
    </sheetView>
  </sheetViews>
  <sheetFormatPr baseColWidth="10" defaultRowHeight="14.4"/>
  <cols>
    <col min="2" max="2" width="19" customWidth="1"/>
  </cols>
  <sheetData>
    <row r="2" spans="2:5">
      <c r="B2" s="62" t="s">
        <v>380</v>
      </c>
    </row>
    <row r="3" spans="2:5">
      <c r="B3" t="s">
        <v>379</v>
      </c>
    </row>
    <row r="4" spans="2:5">
      <c r="B4" t="s">
        <v>378</v>
      </c>
      <c r="C4">
        <v>2015</v>
      </c>
      <c r="D4">
        <v>2019</v>
      </c>
      <c r="E4">
        <v>2023</v>
      </c>
    </row>
    <row r="5" spans="2:5">
      <c r="B5" t="s">
        <v>195</v>
      </c>
      <c r="C5" s="80">
        <f>'Anatomie - Blézat'!F71/('Anatomie - Blézat'!F71+'Anatomie - Blézat'!F59+'Anatomie - Blézat'!F47)</f>
        <v>4.2953590969585696E-2</v>
      </c>
      <c r="D5" s="80">
        <f>'Anatomie - Blézat'!G71/('Anatomie - Blézat'!G71+'Anatomie - Blézat'!G59+'Anatomie - Blézat'!G47)</f>
        <v>2.1041063680425798E-2</v>
      </c>
      <c r="E5" s="80">
        <f>'Anatomie - Blézat'!H71/('Anatomie - Blézat'!H71+'Anatomie - Blézat'!H59+'Anatomie - Blézat'!H47)</f>
        <v>1.065612916967402E-2</v>
      </c>
    </row>
    <row r="6" spans="2:5">
      <c r="B6" t="s">
        <v>304</v>
      </c>
      <c r="C6" s="26">
        <f t="shared" ref="C6:D6" si="0">1-C5</f>
        <v>0.95704640903041427</v>
      </c>
      <c r="D6" s="26">
        <f t="shared" si="0"/>
        <v>0.9789589363195742</v>
      </c>
      <c r="E6" s="26">
        <f>1-E5</f>
        <v>0.98934387083032593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84209-2068-4E1B-90E1-2A2C462B1E7A}">
  <sheetPr>
    <tabColor rgb="FF92D050"/>
  </sheetPr>
  <dimension ref="A1:S16"/>
  <sheetViews>
    <sheetView workbookViewId="0">
      <pane xSplit="3" ySplit="1" topLeftCell="D2" activePane="bottomRight" state="frozen"/>
      <selection activeCell="AD10" sqref="AD10"/>
      <selection pane="topRight" activeCell="AD10" sqref="AD10"/>
      <selection pane="bottomLeft" activeCell="AD10" sqref="AD10"/>
      <selection pane="bottomRight" activeCell="Q3" sqref="Q3"/>
    </sheetView>
  </sheetViews>
  <sheetFormatPr baseColWidth="10" defaultColWidth="9.109375" defaultRowHeight="14.4"/>
  <cols>
    <col min="1" max="1" width="12.33203125" style="8" bestFit="1" customWidth="1"/>
    <col min="2" max="2" width="31.77734375" customWidth="1"/>
    <col min="3" max="3" width="34.88671875" bestFit="1" customWidth="1"/>
    <col min="4" max="4" width="10.44140625" bestFit="1" customWidth="1"/>
    <col min="5" max="6" width="19.109375" bestFit="1" customWidth="1"/>
    <col min="7" max="15" width="8.6640625" style="8" customWidth="1"/>
    <col min="16" max="16" width="14.6640625" style="8" customWidth="1"/>
    <col min="17" max="17" width="15.88671875" style="8" customWidth="1"/>
    <col min="18" max="18" width="14.33203125" style="8" customWidth="1"/>
    <col min="19" max="19" width="13.109375" customWidth="1"/>
  </cols>
  <sheetData>
    <row r="1" spans="1:19" ht="76.2" thickBot="1">
      <c r="A1" s="20" t="s">
        <v>27</v>
      </c>
      <c r="B1" s="21" t="s">
        <v>19</v>
      </c>
      <c r="C1" s="21" t="s">
        <v>20</v>
      </c>
      <c r="D1" s="21" t="s">
        <v>28</v>
      </c>
      <c r="E1" s="21" t="s">
        <v>29</v>
      </c>
      <c r="F1" s="21" t="s">
        <v>30</v>
      </c>
      <c r="G1" s="22" t="str">
        <f>Etiquettes!$A$7</f>
        <v>Unité</v>
      </c>
      <c r="H1" s="22" t="str">
        <f>Etiquettes!$A$4</f>
        <v>Filière</v>
      </c>
      <c r="I1" s="22" t="str">
        <f>Etiquettes!$A$6</f>
        <v>Année</v>
      </c>
      <c r="J1" s="22" t="str">
        <f>Etiquettes!$A$5</f>
        <v>Territoire</v>
      </c>
      <c r="K1" s="22" t="str">
        <f>Etiquettes!$A$12</f>
        <v>Traduction</v>
      </c>
      <c r="L1" s="22" t="str">
        <f>Etiquettes!$A$10</f>
        <v>Hypothèse</v>
      </c>
      <c r="M1" s="22" t="str">
        <f>Etiquettes!$A$9</f>
        <v>Source</v>
      </c>
      <c r="N1" s="22" t="str">
        <f>Etiquettes!$A$13</f>
        <v>Onglet source fichier Excel</v>
      </c>
      <c r="O1" s="22" t="str">
        <f>Etiquettes!$A$11</f>
        <v>Type de donnée collectée</v>
      </c>
      <c r="P1" s="22" t="str">
        <f>Etiquettes!$A$8</f>
        <v>Information collectée</v>
      </c>
      <c r="Q1" s="22" t="str">
        <f>Etiquettes!$A$15</f>
        <v>Fiabilité des données</v>
      </c>
      <c r="R1" s="21" t="s">
        <v>3</v>
      </c>
      <c r="S1" s="23" t="s">
        <v>5</v>
      </c>
    </row>
    <row r="2" spans="1:19" ht="14.4" customHeight="1">
      <c r="A2" s="8">
        <v>1</v>
      </c>
      <c r="B2" t="str">
        <f>Produits!$B$2</f>
        <v>Equins</v>
      </c>
      <c r="C2" t="str">
        <f>Secteurs!$B$4</f>
        <v>Abattage / découpe</v>
      </c>
      <c r="D2" s="26">
        <f>'Anatomie - Blézat'!D70</f>
        <v>0.36</v>
      </c>
      <c r="G2" s="24" t="str">
        <f>Etiquettes!$C$7</f>
        <v>kt</v>
      </c>
      <c r="H2" s="88" t="str">
        <f>Etiquettes!$C$4</f>
        <v>Viande chevaline</v>
      </c>
      <c r="I2" s="87" t="str">
        <f>Etiquettes!$C$6</f>
        <v>2015:2019:2023</v>
      </c>
      <c r="J2" t="str">
        <f>Etiquettes!$C$5</f>
        <v>France</v>
      </c>
      <c r="L2"/>
      <c r="M2"/>
      <c r="O2"/>
      <c r="P2"/>
      <c r="Q2"/>
      <c r="R2"/>
      <c r="S2" s="133" t="s">
        <v>381</v>
      </c>
    </row>
    <row r="3" spans="1:19">
      <c r="A3" s="8">
        <v>1</v>
      </c>
      <c r="B3" t="str">
        <f>Secteurs!$B$4</f>
        <v>Abattage / découpe</v>
      </c>
      <c r="C3" t="str">
        <f>Produits!$B$4</f>
        <v>Viande</v>
      </c>
      <c r="D3">
        <v>-1</v>
      </c>
      <c r="G3" s="24" t="str">
        <f>Etiquettes!$C$7</f>
        <v>kt</v>
      </c>
      <c r="H3" s="88" t="str">
        <f>Etiquettes!$C$4</f>
        <v>Viande chevaline</v>
      </c>
      <c r="I3" s="87" t="str">
        <f>Etiquettes!$C$6</f>
        <v>2015:2019:2023</v>
      </c>
      <c r="J3" t="str">
        <f>Etiquettes!$C$5</f>
        <v>France</v>
      </c>
      <c r="K3" t="s">
        <v>445</v>
      </c>
      <c r="L3" s="24"/>
      <c r="M3" t="s">
        <v>453</v>
      </c>
      <c r="N3" t="s">
        <v>499</v>
      </c>
      <c r="O3" t="str">
        <f>Etiquettes!$I$11</f>
        <v>Rendement</v>
      </c>
      <c r="P3" t="str">
        <f>_xlfn.CONCAT(K3," = ",MROUND(D2*100,0.01)," % (",M3,")")</f>
        <v>Rendement en viande de l'abattage-découpe = 36 % (A dire d'expert)</v>
      </c>
      <c r="Q3" s="24" t="str">
        <f>Etiquettes!$I$15</f>
        <v>Elevée</v>
      </c>
      <c r="R3"/>
      <c r="S3" s="134"/>
    </row>
    <row r="4" spans="1:19">
      <c r="A4" s="8">
        <f>A2+1</f>
        <v>2</v>
      </c>
      <c r="B4" t="str">
        <f>Produits!$B$2</f>
        <v>Equins</v>
      </c>
      <c r="C4" t="str">
        <f>Secteurs!$B$4</f>
        <v>Abattage / découpe</v>
      </c>
      <c r="D4" s="26">
        <f>'Anatomie - Blézat'!D71</f>
        <v>0.10248396501457727</v>
      </c>
      <c r="G4" s="24" t="str">
        <f>Etiquettes!$C$7</f>
        <v>kt</v>
      </c>
      <c r="H4" s="88" t="str">
        <f>Etiquettes!$C$4</f>
        <v>Viande chevaline</v>
      </c>
      <c r="I4" s="87" t="str">
        <f>Etiquettes!$C$6</f>
        <v>2015:2019:2023</v>
      </c>
      <c r="J4" t="str">
        <f>Etiquettes!$C$5</f>
        <v>France</v>
      </c>
      <c r="K4"/>
      <c r="L4"/>
      <c r="M4"/>
      <c r="N4"/>
      <c r="O4"/>
      <c r="P4"/>
      <c r="Q4"/>
      <c r="R4"/>
      <c r="S4" s="134"/>
    </row>
    <row r="5" spans="1:19">
      <c r="A5" s="8">
        <f t="shared" ref="A5:A14" si="0">A3+1</f>
        <v>2</v>
      </c>
      <c r="B5" t="str">
        <f>Secteurs!$B$4</f>
        <v>Abattage / découpe</v>
      </c>
      <c r="C5" t="str">
        <f>Produits!$B$7</f>
        <v>Abats</v>
      </c>
      <c r="D5">
        <v>-1</v>
      </c>
      <c r="G5" s="24" t="str">
        <f>Etiquettes!$C$7</f>
        <v>kt</v>
      </c>
      <c r="H5" s="88" t="str">
        <f>Etiquettes!$C$4</f>
        <v>Viande chevaline</v>
      </c>
      <c r="I5" s="87" t="str">
        <f>Etiquettes!$C$6</f>
        <v>2015:2019:2023</v>
      </c>
      <c r="J5" t="str">
        <f>Etiquettes!$C$5</f>
        <v>France</v>
      </c>
      <c r="K5" t="s">
        <v>446</v>
      </c>
      <c r="L5" t="s">
        <v>466</v>
      </c>
      <c r="M5" t="s">
        <v>306</v>
      </c>
      <c r="N5" t="s">
        <v>499</v>
      </c>
      <c r="O5" t="str">
        <f>Etiquettes!$I$11</f>
        <v>Rendement</v>
      </c>
      <c r="P5" t="str">
        <f t="shared" ref="P5" si="1">_xlfn.CONCAT(K5," = ",MROUND(D4*100,0.01)," % (",M5,")")</f>
        <v>Rendement en abats de l'abattage-découpe = 10,25 % (Blézat)</v>
      </c>
      <c r="Q5" s="24" t="str">
        <f>Etiquettes!$K$15</f>
        <v>Faible</v>
      </c>
      <c r="R5"/>
      <c r="S5" s="134"/>
    </row>
    <row r="6" spans="1:19">
      <c r="A6" s="8">
        <f t="shared" si="0"/>
        <v>3</v>
      </c>
      <c r="B6" t="str">
        <f>Produits!$B$2</f>
        <v>Equins</v>
      </c>
      <c r="C6" t="str">
        <f>Secteurs!$B$4</f>
        <v>Abattage / découpe</v>
      </c>
      <c r="D6" s="26">
        <f>'Anatomie - Blézat'!D73</f>
        <v>6.0641399416909623E-2</v>
      </c>
      <c r="F6" s="26"/>
      <c r="G6" s="24" t="str">
        <f>Etiquettes!$C$7</f>
        <v>kt</v>
      </c>
      <c r="H6" s="88" t="str">
        <f>Etiquettes!$C$4</f>
        <v>Viande chevaline</v>
      </c>
      <c r="I6" s="87" t="str">
        <f>Etiquettes!$C$6</f>
        <v>2015:2019:2023</v>
      </c>
      <c r="J6" t="str">
        <f>Etiquettes!$C$5</f>
        <v>France</v>
      </c>
      <c r="K6"/>
      <c r="L6"/>
      <c r="M6"/>
      <c r="N6"/>
      <c r="O6"/>
      <c r="P6"/>
      <c r="Q6"/>
      <c r="R6"/>
      <c r="S6" s="134"/>
    </row>
    <row r="7" spans="1:19">
      <c r="A7" s="8">
        <f t="shared" si="0"/>
        <v>3</v>
      </c>
      <c r="B7" t="str">
        <f>Secteurs!$B$4</f>
        <v>Abattage / découpe</v>
      </c>
      <c r="C7" t="str">
        <f>Produits!$B$10</f>
        <v>C1</v>
      </c>
      <c r="D7">
        <v>-1</v>
      </c>
      <c r="G7" s="24" t="str">
        <f>Etiquettes!$C$7</f>
        <v>kt</v>
      </c>
      <c r="H7" s="88" t="str">
        <f>Etiquettes!$C$4</f>
        <v>Viande chevaline</v>
      </c>
      <c r="I7" s="87" t="str">
        <f>Etiquettes!$C$6</f>
        <v>2015:2019:2023</v>
      </c>
      <c r="J7" t="str">
        <f>Etiquettes!$C$5</f>
        <v>France</v>
      </c>
      <c r="K7" t="s">
        <v>447</v>
      </c>
      <c r="L7" t="s">
        <v>466</v>
      </c>
      <c r="M7" t="s">
        <v>306</v>
      </c>
      <c r="N7" t="s">
        <v>499</v>
      </c>
      <c r="O7" t="str">
        <f>Etiquettes!$I$11</f>
        <v>Rendement</v>
      </c>
      <c r="P7" t="str">
        <f t="shared" ref="P7" si="2">_xlfn.CONCAT(K7," = ",MROUND(D6*100,0.01)," % (",M7,")")</f>
        <v>Rendement en C1 de l'abattage-découpe = 6,06 % (Blézat)</v>
      </c>
      <c r="Q7" s="24" t="str">
        <f>Etiquettes!$K$15</f>
        <v>Faible</v>
      </c>
      <c r="R7"/>
      <c r="S7" s="134"/>
    </row>
    <row r="8" spans="1:19">
      <c r="A8" s="8">
        <f t="shared" si="0"/>
        <v>4</v>
      </c>
      <c r="B8" t="str">
        <f>Produits!$B$2</f>
        <v>Equins</v>
      </c>
      <c r="C8" t="str">
        <f>Secteurs!$B$4</f>
        <v>Abattage / découpe</v>
      </c>
      <c r="D8" s="26">
        <f>'Anatomie - Blézat'!D74</f>
        <v>0</v>
      </c>
      <c r="G8" s="24" t="str">
        <f>Etiquettes!$C$7</f>
        <v>kt</v>
      </c>
      <c r="H8" s="88" t="str">
        <f>Etiquettes!$C$4</f>
        <v>Viande chevaline</v>
      </c>
      <c r="I8" s="87" t="str">
        <f>Etiquettes!$C$6</f>
        <v>2015:2019:2023</v>
      </c>
      <c r="J8" t="str">
        <f>Etiquettes!$C$5</f>
        <v>France</v>
      </c>
      <c r="K8"/>
      <c r="L8"/>
      <c r="M8"/>
      <c r="N8"/>
      <c r="O8"/>
      <c r="P8"/>
      <c r="Q8"/>
      <c r="R8"/>
      <c r="S8" s="134"/>
    </row>
    <row r="9" spans="1:19">
      <c r="A9" s="8">
        <f t="shared" si="0"/>
        <v>4</v>
      </c>
      <c r="B9" t="str">
        <f>Secteurs!$B$4</f>
        <v>Abattage / découpe</v>
      </c>
      <c r="C9" t="str">
        <f>Produits!$B$11</f>
        <v>C2</v>
      </c>
      <c r="D9">
        <v>-1</v>
      </c>
      <c r="G9" s="24" t="str">
        <f>Etiquettes!$C$7</f>
        <v>kt</v>
      </c>
      <c r="H9" s="88" t="str">
        <f>Etiquettes!$C$4</f>
        <v>Viande chevaline</v>
      </c>
      <c r="I9" s="87" t="str">
        <f>Etiquettes!$C$6</f>
        <v>2015:2019:2023</v>
      </c>
      <c r="J9" t="str">
        <f>Etiquettes!$C$5</f>
        <v>France</v>
      </c>
      <c r="K9" t="s">
        <v>448</v>
      </c>
      <c r="L9" t="s">
        <v>466</v>
      </c>
      <c r="M9" t="s">
        <v>306</v>
      </c>
      <c r="N9" t="s">
        <v>499</v>
      </c>
      <c r="O9" t="str">
        <f>Etiquettes!$I$11</f>
        <v>Rendement</v>
      </c>
      <c r="P9" t="str">
        <f t="shared" ref="P9" si="3">_xlfn.CONCAT(K9," = ",MROUND(D8*100,0.01)," % (",M9,")")</f>
        <v>Rendement en C2 de l'abattage-découpe = 0 % (Blézat)</v>
      </c>
      <c r="Q9" s="24" t="str">
        <f>Etiquettes!$K$15</f>
        <v>Faible</v>
      </c>
      <c r="R9"/>
      <c r="S9" s="134"/>
    </row>
    <row r="10" spans="1:19">
      <c r="A10" s="8">
        <f t="shared" si="0"/>
        <v>5</v>
      </c>
      <c r="B10" t="str">
        <f>Produits!$B$2</f>
        <v>Equins</v>
      </c>
      <c r="C10" t="str">
        <f>Secteurs!$B$4</f>
        <v>Abattage / découpe</v>
      </c>
      <c r="D10" s="26">
        <f>'Anatomie - Blézat'!D75</f>
        <v>0.39430903790087463</v>
      </c>
      <c r="G10" s="24" t="str">
        <f>Etiquettes!$C$7</f>
        <v>kt</v>
      </c>
      <c r="H10" s="88" t="str">
        <f>Etiquettes!$C$4</f>
        <v>Viande chevaline</v>
      </c>
      <c r="I10" s="87" t="str">
        <f>Etiquettes!$C$6</f>
        <v>2015:2019:2023</v>
      </c>
      <c r="J10" t="str">
        <f>Etiquettes!$C$5</f>
        <v>France</v>
      </c>
      <c r="K10"/>
      <c r="L10"/>
      <c r="M10"/>
      <c r="N10"/>
      <c r="O10"/>
      <c r="P10"/>
      <c r="Q10"/>
      <c r="R10"/>
      <c r="S10" s="134"/>
    </row>
    <row r="11" spans="1:19">
      <c r="A11" s="8">
        <f t="shared" si="0"/>
        <v>5</v>
      </c>
      <c r="B11" t="str">
        <f>Secteurs!$B$4</f>
        <v>Abattage / découpe</v>
      </c>
      <c r="C11" t="str">
        <f>Produits!$B$12</f>
        <v>C3 et alimentaire</v>
      </c>
      <c r="D11">
        <v>-1</v>
      </c>
      <c r="G11" s="24" t="str">
        <f>Etiquettes!$C$7</f>
        <v>kt</v>
      </c>
      <c r="H11" s="88" t="str">
        <f>Etiquettes!$C$4</f>
        <v>Viande chevaline</v>
      </c>
      <c r="I11" s="87" t="str">
        <f>Etiquettes!$C$6</f>
        <v>2015:2019:2023</v>
      </c>
      <c r="J11" t="str">
        <f>Etiquettes!$C$5</f>
        <v>France</v>
      </c>
      <c r="K11" t="s">
        <v>449</v>
      </c>
      <c r="L11" t="s">
        <v>466</v>
      </c>
      <c r="M11" t="s">
        <v>306</v>
      </c>
      <c r="N11" t="s">
        <v>499</v>
      </c>
      <c r="O11" t="str">
        <f>Etiquettes!$I$11</f>
        <v>Rendement</v>
      </c>
      <c r="P11" t="str">
        <f t="shared" ref="P11" si="4">_xlfn.CONCAT(K11," = ",MROUND(D10*100,0.01)," % (",M11,")")</f>
        <v>Rendement en C3 et alimentaire de l'abattage-découpe = 39,43 % (Blézat)</v>
      </c>
      <c r="Q11" s="24" t="str">
        <f>Etiquettes!$K$15</f>
        <v>Faible</v>
      </c>
      <c r="R11"/>
      <c r="S11" s="134"/>
    </row>
    <row r="12" spans="1:19">
      <c r="A12" s="8">
        <f t="shared" si="0"/>
        <v>6</v>
      </c>
      <c r="B12" t="str">
        <f>Produits!$B$2</f>
        <v>Equins</v>
      </c>
      <c r="C12" t="str">
        <f>Secteurs!$B$4</f>
        <v>Abattage / découpe</v>
      </c>
      <c r="D12" s="26">
        <f>'Anatomie - Blézat'!D76</f>
        <v>6.9970845481049565E-2</v>
      </c>
      <c r="G12" s="24" t="str">
        <f>Etiquettes!$C$7</f>
        <v>kt</v>
      </c>
      <c r="H12" s="88" t="str">
        <f>Etiquettes!$C$4</f>
        <v>Viande chevaline</v>
      </c>
      <c r="I12" s="87" t="str">
        <f>Etiquettes!$C$6</f>
        <v>2015:2019:2023</v>
      </c>
      <c r="J12" t="str">
        <f>Etiquettes!$C$5</f>
        <v>France</v>
      </c>
      <c r="K12"/>
      <c r="L12"/>
      <c r="M12"/>
      <c r="N12"/>
      <c r="O12"/>
      <c r="P12"/>
      <c r="Q12"/>
      <c r="R12"/>
      <c r="S12" s="134"/>
    </row>
    <row r="13" spans="1:19">
      <c r="A13" s="8">
        <f t="shared" si="0"/>
        <v>6</v>
      </c>
      <c r="B13" t="str">
        <f>Secteurs!$B$4</f>
        <v>Abattage / découpe</v>
      </c>
      <c r="C13" t="str">
        <f>Produits!$B$8</f>
        <v>Peaux</v>
      </c>
      <c r="D13">
        <v>-1</v>
      </c>
      <c r="G13" s="24" t="str">
        <f>Etiquettes!$C$7</f>
        <v>kt</v>
      </c>
      <c r="H13" s="88" t="str">
        <f>Etiquettes!$C$4</f>
        <v>Viande chevaline</v>
      </c>
      <c r="I13" s="87" t="str">
        <f>Etiquettes!$C$6</f>
        <v>2015:2019:2023</v>
      </c>
      <c r="J13" t="str">
        <f>Etiquettes!$C$5</f>
        <v>France</v>
      </c>
      <c r="K13" t="s">
        <v>450</v>
      </c>
      <c r="L13" t="s">
        <v>466</v>
      </c>
      <c r="M13" t="s">
        <v>306</v>
      </c>
      <c r="N13" t="s">
        <v>499</v>
      </c>
      <c r="O13" t="str">
        <f>Etiquettes!$I$11</f>
        <v>Rendement</v>
      </c>
      <c r="P13" t="str">
        <f t="shared" ref="P13" si="5">_xlfn.CONCAT(K13," = ",MROUND(D12*100,0.01)," % (",M13,")")</f>
        <v>Rendement en peaux de l'abattage-découpe = 7 % (Blézat)</v>
      </c>
      <c r="Q13" s="24" t="str">
        <f>Etiquettes!$K$15</f>
        <v>Faible</v>
      </c>
      <c r="R13"/>
      <c r="S13" s="134"/>
    </row>
    <row r="14" spans="1:19">
      <c r="A14" s="8">
        <f t="shared" si="0"/>
        <v>7</v>
      </c>
      <c r="B14" t="str">
        <f>Produits!$B$2</f>
        <v>Equins</v>
      </c>
      <c r="C14" t="str">
        <f>Secteurs!$B$4</f>
        <v>Abattage / découpe</v>
      </c>
      <c r="D14" s="26">
        <f>'Anatomie - Blézat'!D77</f>
        <v>1.2594752186588922E-2</v>
      </c>
      <c r="G14" s="24" t="str">
        <f>Etiquettes!$C$7</f>
        <v>kt</v>
      </c>
      <c r="H14" s="88" t="str">
        <f>Etiquettes!$C$4</f>
        <v>Viande chevaline</v>
      </c>
      <c r="I14" s="87" t="str">
        <f>Etiquettes!$C$6</f>
        <v>2015:2019:2023</v>
      </c>
      <c r="J14" t="str">
        <f>Etiquettes!$C$5</f>
        <v>France</v>
      </c>
      <c r="K14"/>
      <c r="L14"/>
      <c r="M14"/>
      <c r="N14"/>
      <c r="O14"/>
      <c r="P14"/>
      <c r="Q14"/>
      <c r="R14"/>
      <c r="S14" s="134"/>
    </row>
    <row r="15" spans="1:19">
      <c r="A15" s="8">
        <f>A13+1</f>
        <v>7</v>
      </c>
      <c r="B15" t="str">
        <f>Secteurs!$B$4</f>
        <v>Abattage / découpe</v>
      </c>
      <c r="C15" t="str">
        <f>Produits!$B$22</f>
        <v>Eau - ressuage</v>
      </c>
      <c r="D15">
        <v>-1</v>
      </c>
      <c r="G15" s="24" t="str">
        <f>Etiquettes!$C$7</f>
        <v>kt</v>
      </c>
      <c r="H15" s="88" t="str">
        <f>Etiquettes!$C$4</f>
        <v>Viande chevaline</v>
      </c>
      <c r="I15" s="87" t="str">
        <f>Etiquettes!$C$6</f>
        <v>2015:2019:2023</v>
      </c>
      <c r="J15" t="str">
        <f>Etiquettes!$C$5</f>
        <v>France</v>
      </c>
      <c r="K15" t="s">
        <v>451</v>
      </c>
      <c r="L15" t="s">
        <v>466</v>
      </c>
      <c r="M15" t="s">
        <v>306</v>
      </c>
      <c r="N15" t="s">
        <v>499</v>
      </c>
      <c r="O15" t="str">
        <f>Etiquettes!$I$11</f>
        <v>Rendement</v>
      </c>
      <c r="P15" t="str">
        <f t="shared" ref="P15" si="6">_xlfn.CONCAT(K15," = ",MROUND(D14*100,0.01)," % (",M15,")")</f>
        <v>Pertes en eau de l'abattage-découpe = 1,26 % (Blézat)</v>
      </c>
      <c r="Q15" s="24" t="str">
        <f>Etiquettes!$K$15</f>
        <v>Faible</v>
      </c>
      <c r="R15"/>
      <c r="S15" s="134"/>
    </row>
    <row r="16" spans="1:19">
      <c r="E16" s="118"/>
    </row>
  </sheetData>
  <mergeCells count="1">
    <mergeCell ref="S2:S15"/>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8014D-E98D-4B0B-BE52-24A424DA09D8}">
  <sheetPr>
    <tabColor theme="1"/>
  </sheetPr>
  <dimension ref="A1:O8"/>
  <sheetViews>
    <sheetView workbookViewId="0">
      <selection activeCell="AD10" sqref="AD10"/>
    </sheetView>
  </sheetViews>
  <sheetFormatPr baseColWidth="10" defaultRowHeight="14.4"/>
  <cols>
    <col min="1" max="1" width="31.21875" bestFit="1" customWidth="1"/>
    <col min="2" max="2" width="20" bestFit="1" customWidth="1"/>
    <col min="4" max="4" width="15.5546875" customWidth="1"/>
  </cols>
  <sheetData>
    <row r="1" spans="1:15" ht="15" thickBot="1">
      <c r="A1" s="89" t="s">
        <v>19</v>
      </c>
      <c r="B1" s="90" t="s">
        <v>20</v>
      </c>
      <c r="C1" s="90" t="s">
        <v>21</v>
      </c>
      <c r="D1" s="90" t="s">
        <v>23</v>
      </c>
      <c r="E1" t="str" cm="1">
        <f t="array" ref="E1:O8">_xlfn._xlws.FILTER(Contraintes!G1:Q186,ISTEXT(Contraintes!P1:P186))</f>
        <v>Unité</v>
      </c>
      <c r="F1" t="str">
        <v>Filière</v>
      </c>
      <c r="G1" t="str">
        <v>Année</v>
      </c>
      <c r="H1" t="str">
        <v>Territoire</v>
      </c>
      <c r="I1" t="str">
        <v>Traduction</v>
      </c>
      <c r="J1" t="str">
        <v>Hypothèse</v>
      </c>
      <c r="K1" t="str">
        <v>Source</v>
      </c>
      <c r="L1" t="str">
        <v>Onglet source fichier Excel</v>
      </c>
      <c r="M1" t="str">
        <v>Type de donnée collectée</v>
      </c>
      <c r="N1" t="str">
        <v>Information collectée</v>
      </c>
      <c r="O1" t="str">
        <v>Fiabilité des données</v>
      </c>
    </row>
    <row r="2" spans="1:15">
      <c r="A2" t="str" cm="1">
        <f t="array" ref="A2:B8">_xlfn._xlws.FILTER(Contraintes!B2:C186,ISTEXT(Contraintes!P2:P186))</f>
        <v>Abattage / découpe</v>
      </c>
      <c r="B2" t="str">
        <v>Viande</v>
      </c>
      <c r="E2" t="str">
        <v>kt</v>
      </c>
      <c r="F2" t="str">
        <v>Viande chevaline</v>
      </c>
      <c r="G2" t="str">
        <v>2015:2019:2023</v>
      </c>
      <c r="H2" t="str">
        <v>France</v>
      </c>
      <c r="I2" t="str">
        <v>Rendement en viande de l'abattage-découpe</v>
      </c>
      <c r="J2">
        <v>0</v>
      </c>
      <c r="K2" t="str">
        <v>A dire d'expert</v>
      </c>
      <c r="L2" t="str">
        <v>Anatomie - Blézat</v>
      </c>
      <c r="M2" t="str">
        <v>Rendement</v>
      </c>
      <c r="N2" t="str">
        <v>Rendement en viande de l'abattage-découpe = 36 % (A dire d'expert)</v>
      </c>
      <c r="O2" t="str">
        <v>Elevée</v>
      </c>
    </row>
    <row r="3" spans="1:15">
      <c r="A3" t="str">
        <v>Abattage / découpe</v>
      </c>
      <c r="B3" t="str">
        <v>Abats</v>
      </c>
      <c r="E3" t="str">
        <v>kt</v>
      </c>
      <c r="F3" t="str">
        <v>Viande chevaline</v>
      </c>
      <c r="G3" t="str">
        <v>2015:2019:2023</v>
      </c>
      <c r="H3" t="str">
        <v>France</v>
      </c>
      <c r="I3" t="str">
        <v>Rendement en abats de l'abattage-découpe</v>
      </c>
      <c r="J3" t="str">
        <v>Même répartition que le veau (rendements d'abattage et de découpe proches) pour les autres produits et coproduits que la viande</v>
      </c>
      <c r="K3" t="str">
        <v>Blézat</v>
      </c>
      <c r="L3" t="str">
        <v>Anatomie - Blézat</v>
      </c>
      <c r="M3" t="str">
        <v>Rendement</v>
      </c>
      <c r="N3" t="str">
        <v>Rendement en abats de l'abattage-découpe = 10,25 % (Blézat)</v>
      </c>
      <c r="O3" t="str">
        <v>Faible</v>
      </c>
    </row>
    <row r="4" spans="1:15">
      <c r="A4" t="str">
        <v>Abattage / découpe</v>
      </c>
      <c r="B4" t="str">
        <v>C1</v>
      </c>
      <c r="E4" t="str">
        <v>kt</v>
      </c>
      <c r="F4" t="str">
        <v>Viande chevaline</v>
      </c>
      <c r="G4" t="str">
        <v>2015:2019:2023</v>
      </c>
      <c r="H4" t="str">
        <v>France</v>
      </c>
      <c r="I4" t="str">
        <v>Rendement en C1 de l'abattage-découpe</v>
      </c>
      <c r="J4" t="str">
        <v>Même répartition que le veau (rendements d'abattage et de découpe proches) pour les autres produits et coproduits que la viande</v>
      </c>
      <c r="K4" t="str">
        <v>Blézat</v>
      </c>
      <c r="L4" t="str">
        <v>Anatomie - Blézat</v>
      </c>
      <c r="M4" t="str">
        <v>Rendement</v>
      </c>
      <c r="N4" t="str">
        <v>Rendement en C1 de l'abattage-découpe = 6,06 % (Blézat)</v>
      </c>
      <c r="O4" t="str">
        <v>Faible</v>
      </c>
    </row>
    <row r="5" spans="1:15">
      <c r="A5" t="str">
        <v>Abattage / découpe</v>
      </c>
      <c r="B5" t="str">
        <v>C2</v>
      </c>
      <c r="E5" t="str">
        <v>kt</v>
      </c>
      <c r="F5" t="str">
        <v>Viande chevaline</v>
      </c>
      <c r="G5" t="str">
        <v>2015:2019:2023</v>
      </c>
      <c r="H5" t="str">
        <v>France</v>
      </c>
      <c r="I5" t="str">
        <v>Rendement en C2 de l'abattage-découpe</v>
      </c>
      <c r="J5" t="str">
        <v>Même répartition que le veau (rendements d'abattage et de découpe proches) pour les autres produits et coproduits que la viande</v>
      </c>
      <c r="K5" t="str">
        <v>Blézat</v>
      </c>
      <c r="L5" t="str">
        <v>Anatomie - Blézat</v>
      </c>
      <c r="M5" t="str">
        <v>Rendement</v>
      </c>
      <c r="N5" t="str">
        <v>Rendement en C2 de l'abattage-découpe = 0 % (Blézat)</v>
      </c>
      <c r="O5" t="str">
        <v>Faible</v>
      </c>
    </row>
    <row r="6" spans="1:15">
      <c r="A6" t="str">
        <v>Abattage / découpe</v>
      </c>
      <c r="B6" t="str">
        <v>C3 et alimentaire</v>
      </c>
      <c r="E6" t="str">
        <v>kt</v>
      </c>
      <c r="F6" t="str">
        <v>Viande chevaline</v>
      </c>
      <c r="G6" t="str">
        <v>2015:2019:2023</v>
      </c>
      <c r="H6" t="str">
        <v>France</v>
      </c>
      <c r="I6" t="str">
        <v>Rendement en C3 et alimentaire de l'abattage-découpe</v>
      </c>
      <c r="J6" t="str">
        <v>Même répartition que le veau (rendements d'abattage et de découpe proches) pour les autres produits et coproduits que la viande</v>
      </c>
      <c r="K6" t="str">
        <v>Blézat</v>
      </c>
      <c r="L6" t="str">
        <v>Anatomie - Blézat</v>
      </c>
      <c r="M6" t="str">
        <v>Rendement</v>
      </c>
      <c r="N6" t="str">
        <v>Rendement en C3 et alimentaire de l'abattage-découpe = 39,43 % (Blézat)</v>
      </c>
      <c r="O6" t="str">
        <v>Faible</v>
      </c>
    </row>
    <row r="7" spans="1:15">
      <c r="A7" t="str">
        <v>Abattage / découpe</v>
      </c>
      <c r="B7" t="str">
        <v>Peaux</v>
      </c>
      <c r="E7" t="str">
        <v>kt</v>
      </c>
      <c r="F7" t="str">
        <v>Viande chevaline</v>
      </c>
      <c r="G7" t="str">
        <v>2015:2019:2023</v>
      </c>
      <c r="H7" t="str">
        <v>France</v>
      </c>
      <c r="I7" t="str">
        <v>Rendement en peaux de l'abattage-découpe</v>
      </c>
      <c r="J7" t="str">
        <v>Même répartition que le veau (rendements d'abattage et de découpe proches) pour les autres produits et coproduits que la viande</v>
      </c>
      <c r="K7" t="str">
        <v>Blézat</v>
      </c>
      <c r="L7" t="str">
        <v>Anatomie - Blézat</v>
      </c>
      <c r="M7" t="str">
        <v>Rendement</v>
      </c>
      <c r="N7" t="str">
        <v>Rendement en peaux de l'abattage-découpe = 7 % (Blézat)</v>
      </c>
      <c r="O7" t="str">
        <v>Faible</v>
      </c>
    </row>
    <row r="8" spans="1:15">
      <c r="A8" t="str">
        <v>Abattage / découpe</v>
      </c>
      <c r="B8" t="str">
        <v>Eau - ressuage</v>
      </c>
      <c r="E8" t="str">
        <v>kt</v>
      </c>
      <c r="F8" t="str">
        <v>Viande chevaline</v>
      </c>
      <c r="G8" t="str">
        <v>2015:2019:2023</v>
      </c>
      <c r="H8" t="str">
        <v>France</v>
      </c>
      <c r="I8" t="str">
        <v>Pertes en eau de l'abattage-découpe</v>
      </c>
      <c r="J8" t="str">
        <v>Même répartition que le veau (rendements d'abattage et de découpe proches) pour les autres produits et coproduits que la viande</v>
      </c>
      <c r="K8" t="str">
        <v>Blézat</v>
      </c>
      <c r="L8" t="str">
        <v>Anatomie - Blézat</v>
      </c>
      <c r="M8" t="str">
        <v>Rendement</v>
      </c>
      <c r="N8" t="str">
        <v>Pertes en eau de l'abattage-découpe = 1,26 % (Blézat)</v>
      </c>
      <c r="O8" t="str">
        <v>Faible</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1EFE-D11C-4ECD-B7B9-7BD1816B6D18}">
  <sheetPr>
    <tabColor rgb="FFFFC000"/>
  </sheetPr>
  <dimension ref="A1:L77"/>
  <sheetViews>
    <sheetView topLeftCell="A41" zoomScaleNormal="100" workbookViewId="0">
      <selection activeCell="K75" sqref="K75"/>
    </sheetView>
  </sheetViews>
  <sheetFormatPr baseColWidth="10" defaultRowHeight="14.4"/>
  <cols>
    <col min="1" max="5" width="11.5546875" style="92"/>
    <col min="6" max="6" width="12.21875" style="92" bestFit="1" customWidth="1"/>
    <col min="7" max="7" width="11.77734375" style="92" bestFit="1" customWidth="1"/>
    <col min="8" max="8" width="12.109375" style="92" customWidth="1"/>
    <col min="9" max="16384" width="11.5546875" style="92"/>
  </cols>
  <sheetData>
    <row r="1" spans="1:8">
      <c r="A1" s="91" t="s">
        <v>167</v>
      </c>
    </row>
    <row r="2" spans="1:8">
      <c r="H2" s="92" t="s">
        <v>168</v>
      </c>
    </row>
    <row r="3" spans="1:8">
      <c r="A3" s="93" t="s">
        <v>169</v>
      </c>
      <c r="H3" s="92" t="s">
        <v>170</v>
      </c>
    </row>
    <row r="4" spans="1:8">
      <c r="D4" s="112"/>
    </row>
    <row r="5" spans="1:8">
      <c r="B5" s="91" t="s">
        <v>6</v>
      </c>
      <c r="C5" s="92" t="s">
        <v>171</v>
      </c>
      <c r="D5" s="112" t="s">
        <v>172</v>
      </c>
      <c r="E5" s="92" t="s">
        <v>173</v>
      </c>
      <c r="F5" s="92" t="s">
        <v>414</v>
      </c>
      <c r="G5" s="92" t="s">
        <v>415</v>
      </c>
      <c r="H5" s="92" t="s">
        <v>174</v>
      </c>
    </row>
    <row r="6" spans="1:8">
      <c r="B6" s="92" t="s">
        <v>175</v>
      </c>
      <c r="C6" s="92">
        <v>670</v>
      </c>
      <c r="D6" s="113">
        <f>C6/$C$6</f>
        <v>1</v>
      </c>
      <c r="E6" s="94">
        <f t="shared" ref="E6:E10" si="0">C6/$C$7</f>
        <v>1.8108108108108107</v>
      </c>
      <c r="F6" s="95">
        <f>E6*'Abattages - AGRESTE'!$G$7</f>
        <v>2309694.6216216213</v>
      </c>
      <c r="G6" s="95">
        <f>E6*'Abattages - AGRESTE'!$H$7</f>
        <v>2260480.4054054054</v>
      </c>
      <c r="H6" s="95">
        <f>E6*'Abattages - AGRESTE'!$I$7</f>
        <v>2084866.1621621621</v>
      </c>
    </row>
    <row r="7" spans="1:8">
      <c r="B7" s="93" t="s">
        <v>176</v>
      </c>
      <c r="C7" s="93">
        <v>370</v>
      </c>
      <c r="D7" s="114">
        <f>C7/$C$6</f>
        <v>0.55223880597014929</v>
      </c>
      <c r="E7" s="96">
        <f t="shared" si="0"/>
        <v>1</v>
      </c>
      <c r="F7" s="97">
        <f>E7*'Abattages - AGRESTE'!$G$7</f>
        <v>1275503</v>
      </c>
      <c r="G7" s="97">
        <f>E7*'Abattages - AGRESTE'!$H$7</f>
        <v>1248325</v>
      </c>
      <c r="H7" s="97">
        <f>E7*'Abattages - AGRESTE'!$I$7</f>
        <v>1151344</v>
      </c>
    </row>
    <row r="8" spans="1:8">
      <c r="B8" s="92" t="s">
        <v>49</v>
      </c>
      <c r="C8" s="92">
        <v>257</v>
      </c>
      <c r="D8" s="113">
        <f>C8/$C$6</f>
        <v>0.38358208955223883</v>
      </c>
      <c r="E8" s="94">
        <f t="shared" si="0"/>
        <v>0.69459459459459461</v>
      </c>
      <c r="F8" s="95">
        <f>E8*'Abattages - AGRESTE'!$G$7</f>
        <v>885957.48918918916</v>
      </c>
      <c r="G8" s="95">
        <f>E8*'Abattages - AGRESTE'!$H$7</f>
        <v>867079.79729729728</v>
      </c>
      <c r="H8" s="95">
        <f>E8*'Abattages - AGRESTE'!$I$7</f>
        <v>799717.31891891896</v>
      </c>
    </row>
    <row r="9" spans="1:8">
      <c r="B9" s="92" t="s">
        <v>50</v>
      </c>
      <c r="C9" s="92">
        <f>43.3+4.8</f>
        <v>48.099999999999994</v>
      </c>
      <c r="D9" s="113">
        <f t="shared" ref="D9:D15" si="1">C9/$C$6</f>
        <v>7.1791044776119389E-2</v>
      </c>
      <c r="E9" s="94">
        <f t="shared" si="0"/>
        <v>0.12999999999999998</v>
      </c>
      <c r="F9" s="95">
        <f>E9*'Abattages - AGRESTE'!$G$7</f>
        <v>165815.38999999996</v>
      </c>
      <c r="G9" s="95">
        <f>E9*'Abattages - AGRESTE'!$H$7</f>
        <v>162282.24999999997</v>
      </c>
      <c r="H9" s="95">
        <f>E9*'Abattages - AGRESTE'!$I$7</f>
        <v>149674.71999999997</v>
      </c>
    </row>
    <row r="10" spans="1:8">
      <c r="B10" s="92" t="s">
        <v>51</v>
      </c>
      <c r="C10" s="92">
        <f>C6-(C9+C14+C15+C8)</f>
        <v>319.10000000000002</v>
      </c>
      <c r="D10" s="113">
        <f>C10/$C$6</f>
        <v>0.47626865671641794</v>
      </c>
      <c r="E10" s="94">
        <f t="shared" si="0"/>
        <v>0.86243243243243251</v>
      </c>
      <c r="F10" s="95">
        <f>E10*'Abattages - AGRESTE'!$G$7</f>
        <v>1100035.1548648649</v>
      </c>
      <c r="G10" s="95">
        <f>E10*'Abattages - AGRESTE'!$H$7</f>
        <v>1076595.9662162163</v>
      </c>
      <c r="H10" s="95">
        <f>E10*'Abattages - AGRESTE'!$I$7</f>
        <v>992956.40648648655</v>
      </c>
    </row>
    <row r="11" spans="1:8">
      <c r="B11" s="99" t="s">
        <v>177</v>
      </c>
      <c r="C11" s="92">
        <f>26.2+1+7</f>
        <v>34.200000000000003</v>
      </c>
      <c r="D11" s="113">
        <f t="shared" ref="D11:D13" si="2">C11/$C$6</f>
        <v>5.1044776119402988E-2</v>
      </c>
      <c r="E11" s="94">
        <f>C11/$C$7</f>
        <v>9.2432432432432446E-2</v>
      </c>
      <c r="F11" s="95">
        <f>E11*'Abattages - AGRESTE'!$G$7</f>
        <v>117897.84486486488</v>
      </c>
      <c r="G11" s="95">
        <f>E11*'Abattages - AGRESTE'!$H$7</f>
        <v>115385.71621621623</v>
      </c>
      <c r="H11" s="95">
        <f>E11*'Abattages - AGRESTE'!$I$7</f>
        <v>106421.5264864865</v>
      </c>
    </row>
    <row r="12" spans="1:8">
      <c r="B12" s="99" t="s">
        <v>178</v>
      </c>
      <c r="C12" s="92">
        <v>67.2</v>
      </c>
      <c r="D12" s="113">
        <f t="shared" si="2"/>
        <v>0.10029850746268656</v>
      </c>
      <c r="E12" s="94">
        <f t="shared" ref="E12" si="3">C12/$C$7</f>
        <v>0.18162162162162163</v>
      </c>
      <c r="F12" s="95">
        <f>E12*'Abattages - AGRESTE'!$G$7</f>
        <v>231658.92324324325</v>
      </c>
      <c r="G12" s="95">
        <f>E12*'Abattages - AGRESTE'!$H$7</f>
        <v>226722.81081081083</v>
      </c>
      <c r="H12" s="95">
        <f>E12*'Abattages - AGRESTE'!$I$7</f>
        <v>209108.96432432433</v>
      </c>
    </row>
    <row r="13" spans="1:8">
      <c r="B13" s="99" t="s">
        <v>179</v>
      </c>
      <c r="C13" s="92">
        <f>C10-(C11+C12)</f>
        <v>217.70000000000002</v>
      </c>
      <c r="D13" s="113">
        <f t="shared" si="2"/>
        <v>0.3249253731343284</v>
      </c>
      <c r="E13" s="94">
        <f>C13/$C$7</f>
        <v>0.58837837837837847</v>
      </c>
      <c r="F13" s="95">
        <f>E13*'Abattages - AGRESTE'!$G$7</f>
        <v>750478.38675675693</v>
      </c>
      <c r="G13" s="95">
        <f>E13*'Abattages - AGRESTE'!$H$7</f>
        <v>734487.43918918935</v>
      </c>
      <c r="H13" s="95">
        <f>E13*'Abattages - AGRESTE'!$I$7</f>
        <v>677425.91567567573</v>
      </c>
    </row>
    <row r="14" spans="1:8">
      <c r="B14" s="92" t="s">
        <v>55</v>
      </c>
      <c r="C14" s="92">
        <v>37.4</v>
      </c>
      <c r="D14" s="113">
        <f t="shared" si="1"/>
        <v>5.5820895522388059E-2</v>
      </c>
      <c r="E14" s="94">
        <f t="shared" ref="E14:E15" si="4">C14/$C$7</f>
        <v>0.10108108108108108</v>
      </c>
      <c r="F14" s="95">
        <f>E14*'Abattages - AGRESTE'!$G$7</f>
        <v>128929.22216216216</v>
      </c>
      <c r="G14" s="95">
        <f>E14*'Abattages - AGRESTE'!$H$7</f>
        <v>126182.04054054053</v>
      </c>
      <c r="H14" s="95">
        <f>E14*'Abattages - AGRESTE'!$I$7</f>
        <v>116379.0962162162</v>
      </c>
    </row>
    <row r="15" spans="1:8">
      <c r="B15" s="92" t="s">
        <v>56</v>
      </c>
      <c r="C15" s="92">
        <v>8.4</v>
      </c>
      <c r="D15" s="113">
        <f t="shared" si="1"/>
        <v>1.2537313432835821E-2</v>
      </c>
      <c r="E15" s="94">
        <f t="shared" si="4"/>
        <v>2.2702702702702703E-2</v>
      </c>
      <c r="F15" s="95">
        <f>E15*'Abattages - AGRESTE'!$G$7</f>
        <v>28957.365405405406</v>
      </c>
      <c r="G15" s="95">
        <f>E15*'Abattages - AGRESTE'!$H$7</f>
        <v>28340.351351351354</v>
      </c>
      <c r="H15" s="95">
        <f>E15*'Abattages - AGRESTE'!$I$7</f>
        <v>26138.620540540542</v>
      </c>
    </row>
    <row r="16" spans="1:8">
      <c r="D16" s="115"/>
    </row>
    <row r="17" spans="2:8">
      <c r="D17" s="112"/>
    </row>
    <row r="18" spans="2:8">
      <c r="B18" s="91" t="s">
        <v>47</v>
      </c>
      <c r="C18" s="92" t="s">
        <v>171</v>
      </c>
      <c r="D18" s="112" t="s">
        <v>172</v>
      </c>
      <c r="E18" s="92" t="s">
        <v>173</v>
      </c>
      <c r="F18" s="92" t="s">
        <v>414</v>
      </c>
      <c r="G18" s="92" t="s">
        <v>415</v>
      </c>
      <c r="H18" s="92" t="s">
        <v>174</v>
      </c>
    </row>
    <row r="19" spans="2:8">
      <c r="B19" s="92" t="s">
        <v>175</v>
      </c>
      <c r="C19" s="92">
        <v>231</v>
      </c>
      <c r="D19" s="113">
        <f t="shared" ref="D19:D28" si="5">C19/$C$19</f>
        <v>1</v>
      </c>
      <c r="E19" s="94">
        <f>C19/$C$20</f>
        <v>1.7238805970149254</v>
      </c>
      <c r="F19" s="95">
        <f>E19*'Abattages - AGRESTE'!$G$4</f>
        <v>308853.89552238805</v>
      </c>
      <c r="G19" s="95">
        <f>E19*'Abattages - AGRESTE'!$H$4</f>
        <v>312158.57462686568</v>
      </c>
      <c r="H19" s="95">
        <f>E19*'Abattages - AGRESTE'!$I$4</f>
        <v>257497.76865671642</v>
      </c>
    </row>
    <row r="20" spans="2:8">
      <c r="B20" s="93" t="s">
        <v>176</v>
      </c>
      <c r="C20" s="93">
        <v>134</v>
      </c>
      <c r="D20" s="116">
        <f t="shared" si="5"/>
        <v>0.58008658008658009</v>
      </c>
      <c r="E20" s="96">
        <f t="shared" ref="E20:E23" si="6">C20/$C$20</f>
        <v>1</v>
      </c>
      <c r="F20" s="97">
        <f>E20*'Abattages - AGRESTE'!$G$4</f>
        <v>179162</v>
      </c>
      <c r="G20" s="97">
        <f>E20*'Abattages - AGRESTE'!$H$4</f>
        <v>181079</v>
      </c>
      <c r="H20" s="97">
        <f>E20*'Abattages - AGRESTE'!$I$4</f>
        <v>149371</v>
      </c>
    </row>
    <row r="21" spans="2:8">
      <c r="B21" s="92" t="s">
        <v>49</v>
      </c>
      <c r="C21" s="92">
        <v>93.8</v>
      </c>
      <c r="D21" s="113">
        <f t="shared" si="5"/>
        <v>0.40606060606060607</v>
      </c>
      <c r="E21" s="94">
        <f t="shared" si="6"/>
        <v>0.7</v>
      </c>
      <c r="F21" s="95">
        <f>E21*'Abattages - AGRESTE'!$G$4</f>
        <v>125413.4</v>
      </c>
      <c r="G21" s="95">
        <f>E21*'Abattages - AGRESTE'!$H$4</f>
        <v>126755.29999999999</v>
      </c>
      <c r="H21" s="95">
        <f>E21*'Abattages - AGRESTE'!$I$4</f>
        <v>104559.7</v>
      </c>
    </row>
    <row r="22" spans="2:8">
      <c r="B22" s="92" t="s">
        <v>50</v>
      </c>
      <c r="C22" s="102">
        <f>3.2+8+1.75+8.9-2.3+2+0.42</f>
        <v>21.970000000000002</v>
      </c>
      <c r="D22" s="113">
        <f t="shared" si="5"/>
        <v>9.5108225108225114E-2</v>
      </c>
      <c r="E22" s="94">
        <f t="shared" si="6"/>
        <v>0.16395522388059702</v>
      </c>
      <c r="F22" s="95">
        <f>E22*'Abattages - AGRESTE'!$G$4</f>
        <v>29374.545820895524</v>
      </c>
      <c r="G22" s="95">
        <f>E22*'Abattages - AGRESTE'!$H$4</f>
        <v>29688.84798507463</v>
      </c>
      <c r="H22" s="95">
        <f>E22*'Abattages - AGRESTE'!$I$4</f>
        <v>24490.155746268658</v>
      </c>
    </row>
    <row r="23" spans="2:8">
      <c r="B23" s="93" t="s">
        <v>51</v>
      </c>
      <c r="C23" s="103">
        <f>C19-C21-C22-C27-C28</f>
        <v>97.529999999999987</v>
      </c>
      <c r="D23" s="116">
        <f t="shared" si="5"/>
        <v>0.42220779220779214</v>
      </c>
      <c r="E23" s="96">
        <f t="shared" si="6"/>
        <v>0.72783582089552235</v>
      </c>
      <c r="F23" s="95">
        <f>E23*'Abattages - AGRESTE'!$G$4</f>
        <v>130400.52134328357</v>
      </c>
      <c r="G23" s="95">
        <f>E23*'Abattages - AGRESTE'!$H$4</f>
        <v>131795.78261194029</v>
      </c>
      <c r="H23" s="95">
        <f>E23*'Abattages - AGRESTE'!$I$4</f>
        <v>108717.56440298507</v>
      </c>
    </row>
    <row r="24" spans="2:8">
      <c r="B24" s="99" t="s">
        <v>177</v>
      </c>
      <c r="C24" s="92">
        <v>13</v>
      </c>
      <c r="D24" s="113">
        <f t="shared" si="5"/>
        <v>5.627705627705628E-2</v>
      </c>
      <c r="E24" s="94">
        <f>C24/$C$20</f>
        <v>9.7014925373134331E-2</v>
      </c>
      <c r="F24" s="95">
        <f>E24*'Abattages - AGRESTE'!$G$4</f>
        <v>17381.388059701494</v>
      </c>
      <c r="G24" s="95">
        <f>E24*'Abattages - AGRESTE'!$H$4</f>
        <v>17567.36567164179</v>
      </c>
      <c r="H24" s="95">
        <f>E24*'Abattages - AGRESTE'!$I$4</f>
        <v>14491.216417910447</v>
      </c>
    </row>
    <row r="25" spans="2:8">
      <c r="B25" s="99" t="s">
        <v>178</v>
      </c>
      <c r="C25" s="92">
        <v>0</v>
      </c>
      <c r="D25" s="113">
        <f t="shared" si="5"/>
        <v>0</v>
      </c>
      <c r="E25" s="94">
        <f t="shared" ref="E25" si="7">C25/$C$20</f>
        <v>0</v>
      </c>
      <c r="F25" s="95">
        <f>E25*'Abattages - AGRESTE'!$G$4</f>
        <v>0</v>
      </c>
      <c r="G25" s="95">
        <f>E25*'Abattages - AGRESTE'!$H$4</f>
        <v>0</v>
      </c>
      <c r="H25" s="95">
        <f>E25*'Abattages - AGRESTE'!$I$4</f>
        <v>0</v>
      </c>
    </row>
    <row r="26" spans="2:8">
      <c r="B26" s="99" t="s">
        <v>179</v>
      </c>
      <c r="C26" s="102">
        <f>C23-C24</f>
        <v>84.529999999999987</v>
      </c>
      <c r="D26" s="113">
        <f t="shared" si="5"/>
        <v>0.36593073593073588</v>
      </c>
      <c r="E26" s="94">
        <f>C26/$C$20</f>
        <v>0.63082089552238796</v>
      </c>
      <c r="F26" s="95">
        <f>E26*'Abattages - AGRESTE'!$G$4</f>
        <v>113019.13328358206</v>
      </c>
      <c r="G26" s="95">
        <f>E26*'Abattages - AGRESTE'!$H$4</f>
        <v>114228.41694029848</v>
      </c>
      <c r="H26" s="95">
        <f>E26*'Abattages - AGRESTE'!$I$4</f>
        <v>94226.347985074608</v>
      </c>
    </row>
    <row r="27" spans="2:8">
      <c r="B27" s="92" t="s">
        <v>55</v>
      </c>
      <c r="C27" s="92">
        <v>15</v>
      </c>
      <c r="D27" s="113">
        <f t="shared" si="5"/>
        <v>6.4935064935064929E-2</v>
      </c>
      <c r="E27" s="94">
        <f t="shared" ref="E27:E28" si="8">C27/$C$20</f>
        <v>0.11194029850746269</v>
      </c>
      <c r="F27" s="95">
        <f>E27*'Abattages - AGRESTE'!$G$4</f>
        <v>20055.447761194031</v>
      </c>
      <c r="G27" s="95">
        <f>E27*'Abattages - AGRESTE'!$H$4</f>
        <v>20270.037313432837</v>
      </c>
      <c r="H27" s="95">
        <f>E27*'Abattages - AGRESTE'!$I$4</f>
        <v>16720.63432835821</v>
      </c>
    </row>
    <row r="28" spans="2:8">
      <c r="B28" s="92" t="s">
        <v>56</v>
      </c>
      <c r="C28" s="92">
        <v>2.7</v>
      </c>
      <c r="D28" s="113">
        <f t="shared" si="5"/>
        <v>1.1688311688311689E-2</v>
      </c>
      <c r="E28" s="94">
        <f t="shared" si="8"/>
        <v>2.0149253731343283E-2</v>
      </c>
      <c r="F28" s="95">
        <f>E28*'Abattages - AGRESTE'!$G$4</f>
        <v>3609.9805970149255</v>
      </c>
      <c r="G28" s="95">
        <f>E28*'Abattages - AGRESTE'!$H$4</f>
        <v>3648.6067164179103</v>
      </c>
      <c r="H28" s="95">
        <f>E28*'Abattages - AGRESTE'!$I$4</f>
        <v>3009.7141791044778</v>
      </c>
    </row>
    <row r="29" spans="2:8">
      <c r="C29" s="102"/>
      <c r="D29" s="100"/>
    </row>
    <row r="31" spans="2:8">
      <c r="B31" s="91" t="s">
        <v>180</v>
      </c>
      <c r="C31" s="92" t="s">
        <v>171</v>
      </c>
      <c r="D31" s="92" t="s">
        <v>172</v>
      </c>
      <c r="E31" s="92" t="s">
        <v>173</v>
      </c>
      <c r="F31" s="92" t="s">
        <v>414</v>
      </c>
      <c r="G31" s="92" t="s">
        <v>415</v>
      </c>
      <c r="H31" s="92" t="s">
        <v>174</v>
      </c>
    </row>
    <row r="32" spans="2:8">
      <c r="B32" s="92" t="s">
        <v>175</v>
      </c>
      <c r="C32" s="92">
        <v>115</v>
      </c>
      <c r="D32" s="94">
        <f>C32/$C$32</f>
        <v>1</v>
      </c>
      <c r="E32" s="94">
        <f t="shared" ref="E32:E40" si="9">C32/$C$33</f>
        <v>1.2921348314606742</v>
      </c>
      <c r="F32" s="95">
        <f>E32*'Abattages - AGRESTE'!$G$25</f>
        <v>2820645.0561797754</v>
      </c>
      <c r="G32" s="95">
        <f>E32*'Abattages - AGRESTE'!$H$25</f>
        <v>2845208.5393258426</v>
      </c>
      <c r="H32" s="95">
        <f>E32*'Abattages - AGRESTE'!$I$25</f>
        <v>2668146.0112359552</v>
      </c>
    </row>
    <row r="33" spans="2:8">
      <c r="B33" s="93" t="s">
        <v>176</v>
      </c>
      <c r="C33" s="93">
        <v>89</v>
      </c>
      <c r="D33" s="96">
        <f t="shared" ref="D33:D40" si="10">C33/$C$32</f>
        <v>0.77391304347826084</v>
      </c>
      <c r="E33" s="96">
        <f t="shared" si="9"/>
        <v>1</v>
      </c>
      <c r="F33" s="97">
        <f>E33*'Abattages - AGRESTE'!$G$25</f>
        <v>2182934</v>
      </c>
      <c r="G33" s="97">
        <f>E33*'Abattages - AGRESTE'!$H$25</f>
        <v>2201944</v>
      </c>
      <c r="H33" s="97">
        <f>E33*'Abattages - AGRESTE'!$I$25</f>
        <v>2064913</v>
      </c>
    </row>
    <row r="34" spans="2:8">
      <c r="B34" s="92" t="s">
        <v>49</v>
      </c>
      <c r="C34" s="92">
        <v>68</v>
      </c>
      <c r="D34" s="94">
        <f t="shared" si="10"/>
        <v>0.59130434782608698</v>
      </c>
      <c r="E34" s="94">
        <f t="shared" si="9"/>
        <v>0.7640449438202247</v>
      </c>
      <c r="F34" s="95">
        <f>E34*'Abattages - AGRESTE'!$G$25</f>
        <v>1667859.6853932585</v>
      </c>
      <c r="G34" s="95">
        <f>E34*'Abattages - AGRESTE'!$H$25</f>
        <v>1682384.1797752809</v>
      </c>
      <c r="H34" s="95">
        <f>E34*'Abattages - AGRESTE'!$I$25</f>
        <v>1577686.3370786516</v>
      </c>
    </row>
    <row r="35" spans="2:8">
      <c r="B35" s="92" t="s">
        <v>50</v>
      </c>
      <c r="C35" s="92">
        <f>0.5+2.4+1.5+0.6+0.35+0.5+0.35+0.31+3+5-0.1</f>
        <v>14.409999999999998</v>
      </c>
      <c r="D35" s="94">
        <f t="shared" si="10"/>
        <v>0.12530434782608693</v>
      </c>
      <c r="E35" s="94">
        <f t="shared" si="9"/>
        <v>0.16191011235955055</v>
      </c>
      <c r="F35" s="95">
        <f>E35*'Abattages - AGRESTE'!$G$25</f>
        <v>353439.08921348309</v>
      </c>
      <c r="G35" s="95">
        <f>E35*'Abattages - AGRESTE'!$H$25</f>
        <v>356517.00044943817</v>
      </c>
      <c r="H35" s="95">
        <f>E35*'Abattages - AGRESTE'!$I$25</f>
        <v>334330.29584269662</v>
      </c>
    </row>
    <row r="36" spans="2:8">
      <c r="B36" s="92" t="s">
        <v>51</v>
      </c>
      <c r="C36" s="92">
        <f>C32-(C35+C40+C34)</f>
        <v>30.790000000000006</v>
      </c>
      <c r="D36" s="94">
        <f t="shared" si="10"/>
        <v>0.26773913043478265</v>
      </c>
      <c r="E36" s="94">
        <f t="shared" si="9"/>
        <v>0.34595505617977534</v>
      </c>
      <c r="F36" s="95">
        <f>E36*'Abattages - AGRESTE'!$G$25</f>
        <v>755197.05460674176</v>
      </c>
      <c r="G36" s="95">
        <f>E36*'Abattages - AGRESTE'!$H$25</f>
        <v>761773.66022471921</v>
      </c>
      <c r="H36" s="95">
        <f>E36*'Abattages - AGRESTE'!$I$25</f>
        <v>714367.09292134841</v>
      </c>
    </row>
    <row r="37" spans="2:8">
      <c r="B37" s="99" t="s">
        <v>177</v>
      </c>
      <c r="C37" s="92">
        <v>0</v>
      </c>
      <c r="D37" s="94">
        <f t="shared" si="10"/>
        <v>0</v>
      </c>
      <c r="E37" s="94">
        <f>C37/$C$33</f>
        <v>0</v>
      </c>
      <c r="F37" s="95">
        <f>E37*'Abattages - AGRESTE'!$G$25</f>
        <v>0</v>
      </c>
      <c r="G37" s="95">
        <f>E37*'Abattages - AGRESTE'!$H$25</f>
        <v>0</v>
      </c>
      <c r="H37" s="95">
        <f>E37*'Abattages - AGRESTE'!$I$25</f>
        <v>0</v>
      </c>
    </row>
    <row r="38" spans="2:8">
      <c r="B38" s="99" t="s">
        <v>178</v>
      </c>
      <c r="C38" s="92">
        <f>7+0.3</f>
        <v>7.3</v>
      </c>
      <c r="D38" s="94">
        <f t="shared" si="10"/>
        <v>6.347826086956522E-2</v>
      </c>
      <c r="E38" s="94">
        <f t="shared" si="9"/>
        <v>8.202247191011236E-2</v>
      </c>
      <c r="F38" s="95">
        <f>E38*'Abattages - AGRESTE'!$G$25</f>
        <v>179049.64269662922</v>
      </c>
      <c r="G38" s="95">
        <f>E38*'Abattages - AGRESTE'!$H$25</f>
        <v>180608.88988764046</v>
      </c>
      <c r="H38" s="95">
        <f>E38*'Abattages - AGRESTE'!$I$25</f>
        <v>169369.26853932586</v>
      </c>
    </row>
    <row r="39" spans="2:8">
      <c r="B39" s="99" t="s">
        <v>179</v>
      </c>
      <c r="C39" s="92">
        <f>C36-C38</f>
        <v>23.490000000000006</v>
      </c>
      <c r="D39" s="94">
        <f t="shared" si="10"/>
        <v>0.20426086956521744</v>
      </c>
      <c r="E39" s="94">
        <f t="shared" si="9"/>
        <v>0.26393258426966298</v>
      </c>
      <c r="F39" s="95">
        <f>E39*'Abattages - AGRESTE'!$G$25</f>
        <v>576147.41191011248</v>
      </c>
      <c r="G39" s="95">
        <f>E39*'Abattages - AGRESTE'!$H$25</f>
        <v>581164.77033707884</v>
      </c>
      <c r="H39" s="95">
        <f>E39*'Abattages - AGRESTE'!$I$25</f>
        <v>544997.82438202261</v>
      </c>
    </row>
    <row r="40" spans="2:8">
      <c r="B40" s="92" t="s">
        <v>56</v>
      </c>
      <c r="C40" s="92">
        <v>1.8</v>
      </c>
      <c r="D40" s="94">
        <f t="shared" si="10"/>
        <v>1.5652173913043479E-2</v>
      </c>
      <c r="E40" s="94">
        <f t="shared" si="9"/>
        <v>2.0224719101123598E-2</v>
      </c>
      <c r="F40" s="95">
        <f>E40*'Abattages - AGRESTE'!$G$25</f>
        <v>44149.226966292139</v>
      </c>
      <c r="G40" s="95">
        <f>E40*'Abattages - AGRESTE'!$H$25</f>
        <v>44533.698876404502</v>
      </c>
      <c r="H40" s="95">
        <f>E40*'Abattages - AGRESTE'!$I$25</f>
        <v>41762.285393258433</v>
      </c>
    </row>
    <row r="43" spans="2:8">
      <c r="B43" s="91" t="s">
        <v>120</v>
      </c>
      <c r="C43" s="92" t="s">
        <v>171</v>
      </c>
      <c r="D43" s="92" t="s">
        <v>172</v>
      </c>
      <c r="E43" s="92" t="s">
        <v>173</v>
      </c>
      <c r="F43" s="92" t="s">
        <v>414</v>
      </c>
      <c r="G43" s="92" t="s">
        <v>415</v>
      </c>
      <c r="H43" s="92" t="s">
        <v>174</v>
      </c>
    </row>
    <row r="44" spans="2:8">
      <c r="B44" s="92" t="s">
        <v>175</v>
      </c>
      <c r="C44" s="92">
        <v>36</v>
      </c>
      <c r="D44" s="94">
        <f t="shared" ref="D44:D45" si="11">C44/$C$44</f>
        <v>1</v>
      </c>
      <c r="E44" s="94">
        <f t="shared" ref="E44:E48" si="12">C44/$C$45</f>
        <v>2</v>
      </c>
      <c r="F44" s="95">
        <f>E44*'Abattages - AGRESTE'!$G$31</f>
        <v>160904</v>
      </c>
      <c r="G44" s="95">
        <f>E44*'Abattages - AGRESTE'!$H$31</f>
        <v>161670</v>
      </c>
      <c r="H44" s="95">
        <f>E44*'Abattages - AGRESTE'!$I$31</f>
        <v>145870</v>
      </c>
    </row>
    <row r="45" spans="2:8">
      <c r="B45" s="93" t="s">
        <v>176</v>
      </c>
      <c r="C45" s="93">
        <v>18</v>
      </c>
      <c r="D45" s="96">
        <f t="shared" si="11"/>
        <v>0.5</v>
      </c>
      <c r="E45" s="96">
        <f t="shared" si="12"/>
        <v>1</v>
      </c>
      <c r="F45" s="97">
        <f>E45*'Abattages - AGRESTE'!$G$31</f>
        <v>80452</v>
      </c>
      <c r="G45" s="97">
        <f>E45*'Abattages - AGRESTE'!$H$31</f>
        <v>80835</v>
      </c>
      <c r="H45" s="97">
        <f>E45*'Abattages - AGRESTE'!$I$31</f>
        <v>72935</v>
      </c>
    </row>
    <row r="46" spans="2:8">
      <c r="B46" s="92" t="s">
        <v>49</v>
      </c>
      <c r="C46" s="92">
        <v>14.4</v>
      </c>
      <c r="D46" s="94">
        <f t="shared" ref="D46:D53" si="13">C46/$C$44</f>
        <v>0.4</v>
      </c>
      <c r="E46" s="94">
        <f t="shared" si="12"/>
        <v>0.8</v>
      </c>
      <c r="F46" s="95">
        <f>E46*'Abattages - AGRESTE'!$G$31</f>
        <v>64361.600000000006</v>
      </c>
      <c r="G46" s="95">
        <f>E46*'Abattages - AGRESTE'!$H$31</f>
        <v>64668</v>
      </c>
      <c r="H46" s="95">
        <f>E46*'Abattages - AGRESTE'!$I$31</f>
        <v>58348</v>
      </c>
    </row>
    <row r="47" spans="2:8">
      <c r="B47" s="92" t="s">
        <v>50</v>
      </c>
      <c r="C47" s="104">
        <f>0.7+1.5+0.3+1.19-0.1</f>
        <v>3.59</v>
      </c>
      <c r="D47" s="94">
        <f t="shared" si="13"/>
        <v>9.9722222222222212E-2</v>
      </c>
      <c r="E47" s="94">
        <f t="shared" si="12"/>
        <v>0.19944444444444442</v>
      </c>
      <c r="F47" s="95">
        <f>E47*'Abattages - AGRESTE'!$G$31</f>
        <v>16045.704444444444</v>
      </c>
      <c r="G47" s="95">
        <f>E47*'Abattages - AGRESTE'!$H$31</f>
        <v>16122.091666666665</v>
      </c>
      <c r="H47" s="95">
        <f>E47*'Abattages - AGRESTE'!$I$31</f>
        <v>14546.480555555554</v>
      </c>
    </row>
    <row r="48" spans="2:8">
      <c r="B48" s="92" t="s">
        <v>51</v>
      </c>
      <c r="C48" s="104">
        <f>C44-(C47+C52+C53+C46)</f>
        <v>13.91</v>
      </c>
      <c r="D48" s="94">
        <f t="shared" si="13"/>
        <v>0.38638888888888889</v>
      </c>
      <c r="E48" s="94">
        <f t="shared" si="12"/>
        <v>0.77277777777777779</v>
      </c>
      <c r="F48" s="95">
        <f>E48*'Abattages - AGRESTE'!$G$31</f>
        <v>62171.517777777779</v>
      </c>
      <c r="G48" s="95">
        <f>E48*'Abattages - AGRESTE'!$H$31</f>
        <v>62467.491666666669</v>
      </c>
      <c r="H48" s="95">
        <f>E48*'Abattages - AGRESTE'!$I$31</f>
        <v>56362.547222222223</v>
      </c>
    </row>
    <row r="49" spans="2:8">
      <c r="B49" s="99" t="s">
        <v>177</v>
      </c>
      <c r="C49" s="92">
        <f>1+0.5</f>
        <v>1.5</v>
      </c>
      <c r="D49" s="94">
        <f t="shared" si="13"/>
        <v>4.1666666666666664E-2</v>
      </c>
      <c r="E49" s="94">
        <f>C49/$C$45</f>
        <v>8.3333333333333329E-2</v>
      </c>
      <c r="F49" s="95">
        <f>E49*'Abattages - AGRESTE'!$G$31</f>
        <v>6704.333333333333</v>
      </c>
      <c r="G49" s="95">
        <f>E49*'Abattages - AGRESTE'!$H$31</f>
        <v>6736.25</v>
      </c>
      <c r="H49" s="95">
        <f>E49*'Abattages - AGRESTE'!$I$31</f>
        <v>6077.9166666666661</v>
      </c>
    </row>
    <row r="50" spans="2:8">
      <c r="B50" s="99" t="s">
        <v>178</v>
      </c>
      <c r="C50" s="92">
        <v>3</v>
      </c>
      <c r="D50" s="94">
        <f t="shared" si="13"/>
        <v>8.3333333333333329E-2</v>
      </c>
      <c r="E50" s="94">
        <f>C50/$C$45</f>
        <v>0.16666666666666666</v>
      </c>
      <c r="F50" s="95">
        <f>E50*'Abattages - AGRESTE'!$G$31</f>
        <v>13408.666666666666</v>
      </c>
      <c r="G50" s="95">
        <f>E50*'Abattages - AGRESTE'!$H$31</f>
        <v>13472.5</v>
      </c>
      <c r="H50" s="95">
        <f>E50*'Abattages - AGRESTE'!$I$31</f>
        <v>12155.833333333332</v>
      </c>
    </row>
    <row r="51" spans="2:8">
      <c r="B51" s="99" t="s">
        <v>179</v>
      </c>
      <c r="C51" s="104">
        <f>C48-C49-C50</f>
        <v>9.41</v>
      </c>
      <c r="D51" s="94">
        <f t="shared" si="13"/>
        <v>0.26138888888888889</v>
      </c>
      <c r="E51" s="94">
        <f>C51/$C$45</f>
        <v>0.52277777777777779</v>
      </c>
      <c r="F51" s="95">
        <f>E51*'Abattages - AGRESTE'!$G$31</f>
        <v>42058.517777777779</v>
      </c>
      <c r="G51" s="95">
        <f>E51*'Abattages - AGRESTE'!$H$31</f>
        <v>42258.741666666669</v>
      </c>
      <c r="H51" s="95">
        <f>E51*'Abattages - AGRESTE'!$I$31</f>
        <v>38128.797222222223</v>
      </c>
    </row>
    <row r="52" spans="2:8">
      <c r="B52" s="92" t="s">
        <v>181</v>
      </c>
      <c r="C52" s="92">
        <v>3.1</v>
      </c>
      <c r="D52" s="94">
        <f t="shared" si="13"/>
        <v>8.611111111111111E-2</v>
      </c>
      <c r="E52" s="94">
        <f>C52/$C$45</f>
        <v>0.17222222222222222</v>
      </c>
      <c r="F52" s="95">
        <f>E52*'Abattages - AGRESTE'!$G$31</f>
        <v>13855.622222222222</v>
      </c>
      <c r="G52" s="95">
        <f>E52*'Abattages - AGRESTE'!$H$31</f>
        <v>13921.583333333334</v>
      </c>
      <c r="H52" s="95">
        <f>E52*'Abattages - AGRESTE'!$I$31</f>
        <v>12561.027777777777</v>
      </c>
    </row>
    <row r="53" spans="2:8">
      <c r="B53" s="92" t="s">
        <v>56</v>
      </c>
      <c r="C53" s="92">
        <v>1</v>
      </c>
      <c r="D53" s="94">
        <f t="shared" si="13"/>
        <v>2.7777777777777776E-2</v>
      </c>
      <c r="E53" s="94">
        <f>C53/$C$45</f>
        <v>5.5555555555555552E-2</v>
      </c>
      <c r="F53" s="95">
        <f>E53*'Abattages - AGRESTE'!$G$31</f>
        <v>4469.5555555555557</v>
      </c>
      <c r="G53" s="95">
        <f>E53*'Abattages - AGRESTE'!$H$31</f>
        <v>4490.833333333333</v>
      </c>
      <c r="H53" s="95">
        <f>E53*'Abattages - AGRESTE'!$I$31</f>
        <v>4051.9444444444443</v>
      </c>
    </row>
    <row r="55" spans="2:8">
      <c r="B55" s="91" t="s">
        <v>182</v>
      </c>
      <c r="C55" s="92" t="s">
        <v>171</v>
      </c>
      <c r="D55" s="92" t="s">
        <v>172</v>
      </c>
      <c r="E55" s="92" t="s">
        <v>173</v>
      </c>
      <c r="F55" s="92" t="s">
        <v>414</v>
      </c>
      <c r="G55" s="92" t="s">
        <v>415</v>
      </c>
      <c r="H55" s="92" t="s">
        <v>174</v>
      </c>
    </row>
    <row r="56" spans="2:8">
      <c r="B56" s="92" t="s">
        <v>175</v>
      </c>
      <c r="C56" s="92">
        <f>C44</f>
        <v>36</v>
      </c>
      <c r="D56" s="94">
        <f>D44</f>
        <v>1</v>
      </c>
      <c r="E56" s="94">
        <f>E44</f>
        <v>2</v>
      </c>
      <c r="F56" s="95">
        <f>E56*'Abattages - AGRESTE'!$G$34</f>
        <v>12472</v>
      </c>
      <c r="G56" s="95">
        <f>E56*'Abattages - AGRESTE'!$H$34</f>
        <v>12694</v>
      </c>
      <c r="H56" s="95">
        <f>E56*'Abattages - AGRESTE'!$I$34</f>
        <v>11722</v>
      </c>
    </row>
    <row r="57" spans="2:8">
      <c r="B57" s="93" t="s">
        <v>176</v>
      </c>
      <c r="C57" s="93">
        <f t="shared" ref="C57:E65" si="14">C45</f>
        <v>18</v>
      </c>
      <c r="D57" s="96">
        <f t="shared" si="14"/>
        <v>0.5</v>
      </c>
      <c r="E57" s="96">
        <f t="shared" si="14"/>
        <v>1</v>
      </c>
      <c r="F57" s="97">
        <f>E57*'Abattages - AGRESTE'!$G$34</f>
        <v>6236</v>
      </c>
      <c r="G57" s="97">
        <f>E57*'Abattages - AGRESTE'!$H$34</f>
        <v>6347</v>
      </c>
      <c r="H57" s="97">
        <f>E57*'Abattages - AGRESTE'!$I$34</f>
        <v>5861</v>
      </c>
    </row>
    <row r="58" spans="2:8">
      <c r="B58" s="92" t="s">
        <v>49</v>
      </c>
      <c r="C58" s="92">
        <f t="shared" si="14"/>
        <v>14.4</v>
      </c>
      <c r="D58" s="94">
        <f t="shared" si="14"/>
        <v>0.4</v>
      </c>
      <c r="E58" s="94">
        <f t="shared" si="14"/>
        <v>0.8</v>
      </c>
      <c r="F58" s="95">
        <f>E58*'Abattages - AGRESTE'!$G$34</f>
        <v>4988.8</v>
      </c>
      <c r="G58" s="95">
        <f>E58*'Abattages - AGRESTE'!$H$34</f>
        <v>5077.6000000000004</v>
      </c>
      <c r="H58" s="95">
        <f>E58*'Abattages - AGRESTE'!$I$34</f>
        <v>4688.8</v>
      </c>
    </row>
    <row r="59" spans="2:8">
      <c r="B59" s="92" t="s">
        <v>50</v>
      </c>
      <c r="C59" s="92">
        <f t="shared" si="14"/>
        <v>3.59</v>
      </c>
      <c r="D59" s="94">
        <f t="shared" si="14"/>
        <v>9.9722222222222212E-2</v>
      </c>
      <c r="E59" s="94">
        <f t="shared" si="14"/>
        <v>0.19944444444444442</v>
      </c>
      <c r="F59" s="95">
        <f>E59*'Abattages - AGRESTE'!$G$34</f>
        <v>1243.7355555555555</v>
      </c>
      <c r="G59" s="95">
        <f>E59*'Abattages - AGRESTE'!$H$34</f>
        <v>1265.8738888888888</v>
      </c>
      <c r="H59" s="95">
        <f>E59*'Abattages - AGRESTE'!$I$34</f>
        <v>1168.9438888888888</v>
      </c>
    </row>
    <row r="60" spans="2:8">
      <c r="B60" s="92" t="s">
        <v>51</v>
      </c>
      <c r="C60" s="92">
        <f t="shared" si="14"/>
        <v>13.91</v>
      </c>
      <c r="D60" s="94">
        <f t="shared" si="14"/>
        <v>0.38638888888888889</v>
      </c>
      <c r="E60" s="94">
        <f t="shared" si="14"/>
        <v>0.77277777777777779</v>
      </c>
      <c r="F60" s="95">
        <f>E60*'Abattages - AGRESTE'!$G$34</f>
        <v>4819.0422222222223</v>
      </c>
      <c r="G60" s="95">
        <f>E60*'Abattages - AGRESTE'!$H$34</f>
        <v>4904.820555555556</v>
      </c>
      <c r="H60" s="95">
        <f>E60*'Abattages - AGRESTE'!$I$34</f>
        <v>4529.2505555555554</v>
      </c>
    </row>
    <row r="61" spans="2:8">
      <c r="B61" s="99" t="s">
        <v>177</v>
      </c>
      <c r="C61" s="92">
        <f t="shared" si="14"/>
        <v>1.5</v>
      </c>
      <c r="D61" s="94">
        <f t="shared" si="14"/>
        <v>4.1666666666666664E-2</v>
      </c>
      <c r="E61" s="94">
        <f t="shared" si="14"/>
        <v>8.3333333333333329E-2</v>
      </c>
      <c r="F61" s="95">
        <f>E61*'Abattages - AGRESTE'!$G$34</f>
        <v>519.66666666666663</v>
      </c>
      <c r="G61" s="95">
        <f>E61*'Abattages - AGRESTE'!$H$34</f>
        <v>528.91666666666663</v>
      </c>
      <c r="H61" s="95">
        <f>E61*'Abattages - AGRESTE'!$I$34</f>
        <v>488.41666666666663</v>
      </c>
    </row>
    <row r="62" spans="2:8">
      <c r="B62" s="99" t="s">
        <v>178</v>
      </c>
      <c r="C62" s="92">
        <f t="shared" si="14"/>
        <v>3</v>
      </c>
      <c r="D62" s="94">
        <f t="shared" si="14"/>
        <v>8.3333333333333329E-2</v>
      </c>
      <c r="E62" s="94">
        <f t="shared" si="14"/>
        <v>0.16666666666666666</v>
      </c>
      <c r="F62" s="95">
        <f>E62*'Abattages - AGRESTE'!$G$34</f>
        <v>1039.3333333333333</v>
      </c>
      <c r="G62" s="95">
        <f>E62*'Abattages - AGRESTE'!$H$34</f>
        <v>1057.8333333333333</v>
      </c>
      <c r="H62" s="95">
        <f>E62*'Abattages - AGRESTE'!$I$34</f>
        <v>976.83333333333326</v>
      </c>
    </row>
    <row r="63" spans="2:8">
      <c r="B63" s="99" t="s">
        <v>179</v>
      </c>
      <c r="C63" s="92">
        <f t="shared" si="14"/>
        <v>9.41</v>
      </c>
      <c r="D63" s="94">
        <f t="shared" si="14"/>
        <v>0.26138888888888889</v>
      </c>
      <c r="E63" s="94">
        <f t="shared" si="14"/>
        <v>0.52277777777777779</v>
      </c>
      <c r="F63" s="95">
        <f>E63*'Abattages - AGRESTE'!$G$34</f>
        <v>3260.0422222222223</v>
      </c>
      <c r="G63" s="95">
        <f>E63*'Abattages - AGRESTE'!$H$34</f>
        <v>3318.0705555555555</v>
      </c>
      <c r="H63" s="95">
        <f>E63*'Abattages - AGRESTE'!$I$34</f>
        <v>3064.0005555555558</v>
      </c>
    </row>
    <row r="64" spans="2:8">
      <c r="B64" s="92" t="s">
        <v>181</v>
      </c>
      <c r="C64" s="92">
        <f t="shared" si="14"/>
        <v>3.1</v>
      </c>
      <c r="D64" s="94">
        <f t="shared" si="14"/>
        <v>8.611111111111111E-2</v>
      </c>
      <c r="E64" s="94">
        <f t="shared" si="14"/>
        <v>0.17222222222222222</v>
      </c>
      <c r="F64" s="95">
        <f>E64*'Abattages - AGRESTE'!$G$34</f>
        <v>1073.9777777777779</v>
      </c>
      <c r="G64" s="95">
        <f>E64*'Abattages - AGRESTE'!$H$34</f>
        <v>1093.0944444444444</v>
      </c>
      <c r="H64" s="95">
        <f>E64*'Abattages - AGRESTE'!$I$34</f>
        <v>1009.3944444444444</v>
      </c>
    </row>
    <row r="65" spans="2:12">
      <c r="B65" s="92" t="s">
        <v>56</v>
      </c>
      <c r="C65" s="92">
        <f t="shared" si="14"/>
        <v>1</v>
      </c>
      <c r="D65" s="94">
        <f t="shared" si="14"/>
        <v>2.7777777777777776E-2</v>
      </c>
      <c r="E65" s="94">
        <f t="shared" si="14"/>
        <v>5.5555555555555552E-2</v>
      </c>
      <c r="F65" s="95">
        <f>E65*'Abattages - AGRESTE'!$G$34</f>
        <v>346.4444444444444</v>
      </c>
      <c r="G65" s="95">
        <f>E65*'Abattages - AGRESTE'!$H$34</f>
        <v>352.61111111111109</v>
      </c>
      <c r="H65" s="95">
        <f>E65*'Abattages - AGRESTE'!$I$34</f>
        <v>325.61111111111109</v>
      </c>
    </row>
    <row r="67" spans="2:12">
      <c r="B67" s="91" t="s">
        <v>465</v>
      </c>
      <c r="C67" s="92" t="s">
        <v>171</v>
      </c>
      <c r="D67" s="92" t="s">
        <v>172</v>
      </c>
      <c r="E67" s="92" t="s">
        <v>173</v>
      </c>
      <c r="F67" s="92" t="s">
        <v>414</v>
      </c>
      <c r="G67" s="92" t="s">
        <v>415</v>
      </c>
      <c r="H67" s="92" t="s">
        <v>174</v>
      </c>
    </row>
    <row r="68" spans="2:12">
      <c r="B68" s="92" t="s">
        <v>175</v>
      </c>
      <c r="D68" s="94">
        <f>D44</f>
        <v>1</v>
      </c>
      <c r="E68" s="94">
        <f>D68/$D$69</f>
        <v>1.6666666666666667</v>
      </c>
      <c r="F68" s="95">
        <f>E68*'Abattages - AGRESTE'!$G$37</f>
        <v>7571.666666666667</v>
      </c>
      <c r="G68" s="95">
        <f>E68*'Abattages - AGRESTE'!$H$37</f>
        <v>3646.666666666667</v>
      </c>
      <c r="H68" s="95">
        <f>E68*'Abattages - AGRESTE'!$I$37</f>
        <v>1651.6666666666667</v>
      </c>
      <c r="L68" s="100"/>
    </row>
    <row r="69" spans="2:12">
      <c r="B69" s="93" t="s">
        <v>176</v>
      </c>
      <c r="C69" s="93"/>
      <c r="D69" s="101">
        <v>0.6</v>
      </c>
      <c r="E69" s="96">
        <f t="shared" ref="E69:E77" si="15">D69/$D$69</f>
        <v>1</v>
      </c>
      <c r="F69" s="97">
        <f>E69*'Abattages - AGRESTE'!$G$37</f>
        <v>4543</v>
      </c>
      <c r="G69" s="97">
        <f>E69*'Abattages - AGRESTE'!$H$37</f>
        <v>2188</v>
      </c>
      <c r="H69" s="97">
        <f>E69*'Abattages - AGRESTE'!$I$37</f>
        <v>991</v>
      </c>
      <c r="L69" s="100"/>
    </row>
    <row r="70" spans="2:12">
      <c r="B70" s="92" t="s">
        <v>49</v>
      </c>
      <c r="D70" s="98">
        <f>D69*60%</f>
        <v>0.36</v>
      </c>
      <c r="E70" s="94">
        <f t="shared" si="15"/>
        <v>0.6</v>
      </c>
      <c r="F70" s="95">
        <f>E70*'Abattages - AGRESTE'!$G$37</f>
        <v>2725.7999999999997</v>
      </c>
      <c r="G70" s="95">
        <f>E70*'Abattages - AGRESTE'!$H$37</f>
        <v>1312.8</v>
      </c>
      <c r="H70" s="95">
        <f>E70*'Abattages - AGRESTE'!$I$37</f>
        <v>594.6</v>
      </c>
      <c r="L70" s="100"/>
    </row>
    <row r="71" spans="2:12">
      <c r="B71" s="92" t="s">
        <v>50</v>
      </c>
      <c r="D71" s="98">
        <f>D22*((1-$D$70)/(1-$D$21))</f>
        <v>0.10248396501457727</v>
      </c>
      <c r="E71" s="94">
        <f t="shared" si="15"/>
        <v>0.17080660835762879</v>
      </c>
      <c r="F71" s="95">
        <f>E71*'Abattages - AGRESTE'!$G$37</f>
        <v>775.97442176870754</v>
      </c>
      <c r="G71" s="95">
        <f>E71*'Abattages - AGRESTE'!$H$37</f>
        <v>373.72485908649179</v>
      </c>
      <c r="H71" s="95">
        <f>E71*'Abattages - AGRESTE'!$I$37</f>
        <v>169.26934888241013</v>
      </c>
      <c r="K71" s="100"/>
      <c r="L71" s="100"/>
    </row>
    <row r="72" spans="2:12">
      <c r="B72" s="92" t="s">
        <v>51</v>
      </c>
      <c r="D72" s="113">
        <f t="shared" ref="D72:D77" si="16">D23*((1-$D$70)/(1-$D$21))</f>
        <v>0.45495043731778423</v>
      </c>
      <c r="E72" s="94">
        <f>D72/$D$69</f>
        <v>0.75825072886297373</v>
      </c>
      <c r="F72" s="95">
        <f>E72*'Abattages - AGRESTE'!$G$37</f>
        <v>3444.7330612244896</v>
      </c>
      <c r="G72" s="95">
        <f>E72*'Abattages - AGRESTE'!$H$37</f>
        <v>1659.0525947521865</v>
      </c>
      <c r="H72" s="95">
        <f>E72*'Abattages - AGRESTE'!$I$37</f>
        <v>751.42647230320699</v>
      </c>
      <c r="K72" s="100"/>
      <c r="L72" s="100"/>
    </row>
    <row r="73" spans="2:12">
      <c r="B73" s="99" t="s">
        <v>177</v>
      </c>
      <c r="D73" s="98">
        <f t="shared" si="16"/>
        <v>6.0641399416909623E-2</v>
      </c>
      <c r="E73" s="94">
        <f t="shared" si="15"/>
        <v>0.10106899902818271</v>
      </c>
      <c r="F73" s="95">
        <f>E73*'Abattages - AGRESTE'!$G$37</f>
        <v>459.15646258503409</v>
      </c>
      <c r="G73" s="95">
        <f>E73*'Abattages - AGRESTE'!$H$37</f>
        <v>221.13896987366377</v>
      </c>
      <c r="H73" s="95">
        <f>E73*'Abattages - AGRESTE'!$I$37</f>
        <v>100.15937803692907</v>
      </c>
      <c r="L73" s="100"/>
    </row>
    <row r="74" spans="2:12">
      <c r="B74" s="99" t="s">
        <v>178</v>
      </c>
      <c r="D74" s="98">
        <f t="shared" si="16"/>
        <v>0</v>
      </c>
      <c r="E74" s="94">
        <f t="shared" si="15"/>
        <v>0</v>
      </c>
      <c r="F74" s="95">
        <f>E74*'Abattages - AGRESTE'!$G$37</f>
        <v>0</v>
      </c>
      <c r="G74" s="95">
        <f>E74*'Abattages - AGRESTE'!$H$37</f>
        <v>0</v>
      </c>
      <c r="H74" s="95">
        <f>E74*'Abattages - AGRESTE'!$I$37</f>
        <v>0</v>
      </c>
      <c r="L74" s="100"/>
    </row>
    <row r="75" spans="2:12">
      <c r="B75" s="99" t="s">
        <v>179</v>
      </c>
      <c r="D75" s="98">
        <f t="shared" si="16"/>
        <v>0.39430903790087463</v>
      </c>
      <c r="E75" s="94">
        <f t="shared" si="15"/>
        <v>0.65718172983479106</v>
      </c>
      <c r="F75" s="95">
        <f>E75*'Abattages - AGRESTE'!$G$37</f>
        <v>2985.5765986394558</v>
      </c>
      <c r="G75" s="95">
        <f>E75*'Abattages - AGRESTE'!$H$37</f>
        <v>1437.9136248785228</v>
      </c>
      <c r="H75" s="95">
        <f>E75*'Abattages - AGRESTE'!$I$37</f>
        <v>651.26709426627792</v>
      </c>
      <c r="L75" s="100"/>
    </row>
    <row r="76" spans="2:12">
      <c r="B76" s="92" t="s">
        <v>181</v>
      </c>
      <c r="D76" s="98">
        <f t="shared" si="16"/>
        <v>6.9970845481049565E-2</v>
      </c>
      <c r="E76" s="94">
        <f t="shared" si="15"/>
        <v>0.11661807580174928</v>
      </c>
      <c r="F76" s="95">
        <f>E76*'Abattages - AGRESTE'!$G$37</f>
        <v>529.79591836734699</v>
      </c>
      <c r="G76" s="95">
        <f>E76*'Abattages - AGRESTE'!$H$37</f>
        <v>255.16034985422743</v>
      </c>
      <c r="H76" s="95">
        <f>E76*'Abattages - AGRESTE'!$I$37</f>
        <v>115.56851311953353</v>
      </c>
    </row>
    <row r="77" spans="2:12">
      <c r="B77" s="92" t="s">
        <v>56</v>
      </c>
      <c r="D77" s="98">
        <f t="shared" si="16"/>
        <v>1.2594752186588922E-2</v>
      </c>
      <c r="E77" s="94">
        <f t="shared" si="15"/>
        <v>2.099125364431487E-2</v>
      </c>
      <c r="F77" s="95">
        <f>E77*'Abattages - AGRESTE'!$G$37</f>
        <v>95.363265306122457</v>
      </c>
      <c r="G77" s="95">
        <f>E77*'Abattages - AGRESTE'!$H$37</f>
        <v>45.928862973760936</v>
      </c>
      <c r="H77" s="95">
        <f>E77*'Abattages - AGRESTE'!$I$37</f>
        <v>20.802332361516036</v>
      </c>
    </row>
  </sheetData>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B5AFF-CFC3-4005-8E83-6B6A1DBFB2D8}">
  <sheetPr>
    <tabColor rgb="FF92D050"/>
  </sheetPr>
  <dimension ref="A1:Q58"/>
  <sheetViews>
    <sheetView workbookViewId="0">
      <pane xSplit="2" ySplit="1" topLeftCell="C26" activePane="bottomRight" state="frozen"/>
      <selection pane="topRight" activeCell="C1" sqref="C1"/>
      <selection pane="bottomLeft" activeCell="A2" sqref="A2"/>
      <selection pane="bottomRight" activeCell="O41" sqref="O41"/>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8" bestFit="1" customWidth="1"/>
    <col min="5" max="5" width="9" style="25" bestFit="1" customWidth="1"/>
    <col min="6" max="6" width="14.44140625" style="25"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1.88671875" customWidth="1"/>
    <col min="15" max="15" width="11.109375" customWidth="1"/>
    <col min="16" max="16" width="13" customWidth="1"/>
    <col min="17" max="17" width="20.6640625" bestFit="1" customWidth="1"/>
  </cols>
  <sheetData>
    <row r="1" spans="1:17" ht="38.4" thickBot="1">
      <c r="A1" s="20" t="s">
        <v>19</v>
      </c>
      <c r="B1" s="21" t="s">
        <v>20</v>
      </c>
      <c r="C1" s="21" t="s">
        <v>21</v>
      </c>
      <c r="D1" s="21" t="s">
        <v>23</v>
      </c>
      <c r="E1" s="22" t="str">
        <f>Etiquettes!$A$7</f>
        <v>Unité</v>
      </c>
      <c r="F1" s="22" t="str">
        <f>Etiquettes!$A$4</f>
        <v>Filière</v>
      </c>
      <c r="G1" s="22" t="str">
        <f>Etiquettes!$A$6</f>
        <v>Année</v>
      </c>
      <c r="H1" s="22" t="str">
        <f>Etiquettes!$A$5</f>
        <v>Territoire</v>
      </c>
      <c r="I1" s="22" t="str">
        <f>Etiquettes!$A$12</f>
        <v>Traduction</v>
      </c>
      <c r="J1" s="22" t="str">
        <f>Etiquettes!$A$10</f>
        <v>Hypothèse</v>
      </c>
      <c r="K1" s="22" t="str">
        <f>Etiquettes!$A$9</f>
        <v>Source</v>
      </c>
      <c r="L1" s="22" t="str">
        <f>Etiquettes!$A$13</f>
        <v>Onglet source fichier Excel</v>
      </c>
      <c r="M1" s="22" t="str">
        <f>Etiquettes!$A$11</f>
        <v>Type de donnée collectée</v>
      </c>
      <c r="N1" s="22" t="str">
        <f>Etiquettes!$A$8</f>
        <v>Information collectée</v>
      </c>
      <c r="O1" s="22" t="str">
        <f>Etiquettes!$A$15</f>
        <v>Fiabilité des données</v>
      </c>
      <c r="P1" s="21" t="s">
        <v>3</v>
      </c>
      <c r="Q1" s="23" t="s">
        <v>5</v>
      </c>
    </row>
    <row r="2" spans="1:17">
      <c r="A2" t="str">
        <f>Produits!$B$16</f>
        <v>Farines animales</v>
      </c>
      <c r="B2" t="str">
        <f>Secteurs!$B$27</f>
        <v>Energie</v>
      </c>
      <c r="C2" s="46">
        <f>'Coproduits - SIFCO'!F19*'Coproduits - SIFCO'!AB10/10^3</f>
        <v>4.0085599807179399E-2</v>
      </c>
      <c r="D2" s="51"/>
      <c r="E2" s="24" t="str">
        <f>Etiquettes!$C$7</f>
        <v>kt</v>
      </c>
      <c r="F2" s="25" t="str">
        <f>Etiquettes!$C$4</f>
        <v>Viande chevaline</v>
      </c>
      <c r="G2" s="24">
        <f>Etiquettes!$H$6</f>
        <v>2015</v>
      </c>
      <c r="H2" t="str">
        <f>Etiquettes!$C$5</f>
        <v>France</v>
      </c>
      <c r="I2" s="87" t="s">
        <v>416</v>
      </c>
      <c r="J2" t="s">
        <v>490</v>
      </c>
      <c r="K2" t="s">
        <v>190</v>
      </c>
      <c r="L2" t="s">
        <v>500</v>
      </c>
      <c r="M2" t="str">
        <f>Etiquettes!$H$11</f>
        <v>Volume</v>
      </c>
      <c r="N2" s="105" t="str">
        <f>_xlfn.CONCAT(I2,IF(OR(ISBLANK(#REF!),ISERROR(#REF!)),"",_xlfn.CONCAT(" = ",MROUND(#REF!,1)," ",E2," (",K2,")")))</f>
        <v>Valorisation des farines animales en énergie</v>
      </c>
      <c r="O2" s="24" t="str">
        <f>Etiquettes!$L$15</f>
        <v>Très faible</v>
      </c>
      <c r="Q2" s="133" t="s">
        <v>206</v>
      </c>
    </row>
    <row r="3" spans="1:17">
      <c r="A3" t="str">
        <f>Produits!$B$16</f>
        <v>Farines animales</v>
      </c>
      <c r="B3" t="str">
        <f>Secteurs!$B$28</f>
        <v>Fertilisation</v>
      </c>
      <c r="C3" s="46">
        <f>'Coproduits - SIFCO'!$I$19*'Coproduits - SIFCO'!AB10/10^3</f>
        <v>1.179990114822119E-2</v>
      </c>
      <c r="D3" s="51"/>
      <c r="E3" s="24" t="str">
        <f>Etiquettes!$C$7</f>
        <v>kt</v>
      </c>
      <c r="F3" s="25" t="str">
        <f>Etiquettes!$C$4</f>
        <v>Viande chevaline</v>
      </c>
      <c r="G3" s="24">
        <f>Etiquettes!$H$6</f>
        <v>2015</v>
      </c>
      <c r="H3" t="str">
        <f>Etiquettes!$C$5</f>
        <v>France</v>
      </c>
      <c r="I3" s="87" t="s">
        <v>418</v>
      </c>
      <c r="J3" t="s">
        <v>490</v>
      </c>
      <c r="K3" t="s">
        <v>190</v>
      </c>
      <c r="L3" t="s">
        <v>500</v>
      </c>
      <c r="M3" t="str">
        <f>Etiquettes!$H$11</f>
        <v>Volume</v>
      </c>
      <c r="N3" s="105" t="str">
        <f>_xlfn.CONCAT(I3,IF(OR(ISBLANK(#REF!),ISERROR(#REF!)),"",_xlfn.CONCAT(" = ",MROUND(#REF!,1)," ",E3," (",K3,")")))</f>
        <v>Valorisation des farines animales en fertilisation</v>
      </c>
      <c r="O3" s="24" t="str">
        <f>Etiquettes!$L$15</f>
        <v>Très faible</v>
      </c>
      <c r="Q3" s="134"/>
    </row>
    <row r="4" spans="1:17">
      <c r="A4" t="str">
        <f>Produits!$B$17</f>
        <v>Graisses animales</v>
      </c>
      <c r="B4" t="str">
        <f>Secteurs!$B$27</f>
        <v>Energie</v>
      </c>
      <c r="C4" s="46">
        <f>'Coproduits - SIFCO'!$F$20*'Coproduits - SIFCO'!AB10/10^3</f>
        <v>2.7333619407435068E-2</v>
      </c>
      <c r="D4" s="51"/>
      <c r="E4" s="24" t="str">
        <f>Etiquettes!$C$7</f>
        <v>kt</v>
      </c>
      <c r="F4" s="25" t="str">
        <f>Etiquettes!$C$4</f>
        <v>Viande chevaline</v>
      </c>
      <c r="G4" s="24">
        <f>Etiquettes!$H$6</f>
        <v>2015</v>
      </c>
      <c r="H4" t="str">
        <f>Etiquettes!$C$5</f>
        <v>France</v>
      </c>
      <c r="I4" s="87" t="s">
        <v>419</v>
      </c>
      <c r="J4" t="s">
        <v>490</v>
      </c>
      <c r="K4" t="s">
        <v>190</v>
      </c>
      <c r="L4" t="s">
        <v>500</v>
      </c>
      <c r="M4" t="str">
        <f>Etiquettes!$H$11</f>
        <v>Volume</v>
      </c>
      <c r="N4" s="105" t="str">
        <f>_xlfn.CONCAT(I4,IF(OR(ISBLANK(#REF!),ISERROR(#REF!)),"",_xlfn.CONCAT(" = ",MROUND(#REF!,1)," ",E4," (",K4,")")))</f>
        <v>Valorisation des graisses animales en énergie</v>
      </c>
      <c r="O4" s="24" t="str">
        <f>Etiquettes!$L$15</f>
        <v>Très faible</v>
      </c>
      <c r="Q4" s="134"/>
    </row>
    <row r="5" spans="1:17">
      <c r="A5" t="str">
        <f>Produits!$B$19</f>
        <v>Protéines animales transformées</v>
      </c>
      <c r="B5" t="str">
        <f>Secteurs!$B$18</f>
        <v>Autres IAA</v>
      </c>
      <c r="C5" s="46">
        <f>'Coproduits - SIFCO'!F14*'Coproduits - SIFCO'!X10*(1-'Coproduits - SIFCO'!C32)/10^3</f>
        <v>2.1650326880369549E-2</v>
      </c>
      <c r="D5" s="51"/>
      <c r="E5" s="24" t="str">
        <f>Etiquettes!$C$7</f>
        <v>kt</v>
      </c>
      <c r="F5" s="25" t="str">
        <f>Etiquettes!$C$4</f>
        <v>Viande chevaline</v>
      </c>
      <c r="G5" s="24">
        <f>Etiquettes!$H$6</f>
        <v>2015</v>
      </c>
      <c r="H5" t="str">
        <f>Etiquettes!$C$5</f>
        <v>France</v>
      </c>
      <c r="I5" s="87" t="s">
        <v>420</v>
      </c>
      <c r="J5" t="s">
        <v>417</v>
      </c>
      <c r="K5" t="s">
        <v>190</v>
      </c>
      <c r="L5" t="s">
        <v>500</v>
      </c>
      <c r="M5" t="str">
        <f>Etiquettes!$H$11</f>
        <v>Volume</v>
      </c>
      <c r="N5" s="105" t="str">
        <f>_xlfn.CONCAT(I5,IF(OR(ISBLANK(#REF!),ISERROR(#REF!)),"",_xlfn.CONCAT(" = ",MROUND(#REF!,1)," ",E5," (",K5,")")))</f>
        <v>Valorisation des PAT par les autres IAA</v>
      </c>
      <c r="O5" s="24" t="str">
        <f>Etiquettes!$L$15</f>
        <v>Très faible</v>
      </c>
      <c r="Q5" s="134"/>
    </row>
    <row r="6" spans="1:17">
      <c r="A6" t="str">
        <f>Produits!$B$19</f>
        <v>Protéines animales transformées</v>
      </c>
      <c r="B6" t="str">
        <f>Secteurs!$B$22</f>
        <v>Alimentation animale rente</v>
      </c>
      <c r="C6" s="46">
        <f>'Coproduits - SIFCO'!I14*'Coproduits - SIFCO'!X10*(1-'Coproduits - SIFCO'!C32)/10^3</f>
        <v>2.5608351918113729E-2</v>
      </c>
      <c r="D6" s="51"/>
      <c r="E6" s="24" t="str">
        <f>Etiquettes!$C$7</f>
        <v>kt</v>
      </c>
      <c r="F6" s="25" t="str">
        <f>Etiquettes!$C$4</f>
        <v>Viande chevaline</v>
      </c>
      <c r="G6" s="24">
        <f>Etiquettes!$H$6</f>
        <v>2015</v>
      </c>
      <c r="H6" t="str">
        <f>Etiquettes!$C$5</f>
        <v>France</v>
      </c>
      <c r="I6" s="87" t="s">
        <v>421</v>
      </c>
      <c r="J6" t="s">
        <v>417</v>
      </c>
      <c r="K6" t="s">
        <v>190</v>
      </c>
      <c r="L6" t="s">
        <v>500</v>
      </c>
      <c r="M6" t="str">
        <f>Etiquettes!$H$11</f>
        <v>Volume</v>
      </c>
      <c r="N6" s="105" t="str">
        <f>_xlfn.CONCAT(I6,IF(OR(ISBLANK(#REF!),ISERROR(#REF!)),"",_xlfn.CONCAT(" = ",MROUND(#REF!,1)," ",E6," (",K6,")")))</f>
        <v>Valorisation des PAT en alimentation animale rente</v>
      </c>
      <c r="O6" s="24" t="str">
        <f>Etiquettes!$L$15</f>
        <v>Très faible</v>
      </c>
      <c r="Q6" s="134"/>
    </row>
    <row r="7" spans="1:17">
      <c r="A7" t="str">
        <f>Produits!$B$19</f>
        <v>Protéines animales transformées</v>
      </c>
      <c r="B7" t="str">
        <f>Secteurs!$B$23</f>
        <v>Petfood</v>
      </c>
      <c r="C7" s="46">
        <f>'Coproduits - SIFCO'!L14*'Coproduits - SIFCO'!X10*(1-'Coproduits - SIFCO'!C32)/10^3</f>
        <v>0.39722568547960413</v>
      </c>
      <c r="D7" s="51"/>
      <c r="E7" s="24" t="str">
        <f>Etiquettes!$C$7</f>
        <v>kt</v>
      </c>
      <c r="F7" s="25" t="str">
        <f>Etiquettes!$C$4</f>
        <v>Viande chevaline</v>
      </c>
      <c r="G7" s="24">
        <f>Etiquettes!$H$6</f>
        <v>2015</v>
      </c>
      <c r="H7" t="str">
        <f>Etiquettes!$C$5</f>
        <v>France</v>
      </c>
      <c r="I7" s="87" t="s">
        <v>422</v>
      </c>
      <c r="J7" t="s">
        <v>417</v>
      </c>
      <c r="K7" t="s">
        <v>190</v>
      </c>
      <c r="L7" t="s">
        <v>500</v>
      </c>
      <c r="M7" t="str">
        <f>Etiquettes!$H$11</f>
        <v>Volume</v>
      </c>
      <c r="N7" s="105" t="str">
        <f>_xlfn.CONCAT(I7,IF(OR(ISBLANK(#REF!),ISERROR(#REF!)),"",_xlfn.CONCAT(" = ",MROUND(#REF!,1)," ",E7," (",K7,")")))</f>
        <v>Valorisation des PAT en petfood</v>
      </c>
      <c r="O7" s="24" t="str">
        <f>Etiquettes!$L$15</f>
        <v>Très faible</v>
      </c>
      <c r="Q7" s="134"/>
    </row>
    <row r="8" spans="1:17">
      <c r="A8" t="str">
        <f>Produits!$B$19</f>
        <v>Protéines animales transformées</v>
      </c>
      <c r="B8" t="str">
        <f>Secteurs!$B$24</f>
        <v>Aquaculture</v>
      </c>
      <c r="C8" s="46">
        <f>'Coproduits - SIFCO'!O14*'Coproduits - SIFCO'!X10*(1-'Coproduits - SIFCO'!C32)/10^3</f>
        <v>0</v>
      </c>
      <c r="D8" s="51"/>
      <c r="E8" s="24" t="str">
        <f>Etiquettes!$C$7</f>
        <v>kt</v>
      </c>
      <c r="F8" s="25" t="str">
        <f>Etiquettes!$C$4</f>
        <v>Viande chevaline</v>
      </c>
      <c r="G8" s="24">
        <f>Etiquettes!$H$6</f>
        <v>2015</v>
      </c>
      <c r="H8" t="str">
        <f>Etiquettes!$C$5</f>
        <v>France</v>
      </c>
      <c r="I8" s="87" t="s">
        <v>423</v>
      </c>
      <c r="J8" t="s">
        <v>417</v>
      </c>
      <c r="K8" t="s">
        <v>190</v>
      </c>
      <c r="L8" t="s">
        <v>500</v>
      </c>
      <c r="M8" t="str">
        <f>Etiquettes!$H$11</f>
        <v>Volume</v>
      </c>
      <c r="N8" s="105" t="str">
        <f>_xlfn.CONCAT(I8,IF(OR(ISBLANK(#REF!),ISERROR(#REF!)),"",_xlfn.CONCAT(" = ",MROUND(#REF!,1)," ",E8," (",K8,")")))</f>
        <v>Valorisation des PAT en aquaculture</v>
      </c>
      <c r="O8" s="24" t="str">
        <f>Etiquettes!$L$15</f>
        <v>Très faible</v>
      </c>
      <c r="Q8" s="134"/>
    </row>
    <row r="9" spans="1:17">
      <c r="A9" t="str">
        <f>Produits!$B$19</f>
        <v>Protéines animales transformées</v>
      </c>
      <c r="B9" t="str">
        <f>Secteurs!$B$27</f>
        <v>Energie</v>
      </c>
      <c r="C9" s="46">
        <f>'Coproduits - SIFCO'!R14*'Coproduits - SIFCO'!X10*(1-'Coproduits - SIFCO'!C32)/10^3</f>
        <v>1.7423464474859707E-3</v>
      </c>
      <c r="D9" s="51"/>
      <c r="E9" s="24" t="str">
        <f>Etiquettes!$C$7</f>
        <v>kt</v>
      </c>
      <c r="F9" s="25" t="str">
        <f>Etiquettes!$C$4</f>
        <v>Viande chevaline</v>
      </c>
      <c r="G9" s="24">
        <f>Etiquettes!$H$6</f>
        <v>2015</v>
      </c>
      <c r="H9" t="str">
        <f>Etiquettes!$C$5</f>
        <v>France</v>
      </c>
      <c r="I9" s="87" t="s">
        <v>424</v>
      </c>
      <c r="J9" t="s">
        <v>417</v>
      </c>
      <c r="K9" t="s">
        <v>190</v>
      </c>
      <c r="L9" t="s">
        <v>500</v>
      </c>
      <c r="M9" t="str">
        <f>Etiquettes!$H$11</f>
        <v>Volume</v>
      </c>
      <c r="N9" s="105" t="str">
        <f>_xlfn.CONCAT(I9,IF(OR(ISBLANK(#REF!),ISERROR(#REF!)),"",_xlfn.CONCAT(" = ",MROUND(#REF!,1)," ",E9," (",K9,")")))</f>
        <v>Valorisation des PAT en énergie</v>
      </c>
      <c r="O9" s="24" t="str">
        <f>Etiquettes!$L$15</f>
        <v>Très faible</v>
      </c>
      <c r="Q9" s="134"/>
    </row>
    <row r="10" spans="1:17">
      <c r="A10" t="str">
        <f>Produits!$B$19</f>
        <v>Protéines animales transformées</v>
      </c>
      <c r="B10" t="str">
        <f>Secteurs!$B$28</f>
        <v>Fertilisation</v>
      </c>
      <c r="C10" s="46">
        <f>'Coproduits - SIFCO'!U14*'Coproduits - SIFCO'!X10*(1-'Coproduits - SIFCO'!C32)/10^3</f>
        <v>2.360226454585292E-2</v>
      </c>
      <c r="D10" s="51"/>
      <c r="E10" s="24" t="str">
        <f>Etiquettes!$C$7</f>
        <v>kt</v>
      </c>
      <c r="F10" s="25" t="str">
        <f>Etiquettes!$C$4</f>
        <v>Viande chevaline</v>
      </c>
      <c r="G10" s="24">
        <f>Etiquettes!$H$6</f>
        <v>2015</v>
      </c>
      <c r="H10" t="str">
        <f>Etiquettes!$C$5</f>
        <v>France</v>
      </c>
      <c r="I10" s="87" t="s">
        <v>425</v>
      </c>
      <c r="J10" t="s">
        <v>417</v>
      </c>
      <c r="K10" t="s">
        <v>190</v>
      </c>
      <c r="L10" t="s">
        <v>500</v>
      </c>
      <c r="M10" t="str">
        <f>Etiquettes!$H$11</f>
        <v>Volume</v>
      </c>
      <c r="N10" s="105" t="str">
        <f>_xlfn.CONCAT(I10,IF(OR(ISBLANK(#REF!),ISERROR(#REF!)),"",_xlfn.CONCAT(" = ",MROUND(#REF!,1)," ",E10," (",K10,")")))</f>
        <v>Valorisation des PAT en fertilisation</v>
      </c>
      <c r="O10" s="24" t="str">
        <f>Etiquettes!$L$15</f>
        <v>Très faible</v>
      </c>
      <c r="Q10" s="134"/>
    </row>
    <row r="11" spans="1:17">
      <c r="A11" t="str">
        <f>Produits!$B$19</f>
        <v>Protéines animales transformées</v>
      </c>
      <c r="B11" t="str">
        <f>Secteurs!$B$29</f>
        <v>Autres industries</v>
      </c>
      <c r="C11" s="46">
        <f>'Coproduits - SIFCO'!X14*'Coproduits - SIFCO'!X10*(1-'Coproduits - SIFCO'!C32)/10^3</f>
        <v>1.6990266820640161E-3</v>
      </c>
      <c r="D11" s="51"/>
      <c r="E11" s="24" t="str">
        <f>Etiquettes!$C$7</f>
        <v>kt</v>
      </c>
      <c r="F11" s="25" t="str">
        <f>Etiquettes!$C$4</f>
        <v>Viande chevaline</v>
      </c>
      <c r="G11" s="24">
        <f>Etiquettes!$H$6</f>
        <v>2015</v>
      </c>
      <c r="H11" t="str">
        <f>Etiquettes!$C$5</f>
        <v>France</v>
      </c>
      <c r="I11" s="87" t="s">
        <v>426</v>
      </c>
      <c r="J11" t="s">
        <v>417</v>
      </c>
      <c r="K11" t="s">
        <v>190</v>
      </c>
      <c r="L11" t="s">
        <v>500</v>
      </c>
      <c r="M11" t="str">
        <f>Etiquettes!$H$11</f>
        <v>Volume</v>
      </c>
      <c r="N11" s="105" t="str">
        <f>_xlfn.CONCAT(I11,IF(OR(ISBLANK(#REF!),ISERROR(#REF!)),"",_xlfn.CONCAT(" = ",MROUND(#REF!,1)," ",E11," (",K11,")")))</f>
        <v>Valorisation des PAT par les autres industries</v>
      </c>
      <c r="O11" s="24" t="str">
        <f>Etiquettes!$L$15</f>
        <v>Très faible</v>
      </c>
      <c r="Q11" s="134"/>
    </row>
    <row r="12" spans="1:17">
      <c r="A12" t="str">
        <f>Produits!$B$19</f>
        <v>Protéines animales transformées</v>
      </c>
      <c r="B12" t="str">
        <f>Secteurs!$B$30</f>
        <v>Autres usages (ou usages inconnus)</v>
      </c>
      <c r="C12" s="46">
        <f>'Coproduits - SIFCO'!AA14*'Coproduits - SIFCO'!X10*(1-'Coproduits - SIFCO'!C32)/10^3</f>
        <v>0</v>
      </c>
      <c r="D12" s="51"/>
      <c r="E12" s="24" t="str">
        <f>Etiquettes!$C$7</f>
        <v>kt</v>
      </c>
      <c r="F12" s="25" t="str">
        <f>Etiquettes!$C$4</f>
        <v>Viande chevaline</v>
      </c>
      <c r="G12" s="24">
        <f>Etiquettes!$H$6</f>
        <v>2015</v>
      </c>
      <c r="H12" t="str">
        <f>Etiquettes!$C$5</f>
        <v>France</v>
      </c>
      <c r="I12" s="87" t="s">
        <v>427</v>
      </c>
      <c r="J12" t="s">
        <v>417</v>
      </c>
      <c r="K12" t="s">
        <v>190</v>
      </c>
      <c r="L12" t="s">
        <v>500</v>
      </c>
      <c r="M12" t="str">
        <f>Etiquettes!$H$11</f>
        <v>Volume</v>
      </c>
      <c r="N12" s="105" t="str">
        <f>_xlfn.CONCAT(I12,IF(OR(ISBLANK(#REF!),ISERROR(#REF!)),"",_xlfn.CONCAT(" = ",MROUND(#REF!,1)," ",E12," (",K12,")")))</f>
        <v>Valorisation des PAT pour d'autres usages</v>
      </c>
      <c r="O12" s="24" t="str">
        <f>Etiquettes!$L$15</f>
        <v>Très faible</v>
      </c>
      <c r="Q12" s="134"/>
    </row>
    <row r="13" spans="1:17">
      <c r="A13" t="str">
        <f>Produits!$B$20</f>
        <v>Corps gras animaux</v>
      </c>
      <c r="B13" t="str">
        <f>Secteurs!$B$18</f>
        <v>Autres IAA</v>
      </c>
      <c r="C13" s="46">
        <f>'Coproduits - SIFCO'!F15*'Coproduits - SIFCO'!X10*(1-'Coproduits - SIFCO'!C33)/10^3</f>
        <v>1.6858913114340141E-2</v>
      </c>
      <c r="D13" s="51"/>
      <c r="E13" s="24" t="str">
        <f>Etiquettes!$C$7</f>
        <v>kt</v>
      </c>
      <c r="F13" s="25" t="str">
        <f>Etiquettes!$C$4</f>
        <v>Viande chevaline</v>
      </c>
      <c r="G13" s="24">
        <f>Etiquettes!$H$6</f>
        <v>2015</v>
      </c>
      <c r="H13" t="str">
        <f>Etiquettes!$C$5</f>
        <v>France</v>
      </c>
      <c r="I13" s="87" t="s">
        <v>428</v>
      </c>
      <c r="J13" t="s">
        <v>417</v>
      </c>
      <c r="K13" t="s">
        <v>190</v>
      </c>
      <c r="L13" t="s">
        <v>500</v>
      </c>
      <c r="M13" t="str">
        <f>Etiquettes!$H$11</f>
        <v>Volume</v>
      </c>
      <c r="N13" s="105" t="str">
        <f>_xlfn.CONCAT(I13,IF(OR(ISBLANK(#REF!),ISERROR(#REF!)),"",_xlfn.CONCAT(" = ",MROUND(#REF!,1)," ",E13," (",K13,")")))</f>
        <v>Valorisation des CGA par les autres IAA</v>
      </c>
      <c r="O13" s="24" t="str">
        <f>Etiquettes!$L$15</f>
        <v>Très faible</v>
      </c>
      <c r="Q13" s="134"/>
    </row>
    <row r="14" spans="1:17">
      <c r="A14" t="str">
        <f>Produits!$B$20</f>
        <v>Corps gras animaux</v>
      </c>
      <c r="B14" t="str">
        <f>Secteurs!$B$22</f>
        <v>Alimentation animale rente</v>
      </c>
      <c r="C14" s="46">
        <f>'Coproduits - SIFCO'!I15*'Coproduits - SIFCO'!X10*(1-'Coproduits - SIFCO'!C33)/10^3</f>
        <v>3.0591381204379015E-2</v>
      </c>
      <c r="D14" s="51"/>
      <c r="E14" s="24" t="str">
        <f>Etiquettes!$C$7</f>
        <v>kt</v>
      </c>
      <c r="F14" s="25" t="str">
        <f>Etiquettes!$C$4</f>
        <v>Viande chevaline</v>
      </c>
      <c r="G14" s="24">
        <f>Etiquettes!$H$6</f>
        <v>2015</v>
      </c>
      <c r="H14" t="str">
        <f>Etiquettes!$C$5</f>
        <v>France</v>
      </c>
      <c r="I14" s="87" t="s">
        <v>429</v>
      </c>
      <c r="J14" t="s">
        <v>417</v>
      </c>
      <c r="K14" t="s">
        <v>190</v>
      </c>
      <c r="L14" t="s">
        <v>500</v>
      </c>
      <c r="M14" t="str">
        <f>Etiquettes!$H$11</f>
        <v>Volume</v>
      </c>
      <c r="N14" s="105" t="str">
        <f>_xlfn.CONCAT(I14,IF(OR(ISBLANK(#REF!),ISERROR(#REF!)),"",_xlfn.CONCAT(" = ",MROUND(#REF!,1)," ",E14," (",K14,")")))</f>
        <v>Valorisation des CGA en alimentation animale rente</v>
      </c>
      <c r="O14" s="24" t="str">
        <f>Etiquettes!$L$15</f>
        <v>Très faible</v>
      </c>
      <c r="Q14" s="134"/>
    </row>
    <row r="15" spans="1:17">
      <c r="A15" t="str">
        <f>Produits!$B$20</f>
        <v>Corps gras animaux</v>
      </c>
      <c r="B15" t="str">
        <f>Secteurs!$B$23</f>
        <v>Petfood</v>
      </c>
      <c r="C15" s="46">
        <f>'Coproduits - SIFCO'!L15*'Coproduits - SIFCO'!X10*(1-'Coproduits - SIFCO'!C33)/10^3</f>
        <v>1.7791982785857183E-2</v>
      </c>
      <c r="D15" s="51"/>
      <c r="E15" s="24" t="str">
        <f>Etiquettes!$C$7</f>
        <v>kt</v>
      </c>
      <c r="F15" s="25" t="str">
        <f>Etiquettes!$C$4</f>
        <v>Viande chevaline</v>
      </c>
      <c r="G15" s="24">
        <f>Etiquettes!$H$6</f>
        <v>2015</v>
      </c>
      <c r="H15" t="str">
        <f>Etiquettes!$C$5</f>
        <v>France</v>
      </c>
      <c r="I15" s="87" t="s">
        <v>430</v>
      </c>
      <c r="J15" t="s">
        <v>417</v>
      </c>
      <c r="K15" t="s">
        <v>190</v>
      </c>
      <c r="L15" t="s">
        <v>500</v>
      </c>
      <c r="M15" t="str">
        <f>Etiquettes!$H$11</f>
        <v>Volume</v>
      </c>
      <c r="N15" s="105" t="str">
        <f>_xlfn.CONCAT(I15,IF(OR(ISBLANK(#REF!),ISERROR(#REF!)),"",_xlfn.CONCAT(" = ",MROUND(#REF!,1)," ",E15," (",K15,")")))</f>
        <v>Valorisation des CGA en petfood</v>
      </c>
      <c r="O15" s="24" t="str">
        <f>Etiquettes!$L$15</f>
        <v>Très faible</v>
      </c>
      <c r="Q15" s="134"/>
    </row>
    <row r="16" spans="1:17">
      <c r="A16" t="str">
        <f>Produits!$B$20</f>
        <v>Corps gras animaux</v>
      </c>
      <c r="B16" t="str">
        <f>Secteurs!$B$24</f>
        <v>Aquaculture</v>
      </c>
      <c r="C16" s="46">
        <f>'Coproduits - SIFCO'!O15*'Coproduits - SIFCO'!X10*(1-'Coproduits - SIFCO'!C33)/10^3</f>
        <v>0</v>
      </c>
      <c r="D16" s="51"/>
      <c r="E16" s="24" t="str">
        <f>Etiquettes!$C$7</f>
        <v>kt</v>
      </c>
      <c r="F16" s="25" t="str">
        <f>Etiquettes!$C$4</f>
        <v>Viande chevaline</v>
      </c>
      <c r="G16" s="24">
        <f>Etiquettes!$H$6</f>
        <v>2015</v>
      </c>
      <c r="H16" t="str">
        <f>Etiquettes!$C$5</f>
        <v>France</v>
      </c>
      <c r="I16" s="87" t="s">
        <v>431</v>
      </c>
      <c r="J16" t="s">
        <v>417</v>
      </c>
      <c r="K16" t="s">
        <v>190</v>
      </c>
      <c r="L16" t="s">
        <v>500</v>
      </c>
      <c r="M16" t="str">
        <f>Etiquettes!$H$11</f>
        <v>Volume</v>
      </c>
      <c r="N16" s="105" t="str">
        <f>_xlfn.CONCAT(I16,IF(OR(ISBLANK(#REF!),ISERROR(#REF!)),"",_xlfn.CONCAT(" = ",MROUND(#REF!,1)," ",E16," (",K16,")")))</f>
        <v>Valorisation des CGA en aquaculture</v>
      </c>
      <c r="O16" s="24" t="str">
        <f>Etiquettes!$L$15</f>
        <v>Très faible</v>
      </c>
      <c r="Q16" s="134"/>
    </row>
    <row r="17" spans="1:17">
      <c r="A17" t="str">
        <f>Produits!$B$20</f>
        <v>Corps gras animaux</v>
      </c>
      <c r="B17" t="str">
        <f>Secteurs!$B$27</f>
        <v>Energie</v>
      </c>
      <c r="C17" s="46">
        <f>'Coproduits - SIFCO'!R15*'Coproduits - SIFCO'!X10*(1-'Coproduits - SIFCO'!C33)/10^3</f>
        <v>1.7040949320856879E-2</v>
      </c>
      <c r="D17" s="51"/>
      <c r="E17" s="24" t="str">
        <f>Etiquettes!$C$7</f>
        <v>kt</v>
      </c>
      <c r="F17" s="25" t="str">
        <f>Etiquettes!$C$4</f>
        <v>Viande chevaline</v>
      </c>
      <c r="G17" s="24">
        <f>Etiquettes!$H$6</f>
        <v>2015</v>
      </c>
      <c r="H17" t="str">
        <f>Etiquettes!$C$5</f>
        <v>France</v>
      </c>
      <c r="I17" s="87" t="s">
        <v>432</v>
      </c>
      <c r="J17" t="s">
        <v>417</v>
      </c>
      <c r="K17" t="s">
        <v>190</v>
      </c>
      <c r="L17" t="s">
        <v>500</v>
      </c>
      <c r="M17" t="str">
        <f>Etiquettes!$H$11</f>
        <v>Volume</v>
      </c>
      <c r="N17" s="105" t="str">
        <f>_xlfn.CONCAT(I17,IF(OR(ISBLANK(#REF!),ISERROR(#REF!)),"",_xlfn.CONCAT(" = ",MROUND(#REF!,1)," ",E17," (",K17,")")))</f>
        <v>Valorisation des CGA en énergie</v>
      </c>
      <c r="O17" s="24" t="str">
        <f>Etiquettes!$L$15</f>
        <v>Très faible</v>
      </c>
      <c r="Q17" s="134"/>
    </row>
    <row r="18" spans="1:17">
      <c r="A18" t="str">
        <f>Produits!$B$20</f>
        <v>Corps gras animaux</v>
      </c>
      <c r="B18" t="str">
        <f>Secteurs!$B$29</f>
        <v>Autres industries</v>
      </c>
      <c r="C18" s="46">
        <f>'Coproduits - SIFCO'!X15*'Coproduits - SIFCO'!X10*(1-'Coproduits - SIFCO'!C33)/10^3</f>
        <v>7.0102178893094974E-2</v>
      </c>
      <c r="D18" s="51"/>
      <c r="E18" s="24" t="str">
        <f>Etiquettes!$C$7</f>
        <v>kt</v>
      </c>
      <c r="F18" s="25" t="str">
        <f>Etiquettes!$C$4</f>
        <v>Viande chevaline</v>
      </c>
      <c r="G18" s="24">
        <f>Etiquettes!$H$6</f>
        <v>2015</v>
      </c>
      <c r="H18" t="str">
        <f>Etiquettes!$C$5</f>
        <v>France</v>
      </c>
      <c r="I18" s="87" t="s">
        <v>433</v>
      </c>
      <c r="J18" t="s">
        <v>417</v>
      </c>
      <c r="K18" t="s">
        <v>190</v>
      </c>
      <c r="L18" t="s">
        <v>500</v>
      </c>
      <c r="M18" t="str">
        <f>Etiquettes!$H$11</f>
        <v>Volume</v>
      </c>
      <c r="N18" s="105" t="str">
        <f>_xlfn.CONCAT(I18,IF(OR(ISBLANK(#REF!),ISERROR(#REF!)),"",_xlfn.CONCAT(" = ",MROUND(#REF!,1)," ",E18," (",K18,")")))</f>
        <v>Valorisation des CGA par les autres industries</v>
      </c>
      <c r="O18" s="24" t="str">
        <f>Etiquettes!$L$15</f>
        <v>Très faible</v>
      </c>
      <c r="Q18" s="134"/>
    </row>
    <row r="19" spans="1:17">
      <c r="A19" t="str">
        <f>Produits!$B$20</f>
        <v>Corps gras animaux</v>
      </c>
      <c r="B19" t="str">
        <f>Secteurs!$B$30</f>
        <v>Autres usages (ou usages inconnus)</v>
      </c>
      <c r="C19" s="46">
        <f>'Coproduits - SIFCO'!AA15*'Coproduits - SIFCO'!X10*(1-'Coproduits - SIFCO'!C33)/10^3</f>
        <v>0</v>
      </c>
      <c r="D19" s="51"/>
      <c r="E19" s="24" t="str">
        <f>Etiquettes!$C$7</f>
        <v>kt</v>
      </c>
      <c r="F19" s="25" t="str">
        <f>Etiquettes!$C$4</f>
        <v>Viande chevaline</v>
      </c>
      <c r="G19" s="24">
        <f>Etiquettes!$H$6</f>
        <v>2015</v>
      </c>
      <c r="H19" t="str">
        <f>Etiquettes!$C$5</f>
        <v>France</v>
      </c>
      <c r="I19" s="87" t="s">
        <v>434</v>
      </c>
      <c r="J19" t="s">
        <v>417</v>
      </c>
      <c r="K19" t="s">
        <v>190</v>
      </c>
      <c r="L19" t="s">
        <v>500</v>
      </c>
      <c r="M19" t="str">
        <f>Etiquettes!$H$11</f>
        <v>Volume</v>
      </c>
      <c r="N19" s="105" t="str">
        <f>_xlfn.CONCAT(I19,IF(OR(ISBLANK(#REF!),ISERROR(#REF!)),"",_xlfn.CONCAT(" = ",MROUND(#REF!,1)," ",E19," (",K19,")")))</f>
        <v>Valorisation des CGA pour d'autres usages</v>
      </c>
      <c r="O19" s="24" t="str">
        <f>Etiquettes!$L$15</f>
        <v>Très faible</v>
      </c>
      <c r="Q19" s="134"/>
    </row>
    <row r="20" spans="1:17">
      <c r="A20" t="str">
        <f>Produits!$B$16</f>
        <v>Farines animales</v>
      </c>
      <c r="B20" t="str">
        <f>Secteurs!$B$27</f>
        <v>Energie</v>
      </c>
      <c r="C20" s="46">
        <f>'Coproduits - SIFCO'!G19*'Coproduits - SIFCO'!AB10/10^3</f>
        <v>4.3504017691219636E-2</v>
      </c>
      <c r="E20" s="24" t="str">
        <f>Etiquettes!$C$7</f>
        <v>kt</v>
      </c>
      <c r="F20" s="25" t="str">
        <f>Etiquettes!$C$4</f>
        <v>Viande chevaline</v>
      </c>
      <c r="G20" s="24">
        <f>Etiquettes!$I$6</f>
        <v>2019</v>
      </c>
      <c r="H20" t="str">
        <f>Etiquettes!$C$5</f>
        <v>France</v>
      </c>
      <c r="I20" s="87" t="s">
        <v>416</v>
      </c>
      <c r="J20" t="s">
        <v>417</v>
      </c>
      <c r="K20" t="s">
        <v>190</v>
      </c>
      <c r="L20" t="s">
        <v>500</v>
      </c>
      <c r="M20" t="str">
        <f>Etiquettes!$H$11</f>
        <v>Volume</v>
      </c>
      <c r="N20" s="105" t="str">
        <f t="shared" ref="N20:N37" si="0">_xlfn.CONCAT(I20,IF(OR(ISBLANK(C2),ISERROR(C2)),"",_xlfn.CONCAT(" = ",MROUND(C2,1)," ",E20," (",K20,")")))</f>
        <v>Valorisation des farines animales en énergie = 0 kt (SIFCO)</v>
      </c>
      <c r="O20" s="24" t="str">
        <f>Etiquettes!$L$15</f>
        <v>Très faible</v>
      </c>
      <c r="Q20" s="134"/>
    </row>
    <row r="21" spans="1:17">
      <c r="A21" t="str">
        <f>Produits!$B$16</f>
        <v>Farines animales</v>
      </c>
      <c r="B21" t="str">
        <f>Secteurs!$B$28</f>
        <v>Fertilisation</v>
      </c>
      <c r="C21" s="46">
        <f>'Coproduits - SIFCO'!J19*'Coproduits - SIFCO'!AB10/10^3</f>
        <v>1.1199245743978403E-2</v>
      </c>
      <c r="E21" s="24" t="str">
        <f>Etiquettes!$C$7</f>
        <v>kt</v>
      </c>
      <c r="F21" s="25" t="str">
        <f>Etiquettes!$C$4</f>
        <v>Viande chevaline</v>
      </c>
      <c r="G21" s="24">
        <f>Etiquettes!$I$6</f>
        <v>2019</v>
      </c>
      <c r="H21" t="str">
        <f>Etiquettes!$C$5</f>
        <v>France</v>
      </c>
      <c r="I21" s="87" t="s">
        <v>418</v>
      </c>
      <c r="J21" t="s">
        <v>417</v>
      </c>
      <c r="K21" t="s">
        <v>190</v>
      </c>
      <c r="L21" t="s">
        <v>500</v>
      </c>
      <c r="M21" t="str">
        <f>Etiquettes!$H$11</f>
        <v>Volume</v>
      </c>
      <c r="N21" s="105" t="str">
        <f t="shared" si="0"/>
        <v>Valorisation des farines animales en fertilisation = 0 kt (SIFCO)</v>
      </c>
      <c r="O21" s="24" t="str">
        <f>Etiquettes!$L$15</f>
        <v>Très faible</v>
      </c>
      <c r="Q21" s="134"/>
    </row>
    <row r="22" spans="1:17">
      <c r="A22" t="str">
        <f>Produits!$B$17</f>
        <v>Graisses animales</v>
      </c>
      <c r="B22" t="str">
        <f>Secteurs!$B$27</f>
        <v>Energie</v>
      </c>
      <c r="C22" s="46">
        <f>'Coproduits - SIFCO'!G20*'Coproduits - SIFCO'!AB10/10^3</f>
        <v>2.3972791902830595E-2</v>
      </c>
      <c r="E22" s="24" t="str">
        <f>Etiquettes!$C$7</f>
        <v>kt</v>
      </c>
      <c r="F22" s="25" t="str">
        <f>Etiquettes!$C$4</f>
        <v>Viande chevaline</v>
      </c>
      <c r="G22" s="24">
        <f>Etiquettes!$I$6</f>
        <v>2019</v>
      </c>
      <c r="H22" t="str">
        <f>Etiquettes!$C$5</f>
        <v>France</v>
      </c>
      <c r="I22" s="87" t="s">
        <v>419</v>
      </c>
      <c r="J22" t="s">
        <v>417</v>
      </c>
      <c r="K22" t="s">
        <v>190</v>
      </c>
      <c r="L22" t="s">
        <v>500</v>
      </c>
      <c r="M22" t="str">
        <f>Etiquettes!$H$11</f>
        <v>Volume</v>
      </c>
      <c r="N22" s="105" t="str">
        <f t="shared" si="0"/>
        <v>Valorisation des graisses animales en énergie = 0 kt (SIFCO)</v>
      </c>
      <c r="O22" s="24" t="str">
        <f>Etiquettes!$L$15</f>
        <v>Très faible</v>
      </c>
      <c r="Q22" s="134"/>
    </row>
    <row r="23" spans="1:17">
      <c r="A23" t="str">
        <f>Produits!$B$19</f>
        <v>Protéines animales transformées</v>
      </c>
      <c r="B23" t="str">
        <f>Secteurs!$B$18</f>
        <v>Autres IAA</v>
      </c>
      <c r="C23" s="46">
        <f>'Coproduits - SIFCO'!G14*'Coproduits - SIFCO'!Y10*(1-'Coproduits - SIFCO'!D32)/10^3</f>
        <v>8.9208841855299755E-3</v>
      </c>
      <c r="E23" s="24" t="str">
        <f>Etiquettes!$C$7</f>
        <v>kt</v>
      </c>
      <c r="F23" s="25" t="str">
        <f>Etiquettes!$C$4</f>
        <v>Viande chevaline</v>
      </c>
      <c r="G23" s="24">
        <f>Etiquettes!$I$6</f>
        <v>2019</v>
      </c>
      <c r="H23" t="str">
        <f>Etiquettes!$C$5</f>
        <v>France</v>
      </c>
      <c r="I23" s="87" t="s">
        <v>420</v>
      </c>
      <c r="J23" t="s">
        <v>417</v>
      </c>
      <c r="K23" t="s">
        <v>190</v>
      </c>
      <c r="L23" t="s">
        <v>500</v>
      </c>
      <c r="M23" t="str">
        <f>Etiquettes!$H$11</f>
        <v>Volume</v>
      </c>
      <c r="N23" s="105" t="str">
        <f t="shared" si="0"/>
        <v>Valorisation des PAT par les autres IAA = 0 kt (SIFCO)</v>
      </c>
      <c r="O23" s="24" t="str">
        <f>Etiquettes!$L$15</f>
        <v>Très faible</v>
      </c>
      <c r="Q23" s="134"/>
    </row>
    <row r="24" spans="1:17">
      <c r="A24" t="str">
        <f>Produits!$B$19</f>
        <v>Protéines animales transformées</v>
      </c>
      <c r="B24" t="str">
        <f>Secteurs!$B$22</f>
        <v>Alimentation animale rente</v>
      </c>
      <c r="C24" s="46">
        <f>'Coproduits - SIFCO'!J14*'Coproduits - SIFCO'!Y10*(1-'Coproduits - SIFCO'!D32)/10^3</f>
        <v>7.44306264874717E-3</v>
      </c>
      <c r="E24" s="24" t="str">
        <f>Etiquettes!$C$7</f>
        <v>kt</v>
      </c>
      <c r="F24" s="25" t="str">
        <f>Etiquettes!$C$4</f>
        <v>Viande chevaline</v>
      </c>
      <c r="G24" s="24">
        <f>Etiquettes!$I$6</f>
        <v>2019</v>
      </c>
      <c r="H24" t="str">
        <f>Etiquettes!$C$5</f>
        <v>France</v>
      </c>
      <c r="I24" s="87" t="s">
        <v>421</v>
      </c>
      <c r="J24" t="s">
        <v>417</v>
      </c>
      <c r="K24" t="s">
        <v>190</v>
      </c>
      <c r="L24" t="s">
        <v>500</v>
      </c>
      <c r="M24" t="str">
        <f>Etiquettes!$H$11</f>
        <v>Volume</v>
      </c>
      <c r="N24" s="105" t="str">
        <f t="shared" si="0"/>
        <v>Valorisation des PAT en alimentation animale rente = 0 kt (SIFCO)</v>
      </c>
      <c r="O24" s="24" t="str">
        <f>Etiquettes!$L$15</f>
        <v>Très faible</v>
      </c>
      <c r="Q24" s="134"/>
    </row>
    <row r="25" spans="1:17">
      <c r="A25" t="str">
        <f>Produits!$B$19</f>
        <v>Protéines animales transformées</v>
      </c>
      <c r="B25" t="str">
        <f>Secteurs!$B$23</f>
        <v>Petfood</v>
      </c>
      <c r="C25" s="46">
        <f>'Coproduits - SIFCO'!M14*'Coproduits - SIFCO'!Y10*(1-'Coproduits - SIFCO'!D32)/10^3</f>
        <v>0.13915034930433376</v>
      </c>
      <c r="E25" s="24" t="str">
        <f>Etiquettes!$C$7</f>
        <v>kt</v>
      </c>
      <c r="F25" s="25" t="str">
        <f>Etiquettes!$C$4</f>
        <v>Viande chevaline</v>
      </c>
      <c r="G25" s="24">
        <f>Etiquettes!$I$6</f>
        <v>2019</v>
      </c>
      <c r="H25" t="str">
        <f>Etiquettes!$C$5</f>
        <v>France</v>
      </c>
      <c r="I25" s="87" t="s">
        <v>422</v>
      </c>
      <c r="J25" t="s">
        <v>417</v>
      </c>
      <c r="K25" t="s">
        <v>190</v>
      </c>
      <c r="L25" t="s">
        <v>500</v>
      </c>
      <c r="M25" t="str">
        <f>Etiquettes!$H$11</f>
        <v>Volume</v>
      </c>
      <c r="N25" s="105" t="str">
        <f t="shared" si="0"/>
        <v>Valorisation des PAT en petfood = 0 kt (SIFCO)</v>
      </c>
      <c r="O25" s="24" t="str">
        <f>Etiquettes!$L$15</f>
        <v>Très faible</v>
      </c>
      <c r="Q25" s="134"/>
    </row>
    <row r="26" spans="1:17">
      <c r="A26" t="str">
        <f>Produits!$B$19</f>
        <v>Protéines animales transformées</v>
      </c>
      <c r="B26" t="str">
        <f>Secteurs!$B$24</f>
        <v>Aquaculture</v>
      </c>
      <c r="C26" s="46">
        <f>'Coproduits - SIFCO'!P14*'Coproduits - SIFCO'!Y10*(1-'Coproduits - SIFCO'!D32)/10^3</f>
        <v>4.2040322598882532E-3</v>
      </c>
      <c r="E26" s="24" t="str">
        <f>Etiquettes!$C$7</f>
        <v>kt</v>
      </c>
      <c r="F26" s="25" t="str">
        <f>Etiquettes!$C$4</f>
        <v>Viande chevaline</v>
      </c>
      <c r="G26" s="24">
        <f>Etiquettes!$I$6</f>
        <v>2019</v>
      </c>
      <c r="H26" t="str">
        <f>Etiquettes!$C$5</f>
        <v>France</v>
      </c>
      <c r="I26" s="87" t="s">
        <v>423</v>
      </c>
      <c r="J26" t="s">
        <v>417</v>
      </c>
      <c r="K26" t="s">
        <v>190</v>
      </c>
      <c r="L26" t="s">
        <v>500</v>
      </c>
      <c r="M26" t="str">
        <f>Etiquettes!$H$11</f>
        <v>Volume</v>
      </c>
      <c r="N26" s="105" t="str">
        <f t="shared" si="0"/>
        <v>Valorisation des PAT en aquaculture = 0 kt (SIFCO)</v>
      </c>
      <c r="O26" s="24" t="str">
        <f>Etiquettes!$L$15</f>
        <v>Très faible</v>
      </c>
      <c r="Q26" s="134"/>
    </row>
    <row r="27" spans="1:17">
      <c r="A27" t="str">
        <f>Produits!$B$19</f>
        <v>Protéines animales transformées</v>
      </c>
      <c r="B27" t="str">
        <f>Secteurs!$B$27</f>
        <v>Energie</v>
      </c>
      <c r="C27" s="46">
        <f>'Coproduits - SIFCO'!S14*'Coproduits - SIFCO'!Y10*(1-'Coproduits - SIFCO'!D32)/10^3</f>
        <v>3.0095980383987493E-4</v>
      </c>
      <c r="E27" s="24" t="str">
        <f>Etiquettes!$C$7</f>
        <v>kt</v>
      </c>
      <c r="F27" s="25" t="str">
        <f>Etiquettes!$C$4</f>
        <v>Viande chevaline</v>
      </c>
      <c r="G27" s="24">
        <f>Etiquettes!$I$6</f>
        <v>2019</v>
      </c>
      <c r="H27" t="str">
        <f>Etiquettes!$C$5</f>
        <v>France</v>
      </c>
      <c r="I27" s="87" t="s">
        <v>424</v>
      </c>
      <c r="J27" t="s">
        <v>417</v>
      </c>
      <c r="K27" t="s">
        <v>190</v>
      </c>
      <c r="L27" t="s">
        <v>500</v>
      </c>
      <c r="M27" t="str">
        <f>Etiquettes!$H$11</f>
        <v>Volume</v>
      </c>
      <c r="N27" s="105" t="str">
        <f t="shared" si="0"/>
        <v>Valorisation des PAT en énergie = 0 kt (SIFCO)</v>
      </c>
      <c r="O27" s="24" t="str">
        <f>Etiquettes!$L$15</f>
        <v>Très faible</v>
      </c>
      <c r="Q27" s="134"/>
    </row>
    <row r="28" spans="1:17">
      <c r="A28" t="str">
        <f>Produits!$B$19</f>
        <v>Protéines animales transformées</v>
      </c>
      <c r="B28" t="str">
        <f>Secteurs!$B$28</f>
        <v>Fertilisation</v>
      </c>
      <c r="C28" s="46">
        <f>'Coproduits - SIFCO'!V14*'Coproduits - SIFCO'!Y10*(1-'Coproduits - SIFCO'!D32)/10^3</f>
        <v>9.1159140584130532E-3</v>
      </c>
      <c r="E28" s="24" t="str">
        <f>Etiquettes!$C$7</f>
        <v>kt</v>
      </c>
      <c r="F28" s="25" t="str">
        <f>Etiquettes!$C$4</f>
        <v>Viande chevaline</v>
      </c>
      <c r="G28" s="24">
        <f>Etiquettes!$I$6</f>
        <v>2019</v>
      </c>
      <c r="H28" t="str">
        <f>Etiquettes!$C$5</f>
        <v>France</v>
      </c>
      <c r="I28" s="87" t="s">
        <v>425</v>
      </c>
      <c r="J28" t="s">
        <v>417</v>
      </c>
      <c r="K28" t="s">
        <v>190</v>
      </c>
      <c r="L28" t="s">
        <v>500</v>
      </c>
      <c r="M28" t="str">
        <f>Etiquettes!$H$11</f>
        <v>Volume</v>
      </c>
      <c r="N28" s="105" t="str">
        <f t="shared" si="0"/>
        <v>Valorisation des PAT en fertilisation = 0 kt (SIFCO)</v>
      </c>
      <c r="O28" s="24" t="str">
        <f>Etiquettes!$L$15</f>
        <v>Très faible</v>
      </c>
      <c r="Q28" s="134"/>
    </row>
    <row r="29" spans="1:17">
      <c r="A29" t="str">
        <f>Produits!$B$19</f>
        <v>Protéines animales transformées</v>
      </c>
      <c r="B29" t="str">
        <f>Secteurs!$B$29</f>
        <v>Autres industries</v>
      </c>
      <c r="C29" s="46">
        <f>'Coproduits - SIFCO'!Y14*'Coproduits - SIFCO'!Y10*(1-'Coproduits - SIFCO'!D32)/10^3</f>
        <v>0</v>
      </c>
      <c r="E29" s="24" t="str">
        <f>Etiquettes!$C$7</f>
        <v>kt</v>
      </c>
      <c r="F29" s="25" t="str">
        <f>Etiquettes!$C$4</f>
        <v>Viande chevaline</v>
      </c>
      <c r="G29" s="24">
        <f>Etiquettes!$I$6</f>
        <v>2019</v>
      </c>
      <c r="H29" t="str">
        <f>Etiquettes!$C$5</f>
        <v>France</v>
      </c>
      <c r="I29" s="87" t="s">
        <v>426</v>
      </c>
      <c r="J29" t="s">
        <v>417</v>
      </c>
      <c r="K29" t="s">
        <v>190</v>
      </c>
      <c r="L29" t="s">
        <v>500</v>
      </c>
      <c r="M29" t="str">
        <f>Etiquettes!$H$11</f>
        <v>Volume</v>
      </c>
      <c r="N29" s="105" t="str">
        <f t="shared" si="0"/>
        <v>Valorisation des PAT par les autres industries = 0 kt (SIFCO)</v>
      </c>
      <c r="O29" s="24" t="str">
        <f>Etiquettes!$L$15</f>
        <v>Très faible</v>
      </c>
      <c r="Q29" s="134"/>
    </row>
    <row r="30" spans="1:17">
      <c r="A30" t="str">
        <f>Produits!$B$19</f>
        <v>Protéines animales transformées</v>
      </c>
      <c r="B30" t="str">
        <f>Secteurs!$B$30</f>
        <v>Autres usages (ou usages inconnus)</v>
      </c>
      <c r="C30" s="46">
        <f>'Coproduits - SIFCO'!AB14*'Coproduits - SIFCO'!Y10*(1-'Coproduits - SIFCO'!D32)/10^3</f>
        <v>0</v>
      </c>
      <c r="E30" s="24" t="str">
        <f>Etiquettes!$C$7</f>
        <v>kt</v>
      </c>
      <c r="F30" s="25" t="str">
        <f>Etiquettes!$C$4</f>
        <v>Viande chevaline</v>
      </c>
      <c r="G30" s="24">
        <f>Etiquettes!$I$6</f>
        <v>2019</v>
      </c>
      <c r="H30" t="str">
        <f>Etiquettes!$C$5</f>
        <v>France</v>
      </c>
      <c r="I30" s="87" t="s">
        <v>427</v>
      </c>
      <c r="J30" t="s">
        <v>417</v>
      </c>
      <c r="K30" t="s">
        <v>190</v>
      </c>
      <c r="L30" t="s">
        <v>500</v>
      </c>
      <c r="M30" t="str">
        <f>Etiquettes!$H$11</f>
        <v>Volume</v>
      </c>
      <c r="N30" s="105" t="str">
        <f t="shared" si="0"/>
        <v>Valorisation des PAT pour d'autres usages = 0 kt (SIFCO)</v>
      </c>
      <c r="O30" s="24" t="str">
        <f>Etiquettes!$L$15</f>
        <v>Très faible</v>
      </c>
      <c r="Q30" s="134"/>
    </row>
    <row r="31" spans="1:17">
      <c r="A31" t="str">
        <f>Produits!$B$20</f>
        <v>Corps gras animaux</v>
      </c>
      <c r="B31" t="str">
        <f>Secteurs!$B$18</f>
        <v>Autres IAA</v>
      </c>
      <c r="C31" s="46">
        <f>'Coproduits - SIFCO'!G15*'Coproduits - SIFCO'!Y10*(1-'Coproduits - SIFCO'!D33)/10^3</f>
        <v>4.0025909626125967E-3</v>
      </c>
      <c r="E31" s="24" t="str">
        <f>Etiquettes!$C$7</f>
        <v>kt</v>
      </c>
      <c r="F31" s="25" t="str">
        <f>Etiquettes!$C$4</f>
        <v>Viande chevaline</v>
      </c>
      <c r="G31" s="24">
        <f>Etiquettes!$I$6</f>
        <v>2019</v>
      </c>
      <c r="H31" t="str">
        <f>Etiquettes!$C$5</f>
        <v>France</v>
      </c>
      <c r="I31" s="87" t="s">
        <v>428</v>
      </c>
      <c r="J31" t="s">
        <v>417</v>
      </c>
      <c r="K31" t="s">
        <v>190</v>
      </c>
      <c r="L31" t="s">
        <v>500</v>
      </c>
      <c r="M31" t="str">
        <f>Etiquettes!$H$11</f>
        <v>Volume</v>
      </c>
      <c r="N31" s="105" t="str">
        <f t="shared" si="0"/>
        <v>Valorisation des CGA par les autres IAA = 0 kt (SIFCO)</v>
      </c>
      <c r="O31" s="24" t="str">
        <f>Etiquettes!$L$15</f>
        <v>Très faible</v>
      </c>
      <c r="Q31" s="134"/>
    </row>
    <row r="32" spans="1:17">
      <c r="A32" t="str">
        <f>Produits!$B$20</f>
        <v>Corps gras animaux</v>
      </c>
      <c r="B32" t="str">
        <f>Secteurs!$B$22</f>
        <v>Alimentation animale rente</v>
      </c>
      <c r="C32" s="46">
        <f>'Coproduits - SIFCO'!J15*'Coproduits - SIFCO'!Y10*(1-'Coproduits - SIFCO'!D33)/10^3</f>
        <v>4.2648582916715218E-3</v>
      </c>
      <c r="E32" s="24" t="str">
        <f>Etiquettes!$C$7</f>
        <v>kt</v>
      </c>
      <c r="F32" s="25" t="str">
        <f>Etiquettes!$C$4</f>
        <v>Viande chevaline</v>
      </c>
      <c r="G32" s="24">
        <f>Etiquettes!$I$6</f>
        <v>2019</v>
      </c>
      <c r="H32" t="str">
        <f>Etiquettes!$C$5</f>
        <v>France</v>
      </c>
      <c r="I32" s="87" t="s">
        <v>429</v>
      </c>
      <c r="J32" t="s">
        <v>417</v>
      </c>
      <c r="K32" t="s">
        <v>190</v>
      </c>
      <c r="L32" t="s">
        <v>500</v>
      </c>
      <c r="M32" t="str">
        <f>Etiquettes!$H$11</f>
        <v>Volume</v>
      </c>
      <c r="N32" s="105" t="str">
        <f t="shared" si="0"/>
        <v>Valorisation des CGA en alimentation animale rente = 0 kt (SIFCO)</v>
      </c>
      <c r="O32" s="24" t="str">
        <f>Etiquettes!$L$15</f>
        <v>Très faible</v>
      </c>
      <c r="Q32" s="134"/>
    </row>
    <row r="33" spans="1:17">
      <c r="A33" t="str">
        <f>Produits!$B$20</f>
        <v>Corps gras animaux</v>
      </c>
      <c r="B33" t="str">
        <f>Secteurs!$B$23</f>
        <v>Petfood</v>
      </c>
      <c r="C33" s="46">
        <f>'Coproduits - SIFCO'!M15*'Coproduits - SIFCO'!Y10*(1-'Coproduits - SIFCO'!D33)/10^3</f>
        <v>8.3922952443403458E-3</v>
      </c>
      <c r="E33" s="24" t="str">
        <f>Etiquettes!$C$7</f>
        <v>kt</v>
      </c>
      <c r="F33" s="25" t="str">
        <f>Etiquettes!$C$4</f>
        <v>Viande chevaline</v>
      </c>
      <c r="G33" s="24">
        <f>Etiquettes!$I$6</f>
        <v>2019</v>
      </c>
      <c r="H33" t="str">
        <f>Etiquettes!$C$5</f>
        <v>France</v>
      </c>
      <c r="I33" s="87" t="s">
        <v>430</v>
      </c>
      <c r="J33" t="s">
        <v>417</v>
      </c>
      <c r="K33" t="s">
        <v>190</v>
      </c>
      <c r="L33" t="s">
        <v>500</v>
      </c>
      <c r="M33" t="str">
        <f>Etiquettes!$H$11</f>
        <v>Volume</v>
      </c>
      <c r="N33" s="105" t="str">
        <f t="shared" si="0"/>
        <v>Valorisation des CGA en petfood = 0 kt (SIFCO)</v>
      </c>
      <c r="O33" s="24" t="str">
        <f>Etiquettes!$L$15</f>
        <v>Très faible</v>
      </c>
      <c r="Q33" s="134"/>
    </row>
    <row r="34" spans="1:17">
      <c r="A34" t="str">
        <f>Produits!$B$20</f>
        <v>Corps gras animaux</v>
      </c>
      <c r="B34" t="str">
        <f>Secteurs!$B$24</f>
        <v>Aquaculture</v>
      </c>
      <c r="C34" s="46">
        <f>'Coproduits - SIFCO'!P15*'Coproduits - SIFCO'!Y10*(1-'Coproduits - SIFCO'!D33)/10^3</f>
        <v>7.231473858085464E-4</v>
      </c>
      <c r="E34" s="24" t="str">
        <f>Etiquettes!$C$7</f>
        <v>kt</v>
      </c>
      <c r="F34" s="25" t="str">
        <f>Etiquettes!$C$4</f>
        <v>Viande chevaline</v>
      </c>
      <c r="G34" s="24">
        <f>Etiquettes!$I$6</f>
        <v>2019</v>
      </c>
      <c r="H34" t="str">
        <f>Etiquettes!$C$5</f>
        <v>France</v>
      </c>
      <c r="I34" s="87" t="s">
        <v>431</v>
      </c>
      <c r="J34" t="s">
        <v>417</v>
      </c>
      <c r="K34" t="s">
        <v>190</v>
      </c>
      <c r="L34" t="s">
        <v>500</v>
      </c>
      <c r="M34" t="str">
        <f>Etiquettes!$H$11</f>
        <v>Volume</v>
      </c>
      <c r="N34" s="105" t="str">
        <f t="shared" si="0"/>
        <v>Valorisation des CGA en aquaculture = 0 kt (SIFCO)</v>
      </c>
      <c r="O34" s="24" t="str">
        <f>Etiquettes!$L$15</f>
        <v>Très faible</v>
      </c>
      <c r="Q34" s="134"/>
    </row>
    <row r="35" spans="1:17">
      <c r="A35" t="str">
        <f>Produits!$B$20</f>
        <v>Corps gras animaux</v>
      </c>
      <c r="B35" t="str">
        <f>Secteurs!$B$27</f>
        <v>Energie</v>
      </c>
      <c r="C35" s="46">
        <f>'Coproduits - SIFCO'!S15*'Coproduits - SIFCO'!Y10*(1-'Coproduits - SIFCO'!D33)/10^3</f>
        <v>1.0766184054225662E-2</v>
      </c>
      <c r="E35" s="24" t="str">
        <f>Etiquettes!$C$7</f>
        <v>kt</v>
      </c>
      <c r="F35" s="25" t="str">
        <f>Etiquettes!$C$4</f>
        <v>Viande chevaline</v>
      </c>
      <c r="G35" s="24">
        <f>Etiquettes!$I$6</f>
        <v>2019</v>
      </c>
      <c r="H35" t="str">
        <f>Etiquettes!$C$5</f>
        <v>France</v>
      </c>
      <c r="I35" s="87" t="s">
        <v>432</v>
      </c>
      <c r="J35" t="s">
        <v>417</v>
      </c>
      <c r="K35" t="s">
        <v>190</v>
      </c>
      <c r="L35" t="s">
        <v>500</v>
      </c>
      <c r="M35" t="str">
        <f>Etiquettes!$H$11</f>
        <v>Volume</v>
      </c>
      <c r="N35" s="105" t="str">
        <f t="shared" si="0"/>
        <v>Valorisation des CGA en énergie = 0 kt (SIFCO)</v>
      </c>
      <c r="O35" s="24" t="str">
        <f>Etiquettes!$L$15</f>
        <v>Très faible</v>
      </c>
      <c r="Q35" s="134"/>
    </row>
    <row r="36" spans="1:17">
      <c r="A36" t="str">
        <f>Produits!$B$20</f>
        <v>Corps gras animaux</v>
      </c>
      <c r="B36" t="str">
        <f>Secteurs!$B$29</f>
        <v>Autres industries</v>
      </c>
      <c r="C36" s="46">
        <f>'Coproduits - SIFCO'!Y15*'Coproduits - SIFCO'!Y10*(1-'Coproduits - SIFCO'!D33)/10^3</f>
        <v>2.4959734088842243E-2</v>
      </c>
      <c r="E36" s="24" t="str">
        <f>Etiquettes!$C$7</f>
        <v>kt</v>
      </c>
      <c r="F36" s="25" t="str">
        <f>Etiquettes!$C$4</f>
        <v>Viande chevaline</v>
      </c>
      <c r="G36" s="24">
        <f>Etiquettes!$I$6</f>
        <v>2019</v>
      </c>
      <c r="H36" t="str">
        <f>Etiquettes!$C$5</f>
        <v>France</v>
      </c>
      <c r="I36" s="87" t="s">
        <v>433</v>
      </c>
      <c r="J36" t="s">
        <v>417</v>
      </c>
      <c r="K36" t="s">
        <v>190</v>
      </c>
      <c r="L36" t="s">
        <v>500</v>
      </c>
      <c r="M36" t="str">
        <f>Etiquettes!$H$11</f>
        <v>Volume</v>
      </c>
      <c r="N36" s="105" t="str">
        <f t="shared" si="0"/>
        <v>Valorisation des CGA par les autres industries = 0 kt (SIFCO)</v>
      </c>
      <c r="O36" s="24" t="str">
        <f>Etiquettes!$L$15</f>
        <v>Très faible</v>
      </c>
      <c r="Q36" s="134"/>
    </row>
    <row r="37" spans="1:17">
      <c r="A37" t="str">
        <f>Produits!$B$20</f>
        <v>Corps gras animaux</v>
      </c>
      <c r="B37" t="str">
        <f>Secteurs!$B$30</f>
        <v>Autres usages (ou usages inconnus)</v>
      </c>
      <c r="C37" s="46">
        <f>'Coproduits - SIFCO'!AB15*'Coproduits - SIFCO'!Y10*(1-'Coproduits - SIFCO'!D33)/10^3</f>
        <v>0</v>
      </c>
      <c r="E37" s="24" t="str">
        <f>Etiquettes!$C$7</f>
        <v>kt</v>
      </c>
      <c r="F37" s="25" t="str">
        <f>Etiquettes!$C$4</f>
        <v>Viande chevaline</v>
      </c>
      <c r="G37" s="24">
        <f>Etiquettes!$I$6</f>
        <v>2019</v>
      </c>
      <c r="H37" t="str">
        <f>Etiquettes!$C$5</f>
        <v>France</v>
      </c>
      <c r="I37" s="87" t="s">
        <v>434</v>
      </c>
      <c r="J37" t="s">
        <v>417</v>
      </c>
      <c r="K37" t="s">
        <v>190</v>
      </c>
      <c r="L37" t="s">
        <v>500</v>
      </c>
      <c r="M37" t="str">
        <f>Etiquettes!$H$11</f>
        <v>Volume</v>
      </c>
      <c r="N37" s="105" t="str">
        <f t="shared" si="0"/>
        <v>Valorisation des CGA pour d'autres usages = 0 kt (SIFCO)</v>
      </c>
      <c r="O37" s="24" t="str">
        <f>Etiquettes!$L$15</f>
        <v>Très faible</v>
      </c>
      <c r="Q37" s="134"/>
    </row>
    <row r="38" spans="1:17">
      <c r="A38" t="str">
        <f>Produits!$B$16</f>
        <v>Farines animales</v>
      </c>
      <c r="B38" t="str">
        <f>Secteurs!$B$27</f>
        <v>Energie</v>
      </c>
      <c r="C38" s="46">
        <f>'Coproduits - SIFCO'!H19*'Coproduits - SIFCO'!AC10/10^3</f>
        <v>1.8896491540910283E-2</v>
      </c>
      <c r="E38" s="24" t="str">
        <f>Etiquettes!$C$7</f>
        <v>kt</v>
      </c>
      <c r="F38" s="25" t="str">
        <f>Etiquettes!$C$4</f>
        <v>Viande chevaline</v>
      </c>
      <c r="G38" s="24">
        <f>Etiquettes!$J$6</f>
        <v>2023</v>
      </c>
      <c r="H38" t="str">
        <f>Etiquettes!$C$5</f>
        <v>France</v>
      </c>
      <c r="I38" s="87" t="s">
        <v>416</v>
      </c>
      <c r="J38" t="s">
        <v>417</v>
      </c>
      <c r="K38" t="s">
        <v>190</v>
      </c>
      <c r="L38" t="s">
        <v>500</v>
      </c>
      <c r="M38" t="str">
        <f>Etiquettes!$H$11</f>
        <v>Volume</v>
      </c>
      <c r="N38" s="105" t="str">
        <f t="shared" ref="N38:N55" si="1">_xlfn.CONCAT(I38,IF(OR(ISBLANK(C38),ISERROR(C38)),"",_xlfn.CONCAT(" = ",MROUND(C38,1)," ",E38," (",K38,")")))</f>
        <v>Valorisation des farines animales en énergie = 0 kt (SIFCO)</v>
      </c>
      <c r="O38" s="24" t="str">
        <f>Etiquettes!$L$15</f>
        <v>Très faible</v>
      </c>
      <c r="Q38" s="134"/>
    </row>
    <row r="39" spans="1:17">
      <c r="A39" t="str">
        <f>Produits!$B$16</f>
        <v>Farines animales</v>
      </c>
      <c r="B39" t="str">
        <f>Secteurs!$B$28</f>
        <v>Fertilisation</v>
      </c>
      <c r="C39" s="46">
        <f>'Coproduits - SIFCO'!K19*'Coproduits - SIFCO'!AC10/10^3</f>
        <v>5.7980921701055229E-3</v>
      </c>
      <c r="E39" s="24" t="str">
        <f>Etiquettes!$C$7</f>
        <v>kt</v>
      </c>
      <c r="F39" s="25" t="str">
        <f>Etiquettes!$C$4</f>
        <v>Viande chevaline</v>
      </c>
      <c r="G39" s="24">
        <f>Etiquettes!$J$6</f>
        <v>2023</v>
      </c>
      <c r="H39" t="str">
        <f>Etiquettes!$C$5</f>
        <v>France</v>
      </c>
      <c r="I39" s="87" t="s">
        <v>418</v>
      </c>
      <c r="J39" t="s">
        <v>417</v>
      </c>
      <c r="K39" t="s">
        <v>190</v>
      </c>
      <c r="L39" t="s">
        <v>500</v>
      </c>
      <c r="M39" t="str">
        <f>Etiquettes!$H$11</f>
        <v>Volume</v>
      </c>
      <c r="N39" s="105" t="str">
        <f t="shared" si="1"/>
        <v>Valorisation des farines animales en fertilisation = 0 kt (SIFCO)</v>
      </c>
      <c r="O39" s="24" t="str">
        <f>Etiquettes!$L$15</f>
        <v>Très faible</v>
      </c>
      <c r="Q39" s="134"/>
    </row>
    <row r="40" spans="1:17">
      <c r="A40" t="str">
        <f>Produits!$B$17</f>
        <v>Graisses animales</v>
      </c>
      <c r="B40" t="str">
        <f>Secteurs!$B$27</f>
        <v>Energie</v>
      </c>
      <c r="C40" s="46">
        <f>'Coproduits - SIFCO'!H20*'Coproduits - SIFCO'!AC10/10^3</f>
        <v>9.3041815334171194E-3</v>
      </c>
      <c r="E40" s="24" t="str">
        <f>Etiquettes!$C$7</f>
        <v>kt</v>
      </c>
      <c r="F40" s="25" t="str">
        <f>Etiquettes!$C$4</f>
        <v>Viande chevaline</v>
      </c>
      <c r="G40" s="24">
        <f>Etiquettes!$J$6</f>
        <v>2023</v>
      </c>
      <c r="H40" t="str">
        <f>Etiquettes!$C$5</f>
        <v>France</v>
      </c>
      <c r="I40" s="87" t="s">
        <v>419</v>
      </c>
      <c r="J40" t="s">
        <v>417</v>
      </c>
      <c r="K40" t="s">
        <v>190</v>
      </c>
      <c r="L40" t="s">
        <v>500</v>
      </c>
      <c r="M40" t="str">
        <f>Etiquettes!$H$11</f>
        <v>Volume</v>
      </c>
      <c r="N40" s="105" t="str">
        <f t="shared" si="1"/>
        <v>Valorisation des graisses animales en énergie = 0 kt (SIFCO)</v>
      </c>
      <c r="O40" s="24" t="str">
        <f>Etiquettes!$L$15</f>
        <v>Très faible</v>
      </c>
      <c r="Q40" s="134"/>
    </row>
    <row r="41" spans="1:17">
      <c r="A41" t="str">
        <f>Produits!$B$19</f>
        <v>Protéines animales transformées</v>
      </c>
      <c r="B41" t="str">
        <f>Secteurs!$B$18</f>
        <v>Autres IAA</v>
      </c>
      <c r="C41" s="46">
        <f>'Coproduits - SIFCO'!H14*'Coproduits - SIFCO'!Z10*(1-'Coproduits - SIFCO'!E32)/10^3</f>
        <v>3.9987606365321123E-3</v>
      </c>
      <c r="E41" s="24" t="str">
        <f>Etiquettes!$C$7</f>
        <v>kt</v>
      </c>
      <c r="F41" s="25" t="str">
        <f>Etiquettes!$C$4</f>
        <v>Viande chevaline</v>
      </c>
      <c r="G41" s="24">
        <f>Etiquettes!$J$6</f>
        <v>2023</v>
      </c>
      <c r="H41" t="str">
        <f>Etiquettes!$C$5</f>
        <v>France</v>
      </c>
      <c r="I41" s="87" t="s">
        <v>420</v>
      </c>
      <c r="J41" t="s">
        <v>417</v>
      </c>
      <c r="K41" t="s">
        <v>190</v>
      </c>
      <c r="L41" t="s">
        <v>500</v>
      </c>
      <c r="M41" t="str">
        <f>Etiquettes!$H$11</f>
        <v>Volume</v>
      </c>
      <c r="N41" s="105" t="str">
        <f t="shared" si="1"/>
        <v>Valorisation des PAT par les autres IAA = 0 kt (SIFCO)</v>
      </c>
      <c r="O41" s="24" t="str">
        <f>Etiquettes!$L$15</f>
        <v>Très faible</v>
      </c>
      <c r="Q41" s="134"/>
    </row>
    <row r="42" spans="1:17">
      <c r="A42" t="str">
        <f>Produits!$B$19</f>
        <v>Protéines animales transformées</v>
      </c>
      <c r="B42" t="str">
        <f>Secteurs!$B$22</f>
        <v>Alimentation animale rente</v>
      </c>
      <c r="C42" s="46">
        <f>'Coproduits - SIFCO'!K14*'Coproduits - SIFCO'!Z10*(1-'Coproduits - SIFCO'!E32)/10^3</f>
        <v>2.4095942427182259E-3</v>
      </c>
      <c r="E42" s="24" t="str">
        <f>Etiquettes!$C$7</f>
        <v>kt</v>
      </c>
      <c r="F42" s="25" t="str">
        <f>Etiquettes!$C$4</f>
        <v>Viande chevaline</v>
      </c>
      <c r="G42" s="24">
        <f>Etiquettes!$J$6</f>
        <v>2023</v>
      </c>
      <c r="H42" t="str">
        <f>Etiquettes!$C$5</f>
        <v>France</v>
      </c>
      <c r="I42" s="87" t="s">
        <v>421</v>
      </c>
      <c r="J42" t="s">
        <v>417</v>
      </c>
      <c r="K42" t="s">
        <v>190</v>
      </c>
      <c r="L42" t="s">
        <v>500</v>
      </c>
      <c r="M42" t="str">
        <f>Etiquettes!$H$11</f>
        <v>Volume</v>
      </c>
      <c r="N42" s="105" t="str">
        <f t="shared" si="1"/>
        <v>Valorisation des PAT en alimentation animale rente = 0 kt (SIFCO)</v>
      </c>
      <c r="O42" s="24" t="str">
        <f>Etiquettes!$L$15</f>
        <v>Très faible</v>
      </c>
      <c r="Q42" s="134"/>
    </row>
    <row r="43" spans="1:17">
      <c r="A43" t="str">
        <f>Produits!$B$19</f>
        <v>Protéines animales transformées</v>
      </c>
      <c r="B43" t="str">
        <f>Secteurs!$B$23</f>
        <v>Petfood</v>
      </c>
      <c r="C43" s="46">
        <f>'Coproduits - SIFCO'!N14*'Coproduits - SIFCO'!Z10*(1-'Coproduits - SIFCO'!E32)/10^3</f>
        <v>5.0562096770229568E-2</v>
      </c>
      <c r="E43" s="24" t="str">
        <f>Etiquettes!$C$7</f>
        <v>kt</v>
      </c>
      <c r="F43" s="25" t="str">
        <f>Etiquettes!$C$4</f>
        <v>Viande chevaline</v>
      </c>
      <c r="G43" s="24">
        <f>Etiquettes!$J$6</f>
        <v>2023</v>
      </c>
      <c r="H43" t="str">
        <f>Etiquettes!$C$5</f>
        <v>France</v>
      </c>
      <c r="I43" s="87" t="s">
        <v>422</v>
      </c>
      <c r="J43" t="s">
        <v>417</v>
      </c>
      <c r="K43" t="s">
        <v>190</v>
      </c>
      <c r="L43" t="s">
        <v>500</v>
      </c>
      <c r="M43" t="str">
        <f>Etiquettes!$H$11</f>
        <v>Volume</v>
      </c>
      <c r="N43" s="105" t="str">
        <f t="shared" si="1"/>
        <v>Valorisation des PAT en petfood = 0 kt (SIFCO)</v>
      </c>
      <c r="O43" s="24" t="str">
        <f>Etiquettes!$L$15</f>
        <v>Très faible</v>
      </c>
      <c r="Q43" s="134"/>
    </row>
    <row r="44" spans="1:17">
      <c r="A44" t="str">
        <f>Produits!$B$19</f>
        <v>Protéines animales transformées</v>
      </c>
      <c r="B44" t="str">
        <f>Secteurs!$B$24</f>
        <v>Aquaculture</v>
      </c>
      <c r="C44" s="46">
        <f>'Coproduits - SIFCO'!Q14*'Coproduits - SIFCO'!Z10*(1-'Coproduits - SIFCO'!E32)/10^3</f>
        <v>2.8676375556071338E-3</v>
      </c>
      <c r="E44" s="24" t="str">
        <f>Etiquettes!$C$7</f>
        <v>kt</v>
      </c>
      <c r="F44" s="25" t="str">
        <f>Etiquettes!$C$4</f>
        <v>Viande chevaline</v>
      </c>
      <c r="G44" s="24">
        <f>Etiquettes!$J$6</f>
        <v>2023</v>
      </c>
      <c r="H44" t="str">
        <f>Etiquettes!$C$5</f>
        <v>France</v>
      </c>
      <c r="I44" s="87" t="s">
        <v>423</v>
      </c>
      <c r="J44" t="s">
        <v>417</v>
      </c>
      <c r="K44" t="s">
        <v>190</v>
      </c>
      <c r="L44" t="s">
        <v>500</v>
      </c>
      <c r="M44" t="str">
        <f>Etiquettes!$H$11</f>
        <v>Volume</v>
      </c>
      <c r="N44" s="105" t="str">
        <f t="shared" si="1"/>
        <v>Valorisation des PAT en aquaculture = 0 kt (SIFCO)</v>
      </c>
      <c r="O44" s="24" t="str">
        <f>Etiquettes!$L$15</f>
        <v>Très faible</v>
      </c>
      <c r="Q44" s="134"/>
    </row>
    <row r="45" spans="1:17">
      <c r="A45" t="str">
        <f>Produits!$B$19</f>
        <v>Protéines animales transformées</v>
      </c>
      <c r="B45" t="str">
        <f>Secteurs!$B$27</f>
        <v>Energie</v>
      </c>
      <c r="C45" s="46">
        <f>'Coproduits - SIFCO'!T14*'Coproduits - SIFCO'!Z10*(1-'Coproduits - SIFCO'!E32)/10^3</f>
        <v>1.1523805868968623E-4</v>
      </c>
      <c r="E45" s="24" t="str">
        <f>Etiquettes!$C$7</f>
        <v>kt</v>
      </c>
      <c r="F45" s="25" t="str">
        <f>Etiquettes!$C$4</f>
        <v>Viande chevaline</v>
      </c>
      <c r="G45" s="24">
        <f>Etiquettes!$J$6</f>
        <v>2023</v>
      </c>
      <c r="H45" t="str">
        <f>Etiquettes!$C$5</f>
        <v>France</v>
      </c>
      <c r="I45" s="87" t="s">
        <v>424</v>
      </c>
      <c r="J45" t="s">
        <v>417</v>
      </c>
      <c r="K45" t="s">
        <v>190</v>
      </c>
      <c r="L45" t="s">
        <v>500</v>
      </c>
      <c r="M45" t="str">
        <f>Etiquettes!$H$11</f>
        <v>Volume</v>
      </c>
      <c r="N45" s="105" t="str">
        <f t="shared" si="1"/>
        <v>Valorisation des PAT en énergie = 0 kt (SIFCO)</v>
      </c>
      <c r="O45" s="24" t="str">
        <f>Etiquettes!$L$15</f>
        <v>Très faible</v>
      </c>
      <c r="Q45" s="134"/>
    </row>
    <row r="46" spans="1:17">
      <c r="A46" t="str">
        <f>Produits!$B$19</f>
        <v>Protéines animales transformées</v>
      </c>
      <c r="B46" t="str">
        <f>Secteurs!$B$28</f>
        <v>Fertilisation</v>
      </c>
      <c r="C46" s="46">
        <f>'Coproduits - SIFCO'!W14*'Coproduits - SIFCO'!Z10*(1-'Coproduits - SIFCO'!E32)/10^3</f>
        <v>1.3006237206481578E-3</v>
      </c>
      <c r="E46" s="24" t="str">
        <f>Etiquettes!$C$7</f>
        <v>kt</v>
      </c>
      <c r="F46" s="25" t="str">
        <f>Etiquettes!$C$4</f>
        <v>Viande chevaline</v>
      </c>
      <c r="G46" s="24">
        <f>Etiquettes!$J$6</f>
        <v>2023</v>
      </c>
      <c r="H46" t="str">
        <f>Etiquettes!$C$5</f>
        <v>France</v>
      </c>
      <c r="I46" s="87" t="s">
        <v>425</v>
      </c>
      <c r="J46" t="s">
        <v>417</v>
      </c>
      <c r="K46" t="s">
        <v>190</v>
      </c>
      <c r="L46" t="s">
        <v>500</v>
      </c>
      <c r="M46" t="str">
        <f>Etiquettes!$H$11</f>
        <v>Volume</v>
      </c>
      <c r="N46" s="105" t="str">
        <f t="shared" si="1"/>
        <v>Valorisation des PAT en fertilisation = 0 kt (SIFCO)</v>
      </c>
      <c r="O46" s="24" t="str">
        <f>Etiquettes!$L$15</f>
        <v>Très faible</v>
      </c>
      <c r="Q46" s="134"/>
    </row>
    <row r="47" spans="1:17">
      <c r="A47" t="str">
        <f>Produits!$B$19</f>
        <v>Protéines animales transformées</v>
      </c>
      <c r="B47" t="str">
        <f>Secteurs!$B$29</f>
        <v>Autres industries</v>
      </c>
      <c r="C47" s="46">
        <f>'Coproduits - SIFCO'!Z14*'Coproduits - SIFCO'!Z10*(1-'Coproduits - SIFCO'!E32)/10^3</f>
        <v>1.2239848175389976E-4</v>
      </c>
      <c r="E47" s="24" t="str">
        <f>Etiquettes!$C$7</f>
        <v>kt</v>
      </c>
      <c r="F47" s="25" t="str">
        <f>Etiquettes!$C$4</f>
        <v>Viande chevaline</v>
      </c>
      <c r="G47" s="24">
        <f>Etiquettes!$J$6</f>
        <v>2023</v>
      </c>
      <c r="H47" t="str">
        <f>Etiquettes!$C$5</f>
        <v>France</v>
      </c>
      <c r="I47" s="87" t="s">
        <v>426</v>
      </c>
      <c r="J47" t="s">
        <v>417</v>
      </c>
      <c r="K47" t="s">
        <v>190</v>
      </c>
      <c r="L47" t="s">
        <v>500</v>
      </c>
      <c r="M47" t="str">
        <f>Etiquettes!$H$11</f>
        <v>Volume</v>
      </c>
      <c r="N47" s="105" t="str">
        <f t="shared" si="1"/>
        <v>Valorisation des PAT par les autres industries = 0 kt (SIFCO)</v>
      </c>
      <c r="O47" s="24" t="str">
        <f>Etiquettes!$L$15</f>
        <v>Très faible</v>
      </c>
      <c r="Q47" s="134"/>
    </row>
    <row r="48" spans="1:17">
      <c r="A48" t="str">
        <f>Produits!$B$19</f>
        <v>Protéines animales transformées</v>
      </c>
      <c r="B48" t="str">
        <f>Secteurs!$B$30</f>
        <v>Autres usages (ou usages inconnus)</v>
      </c>
      <c r="C48" s="46">
        <f>'Coproduits - SIFCO'!AC14*'Coproduits - SIFCO'!Z10*(1-'Coproduits - SIFCO'!E32)/10^3</f>
        <v>3.0959879223893178E-3</v>
      </c>
      <c r="E48" s="24" t="str">
        <f>Etiquettes!$C$7</f>
        <v>kt</v>
      </c>
      <c r="F48" s="25" t="str">
        <f>Etiquettes!$C$4</f>
        <v>Viande chevaline</v>
      </c>
      <c r="G48" s="24">
        <f>Etiquettes!$J$6</f>
        <v>2023</v>
      </c>
      <c r="H48" t="str">
        <f>Etiquettes!$C$5</f>
        <v>France</v>
      </c>
      <c r="I48" s="87" t="s">
        <v>427</v>
      </c>
      <c r="J48" t="s">
        <v>417</v>
      </c>
      <c r="K48" t="s">
        <v>190</v>
      </c>
      <c r="L48" t="s">
        <v>500</v>
      </c>
      <c r="M48" t="str">
        <f>Etiquettes!$H$11</f>
        <v>Volume</v>
      </c>
      <c r="N48" s="105" t="str">
        <f t="shared" si="1"/>
        <v>Valorisation des PAT pour d'autres usages = 0 kt (SIFCO)</v>
      </c>
      <c r="O48" s="24" t="str">
        <f>Etiquettes!$L$15</f>
        <v>Très faible</v>
      </c>
      <c r="Q48" s="134"/>
    </row>
    <row r="49" spans="1:17">
      <c r="A49" t="str">
        <f>Produits!$B$20</f>
        <v>Corps gras animaux</v>
      </c>
      <c r="B49" t="str">
        <f>Secteurs!$B$18</f>
        <v>Autres IAA</v>
      </c>
      <c r="C49" s="46">
        <f>'Coproduits - SIFCO'!H15*'Coproduits - SIFCO'!Z10*(1-'Coproduits - SIFCO'!E33)/10^3</f>
        <v>1.126884742272999E-3</v>
      </c>
      <c r="E49" s="24" t="str">
        <f>Etiquettes!$C$7</f>
        <v>kt</v>
      </c>
      <c r="F49" s="25" t="str">
        <f>Etiquettes!$C$4</f>
        <v>Viande chevaline</v>
      </c>
      <c r="G49" s="24">
        <f>Etiquettes!$J$6</f>
        <v>2023</v>
      </c>
      <c r="H49" t="str">
        <f>Etiquettes!$C$5</f>
        <v>France</v>
      </c>
      <c r="I49" s="87" t="s">
        <v>428</v>
      </c>
      <c r="J49" t="s">
        <v>417</v>
      </c>
      <c r="K49" t="s">
        <v>190</v>
      </c>
      <c r="L49" t="s">
        <v>500</v>
      </c>
      <c r="M49" t="str">
        <f>Etiquettes!$H$11</f>
        <v>Volume</v>
      </c>
      <c r="N49" s="105" t="str">
        <f t="shared" si="1"/>
        <v>Valorisation des CGA par les autres IAA = 0 kt (SIFCO)</v>
      </c>
      <c r="O49" s="24" t="str">
        <f>Etiquettes!$L$15</f>
        <v>Très faible</v>
      </c>
      <c r="Q49" s="134"/>
    </row>
    <row r="50" spans="1:17">
      <c r="A50" t="str">
        <f>Produits!$B$20</f>
        <v>Corps gras animaux</v>
      </c>
      <c r="B50" t="str">
        <f>Secteurs!$B$22</f>
        <v>Alimentation animale rente</v>
      </c>
      <c r="C50" s="46">
        <f>'Coproduits - SIFCO'!K15*'Coproduits - SIFCO'!Z10*(1-'Coproduits - SIFCO'!E33)/10^3</f>
        <v>2.2634702782929196E-3</v>
      </c>
      <c r="E50" s="24" t="str">
        <f>Etiquettes!$C$7</f>
        <v>kt</v>
      </c>
      <c r="F50" s="25" t="str">
        <f>Etiquettes!$C$4</f>
        <v>Viande chevaline</v>
      </c>
      <c r="G50" s="24">
        <f>Etiquettes!$J$6</f>
        <v>2023</v>
      </c>
      <c r="H50" t="str">
        <f>Etiquettes!$C$5</f>
        <v>France</v>
      </c>
      <c r="I50" s="87" t="s">
        <v>429</v>
      </c>
      <c r="J50" t="s">
        <v>417</v>
      </c>
      <c r="K50" t="s">
        <v>190</v>
      </c>
      <c r="L50" t="s">
        <v>500</v>
      </c>
      <c r="M50" t="str">
        <f>Etiquettes!$H$11</f>
        <v>Volume</v>
      </c>
      <c r="N50" s="105" t="str">
        <f t="shared" si="1"/>
        <v>Valorisation des CGA en alimentation animale rente = 0 kt (SIFCO)</v>
      </c>
      <c r="O50" s="24" t="str">
        <f>Etiquettes!$L$15</f>
        <v>Très faible</v>
      </c>
      <c r="Q50" s="134"/>
    </row>
    <row r="51" spans="1:17">
      <c r="A51" t="str">
        <f>Produits!$B$20</f>
        <v>Corps gras animaux</v>
      </c>
      <c r="B51" t="str">
        <f>Secteurs!$B$23</f>
        <v>Petfood</v>
      </c>
      <c r="C51" s="46">
        <f>'Coproduits - SIFCO'!N15*'Coproduits - SIFCO'!Z10*(1-'Coproduits - SIFCO'!E33)/10^3</f>
        <v>3.8332614096977581E-3</v>
      </c>
      <c r="E51" s="24" t="str">
        <f>Etiquettes!$C$7</f>
        <v>kt</v>
      </c>
      <c r="F51" s="25" t="str">
        <f>Etiquettes!$C$4</f>
        <v>Viande chevaline</v>
      </c>
      <c r="G51" s="24">
        <f>Etiquettes!$J$6</f>
        <v>2023</v>
      </c>
      <c r="H51" t="str">
        <f>Etiquettes!$C$5</f>
        <v>France</v>
      </c>
      <c r="I51" s="87" t="s">
        <v>430</v>
      </c>
      <c r="J51" t="s">
        <v>417</v>
      </c>
      <c r="K51" t="s">
        <v>190</v>
      </c>
      <c r="L51" t="s">
        <v>500</v>
      </c>
      <c r="M51" t="str">
        <f>Etiquettes!$H$11</f>
        <v>Volume</v>
      </c>
      <c r="N51" s="105" t="str">
        <f t="shared" si="1"/>
        <v>Valorisation des CGA en petfood = 0 kt (SIFCO)</v>
      </c>
      <c r="O51" s="24" t="str">
        <f>Etiquettes!$L$15</f>
        <v>Très faible</v>
      </c>
      <c r="Q51" s="134"/>
    </row>
    <row r="52" spans="1:17">
      <c r="A52" t="str">
        <f>Produits!$B$20</f>
        <v>Corps gras animaux</v>
      </c>
      <c r="B52" t="str">
        <f>Secteurs!$B$24</f>
        <v>Aquaculture</v>
      </c>
      <c r="C52" s="46">
        <f>'Coproduits - SIFCO'!Q15*'Coproduits - SIFCO'!Z10*(1-'Coproduits - SIFCO'!E33)/10^3</f>
        <v>3.0383754743156731E-4</v>
      </c>
      <c r="E52" s="24" t="str">
        <f>Etiquettes!$C$7</f>
        <v>kt</v>
      </c>
      <c r="F52" s="25" t="str">
        <f>Etiquettes!$C$4</f>
        <v>Viande chevaline</v>
      </c>
      <c r="G52" s="24">
        <f>Etiquettes!$J$6</f>
        <v>2023</v>
      </c>
      <c r="H52" t="str">
        <f>Etiquettes!$C$5</f>
        <v>France</v>
      </c>
      <c r="I52" s="87" t="s">
        <v>431</v>
      </c>
      <c r="J52" t="s">
        <v>417</v>
      </c>
      <c r="K52" t="s">
        <v>190</v>
      </c>
      <c r="L52" t="s">
        <v>500</v>
      </c>
      <c r="M52" t="str">
        <f>Etiquettes!$H$11</f>
        <v>Volume</v>
      </c>
      <c r="N52" s="105" t="str">
        <f t="shared" si="1"/>
        <v>Valorisation des CGA en aquaculture = 0 kt (SIFCO)</v>
      </c>
      <c r="O52" s="24" t="str">
        <f>Etiquettes!$L$15</f>
        <v>Très faible</v>
      </c>
      <c r="Q52" s="134"/>
    </row>
    <row r="53" spans="1:17">
      <c r="A53" t="str">
        <f>Produits!$B$20</f>
        <v>Corps gras animaux</v>
      </c>
      <c r="B53" t="str">
        <f>Secteurs!$B$27</f>
        <v>Energie</v>
      </c>
      <c r="C53" s="46">
        <f>'Coproduits - SIFCO'!T15*'Coproduits - SIFCO'!Z10*(1-'Coproduits - SIFCO'!E33)/10^3</f>
        <v>1.159592343876426E-2</v>
      </c>
      <c r="E53" s="24" t="str">
        <f>Etiquettes!$C$7</f>
        <v>kt</v>
      </c>
      <c r="F53" s="25" t="str">
        <f>Etiquettes!$C$4</f>
        <v>Viande chevaline</v>
      </c>
      <c r="G53" s="24">
        <f>Etiquettes!$J$6</f>
        <v>2023</v>
      </c>
      <c r="H53" t="str">
        <f>Etiquettes!$C$5</f>
        <v>France</v>
      </c>
      <c r="I53" s="87" t="s">
        <v>432</v>
      </c>
      <c r="J53" t="s">
        <v>417</v>
      </c>
      <c r="K53" t="s">
        <v>190</v>
      </c>
      <c r="L53" t="s">
        <v>500</v>
      </c>
      <c r="M53" t="str">
        <f>Etiquettes!$H$11</f>
        <v>Volume</v>
      </c>
      <c r="N53" s="105" t="str">
        <f t="shared" si="1"/>
        <v>Valorisation des CGA en énergie = 0 kt (SIFCO)</v>
      </c>
      <c r="O53" s="24" t="str">
        <f>Etiquettes!$L$15</f>
        <v>Très faible</v>
      </c>
      <c r="Q53" s="134"/>
    </row>
    <row r="54" spans="1:17">
      <c r="A54" t="str">
        <f>Produits!$B$20</f>
        <v>Corps gras animaux</v>
      </c>
      <c r="B54" t="str">
        <f>Secteurs!$B$29</f>
        <v>Autres industries</v>
      </c>
      <c r="C54" s="46">
        <f>'Coproduits - SIFCO'!Z15*'Coproduits - SIFCO'!Z10*(1-'Coproduits - SIFCO'!E33)/10^3</f>
        <v>5.3516528130405491E-3</v>
      </c>
      <c r="E54" s="24" t="str">
        <f>Etiquettes!$C$7</f>
        <v>kt</v>
      </c>
      <c r="F54" s="25" t="str">
        <f>Etiquettes!$C$4</f>
        <v>Viande chevaline</v>
      </c>
      <c r="G54" s="24">
        <f>Etiquettes!$J$6</f>
        <v>2023</v>
      </c>
      <c r="H54" t="str">
        <f>Etiquettes!$C$5</f>
        <v>France</v>
      </c>
      <c r="I54" s="87" t="s">
        <v>433</v>
      </c>
      <c r="J54" t="s">
        <v>417</v>
      </c>
      <c r="K54" t="s">
        <v>190</v>
      </c>
      <c r="L54" t="s">
        <v>500</v>
      </c>
      <c r="M54" t="str">
        <f>Etiquettes!$H$11</f>
        <v>Volume</v>
      </c>
      <c r="N54" s="105" t="str">
        <f t="shared" si="1"/>
        <v>Valorisation des CGA par les autres industries = 0 kt (SIFCO)</v>
      </c>
      <c r="O54" s="24" t="str">
        <f>Etiquettes!$L$15</f>
        <v>Très faible</v>
      </c>
      <c r="Q54" s="134"/>
    </row>
    <row r="55" spans="1:17">
      <c r="A55" t="str">
        <f>Produits!$B$20</f>
        <v>Corps gras animaux</v>
      </c>
      <c r="B55" t="str">
        <f>Secteurs!$B$30</f>
        <v>Autres usages (ou usages inconnus)</v>
      </c>
      <c r="C55" s="46">
        <f>'Coproduits - SIFCO'!AC15*'Coproduits - SIFCO'!Z10*(1-'Coproduits - SIFCO'!E33)/10^3</f>
        <v>6.7181616396591489E-5</v>
      </c>
      <c r="E55" s="24" t="str">
        <f>Etiquettes!$C$7</f>
        <v>kt</v>
      </c>
      <c r="F55" s="25" t="str">
        <f>Etiquettes!$C$4</f>
        <v>Viande chevaline</v>
      </c>
      <c r="G55" s="24">
        <f>Etiquettes!$J$6</f>
        <v>2023</v>
      </c>
      <c r="H55" t="str">
        <f>Etiquettes!$C$5</f>
        <v>France</v>
      </c>
      <c r="I55" s="87" t="s">
        <v>434</v>
      </c>
      <c r="J55" t="s">
        <v>417</v>
      </c>
      <c r="K55" t="s">
        <v>190</v>
      </c>
      <c r="L55" t="s">
        <v>500</v>
      </c>
      <c r="M55" t="str">
        <f>Etiquettes!$H$11</f>
        <v>Volume</v>
      </c>
      <c r="N55" s="105" t="str">
        <f t="shared" si="1"/>
        <v>Valorisation des CGA pour d'autres usages = 0 kt (SIFCO)</v>
      </c>
      <c r="O55" s="24" t="str">
        <f>Etiquettes!$L$15</f>
        <v>Très faible</v>
      </c>
      <c r="Q55" s="134"/>
    </row>
    <row r="57" spans="1:17">
      <c r="C57" s="26"/>
    </row>
    <row r="58" spans="1:17">
      <c r="C58" s="26"/>
    </row>
  </sheetData>
  <mergeCells count="1">
    <mergeCell ref="Q2:Q55"/>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3B731-5E5B-4C09-B604-6B0DA7DF674B}">
  <sheetPr>
    <tabColor rgb="FF0070C0"/>
  </sheetPr>
  <dimension ref="A1:E23"/>
  <sheetViews>
    <sheetView workbookViewId="0">
      <pane xSplit="2" ySplit="1" topLeftCell="C2" activePane="bottomRight" state="frozen"/>
      <selection pane="topRight" activeCell="C1" sqref="C1"/>
      <selection pane="bottomLeft" activeCell="A2" sqref="A2"/>
      <selection pane="bottomRight" activeCell="A7" sqref="A7:A18"/>
    </sheetView>
  </sheetViews>
  <sheetFormatPr baseColWidth="10" defaultColWidth="9.109375" defaultRowHeight="14.4"/>
  <cols>
    <col min="1" max="1" width="15.6640625" style="8" customWidth="1"/>
    <col min="2" max="2" width="61.6640625" bestFit="1" customWidth="1"/>
    <col min="3" max="4" width="17.109375" style="8" customWidth="1"/>
  </cols>
  <sheetData>
    <row r="1" spans="1:5" ht="38.4" thickBot="1">
      <c r="A1" s="1" t="s">
        <v>0</v>
      </c>
      <c r="B1" s="2" t="s">
        <v>1</v>
      </c>
      <c r="C1" s="2" t="s">
        <v>2</v>
      </c>
      <c r="D1" t="str">
        <f>Etiquettes!A2</f>
        <v>Type de matière</v>
      </c>
      <c r="E1" t="str">
        <f>Etiquettes!A3</f>
        <v>Type de matière - viande</v>
      </c>
    </row>
    <row r="2" spans="1:5">
      <c r="A2" s="8">
        <v>1</v>
      </c>
      <c r="B2" t="s">
        <v>195</v>
      </c>
      <c r="C2" s="8">
        <v>1</v>
      </c>
      <c r="D2" s="8" t="str">
        <f>Etiquettes!$H$2</f>
        <v>Matière première</v>
      </c>
      <c r="E2" t="str">
        <f>Etiquettes!H3</f>
        <v>Equins finis</v>
      </c>
    </row>
    <row r="3" spans="1:5">
      <c r="A3" s="8">
        <v>1</v>
      </c>
      <c r="B3" t="s">
        <v>7</v>
      </c>
      <c r="C3" s="8">
        <v>1</v>
      </c>
      <c r="D3" t="str">
        <f>D4&amp;":"&amp;D10</f>
        <v>Produit:Coproduit</v>
      </c>
      <c r="E3" t="str">
        <f>E4&amp;":"&amp;E7&amp;":"&amp;E9</f>
        <v>Viandes:Autres produits:Coproduits bruts</v>
      </c>
    </row>
    <row r="4" spans="1:5">
      <c r="A4" s="8">
        <v>2</v>
      </c>
      <c r="B4" t="s">
        <v>49</v>
      </c>
      <c r="C4" s="8">
        <v>1</v>
      </c>
      <c r="D4" s="8" t="str">
        <f>Etiquettes!$I$2</f>
        <v>Produit</v>
      </c>
      <c r="E4" t="str">
        <f>Etiquettes!$I$3</f>
        <v>Viandes</v>
      </c>
    </row>
    <row r="5" spans="1:5">
      <c r="A5" s="8">
        <v>3</v>
      </c>
      <c r="B5" t="s">
        <v>375</v>
      </c>
      <c r="C5" s="8">
        <v>1</v>
      </c>
      <c r="D5" s="8" t="str">
        <f>Etiquettes!$I$2</f>
        <v>Produit</v>
      </c>
      <c r="E5" t="str">
        <f>Etiquettes!$I$3</f>
        <v>Viandes</v>
      </c>
    </row>
    <row r="6" spans="1:5">
      <c r="A6" s="8">
        <v>3</v>
      </c>
      <c r="B6" t="s">
        <v>376</v>
      </c>
      <c r="C6" s="8">
        <v>1</v>
      </c>
      <c r="D6" s="8" t="str">
        <f>Etiquettes!$I$2</f>
        <v>Produit</v>
      </c>
      <c r="E6" t="str">
        <f>Etiquettes!$I$3</f>
        <v>Viandes</v>
      </c>
    </row>
    <row r="7" spans="1:5">
      <c r="A7" s="8">
        <v>2</v>
      </c>
      <c r="B7" t="s">
        <v>50</v>
      </c>
      <c r="C7" s="8">
        <v>1</v>
      </c>
      <c r="D7" s="8" t="str">
        <f>Etiquettes!$I$2</f>
        <v>Produit</v>
      </c>
      <c r="E7" t="str">
        <f>Etiquettes!$J$3</f>
        <v>Autres produits</v>
      </c>
    </row>
    <row r="8" spans="1:5">
      <c r="A8" s="8">
        <v>2</v>
      </c>
      <c r="B8" s="35" t="s">
        <v>181</v>
      </c>
      <c r="C8" s="8">
        <v>1</v>
      </c>
      <c r="D8" s="8" t="str">
        <f>Etiquettes!$I$2</f>
        <v>Produit</v>
      </c>
      <c r="E8" t="str">
        <f>Etiquettes!$J$3</f>
        <v>Autres produits</v>
      </c>
    </row>
    <row r="9" spans="1:5">
      <c r="A9" s="8">
        <v>2</v>
      </c>
      <c r="B9" t="s">
        <v>51</v>
      </c>
      <c r="C9" s="8">
        <v>1</v>
      </c>
      <c r="D9" s="8" t="str">
        <f>Etiquettes!$I$2</f>
        <v>Produit</v>
      </c>
      <c r="E9" t="str">
        <f>Etiquettes!$K$3</f>
        <v>Coproduits bruts</v>
      </c>
    </row>
    <row r="10" spans="1:5">
      <c r="A10" s="8">
        <v>3</v>
      </c>
      <c r="B10" t="s">
        <v>52</v>
      </c>
      <c r="C10" s="8">
        <v>1</v>
      </c>
      <c r="D10" s="8" t="str">
        <f>Etiquettes!$J$2</f>
        <v>Coproduit</v>
      </c>
      <c r="E10" t="str">
        <f>Etiquettes!$K$3</f>
        <v>Coproduits bruts</v>
      </c>
    </row>
    <row r="11" spans="1:5">
      <c r="A11" s="8">
        <v>3</v>
      </c>
      <c r="B11" t="s">
        <v>53</v>
      </c>
      <c r="C11" s="8">
        <v>1</v>
      </c>
      <c r="D11" s="8" t="str">
        <f>Etiquettes!$J$2</f>
        <v>Coproduit</v>
      </c>
      <c r="E11" t="str">
        <f>Etiquettes!$K$3</f>
        <v>Coproduits bruts</v>
      </c>
    </row>
    <row r="12" spans="1:5">
      <c r="A12" s="8">
        <v>3</v>
      </c>
      <c r="B12" t="s">
        <v>54</v>
      </c>
      <c r="C12" s="8">
        <v>1</v>
      </c>
      <c r="D12" s="8" t="str">
        <f>Etiquettes!$J$2</f>
        <v>Coproduit</v>
      </c>
      <c r="E12" t="str">
        <f>Etiquettes!$K$3</f>
        <v>Coproduits bruts</v>
      </c>
    </row>
    <row r="13" spans="1:5">
      <c r="A13" s="8">
        <v>1</v>
      </c>
      <c r="B13" t="s">
        <v>59</v>
      </c>
      <c r="C13" s="8">
        <v>1</v>
      </c>
      <c r="D13" s="8" t="str">
        <f>Etiquettes!$I$2</f>
        <v>Produit</v>
      </c>
      <c r="E13" t="str">
        <f>Etiquettes!$L$3</f>
        <v>Coproduits transformés</v>
      </c>
    </row>
    <row r="14" spans="1:5">
      <c r="A14" s="8">
        <v>2</v>
      </c>
      <c r="B14" t="s">
        <v>60</v>
      </c>
      <c r="C14" s="8">
        <v>1</v>
      </c>
      <c r="D14" s="8" t="str">
        <f>Etiquettes!$I$2</f>
        <v>Produit</v>
      </c>
      <c r="E14" t="str">
        <f>Etiquettes!$L$3</f>
        <v>Coproduits transformés</v>
      </c>
    </row>
    <row r="15" spans="1:5">
      <c r="A15" s="8">
        <v>3</v>
      </c>
      <c r="B15" t="s">
        <v>61</v>
      </c>
      <c r="C15" s="8">
        <v>1</v>
      </c>
      <c r="D15" s="8" t="str">
        <f>Etiquettes!$I$2</f>
        <v>Produit</v>
      </c>
      <c r="E15" t="str">
        <f>Etiquettes!$L$3</f>
        <v>Coproduits transformés</v>
      </c>
    </row>
    <row r="16" spans="1:5">
      <c r="A16" s="8">
        <v>4</v>
      </c>
      <c r="B16" t="s">
        <v>63</v>
      </c>
      <c r="C16" s="8">
        <v>1</v>
      </c>
      <c r="D16" s="8" t="str">
        <f>Etiquettes!$I$2</f>
        <v>Produit</v>
      </c>
      <c r="E16" t="str">
        <f>Etiquettes!$L$3</f>
        <v>Coproduits transformés</v>
      </c>
    </row>
    <row r="17" spans="1:5">
      <c r="A17" s="8">
        <v>4</v>
      </c>
      <c r="B17" t="s">
        <v>64</v>
      </c>
      <c r="C17" s="8">
        <v>1</v>
      </c>
      <c r="D17" s="8" t="str">
        <f>Etiquettes!$I$2</f>
        <v>Produit</v>
      </c>
      <c r="E17" t="str">
        <f>Etiquettes!$L$3</f>
        <v>Coproduits transformés</v>
      </c>
    </row>
    <row r="18" spans="1:5">
      <c r="A18" s="8">
        <v>3</v>
      </c>
      <c r="B18" t="s">
        <v>62</v>
      </c>
      <c r="C18" s="8">
        <v>1</v>
      </c>
      <c r="D18" s="8" t="str">
        <f>Etiquettes!$I$2</f>
        <v>Produit</v>
      </c>
      <c r="E18" t="str">
        <f>Etiquettes!$L$3</f>
        <v>Coproduits transformés</v>
      </c>
    </row>
    <row r="19" spans="1:5">
      <c r="A19" s="8">
        <v>4</v>
      </c>
      <c r="B19" t="s">
        <v>65</v>
      </c>
      <c r="C19" s="8">
        <v>1</v>
      </c>
      <c r="D19" s="8" t="str">
        <f>Etiquettes!$I$2</f>
        <v>Produit</v>
      </c>
      <c r="E19" t="str">
        <f>Etiquettes!$L$3</f>
        <v>Coproduits transformés</v>
      </c>
    </row>
    <row r="20" spans="1:5">
      <c r="A20" s="8">
        <v>4</v>
      </c>
      <c r="B20" t="s">
        <v>66</v>
      </c>
      <c r="C20" s="8">
        <v>1</v>
      </c>
      <c r="D20" s="8" t="str">
        <f>Etiquettes!$I$2</f>
        <v>Produit</v>
      </c>
      <c r="E20" t="str">
        <f>Etiquettes!$L$3</f>
        <v>Coproduits transformés</v>
      </c>
    </row>
    <row r="21" spans="1:5">
      <c r="A21" s="8">
        <v>1</v>
      </c>
      <c r="B21" t="s">
        <v>390</v>
      </c>
      <c r="C21" s="8">
        <v>0</v>
      </c>
      <c r="D21" s="8" t="str">
        <f>Etiquettes!$L$2</f>
        <v>Emission</v>
      </c>
      <c r="E21" t="str">
        <f>Etiquettes!$M$3</f>
        <v>Eau</v>
      </c>
    </row>
    <row r="22" spans="1:5">
      <c r="A22" s="8">
        <v>2</v>
      </c>
      <c r="B22" t="s">
        <v>405</v>
      </c>
      <c r="C22" s="8">
        <v>0</v>
      </c>
      <c r="D22" s="8" t="str">
        <f>Etiquettes!$L$2</f>
        <v>Emission</v>
      </c>
      <c r="E22" t="str">
        <f>Etiquettes!$M$3</f>
        <v>Eau</v>
      </c>
    </row>
    <row r="23" spans="1:5">
      <c r="A23" s="8">
        <v>2</v>
      </c>
      <c r="B23" t="s">
        <v>406</v>
      </c>
      <c r="C23" s="8">
        <v>0</v>
      </c>
      <c r="D23" s="8" t="str">
        <f>Etiquettes!$L$2</f>
        <v>Emission</v>
      </c>
      <c r="E23" t="str">
        <f>Etiquettes!$M$3</f>
        <v>Eau</v>
      </c>
    </row>
  </sheetData>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130D-7FD7-45C9-8C4E-0A1AE1DBF806}">
  <sheetPr>
    <tabColor rgb="FF92D050"/>
  </sheetPr>
  <dimension ref="A1:S13"/>
  <sheetViews>
    <sheetView workbookViewId="0">
      <pane xSplit="3" ySplit="1" topLeftCell="D2" activePane="bottomRight" state="frozen"/>
      <selection activeCell="AD10" sqref="AD10"/>
      <selection pane="topRight" activeCell="AD10" sqref="AD10"/>
      <selection pane="bottomLeft" activeCell="AD10" sqref="AD10"/>
      <selection pane="bottomRight" activeCell="Q9" sqref="Q9"/>
    </sheetView>
  </sheetViews>
  <sheetFormatPr baseColWidth="10" defaultColWidth="9.109375" defaultRowHeight="14.4"/>
  <cols>
    <col min="1" max="1" width="12.33203125" style="8" bestFit="1" customWidth="1"/>
    <col min="2" max="2" width="31.77734375" customWidth="1"/>
    <col min="3" max="3" width="34.88671875" bestFit="1" customWidth="1"/>
    <col min="4" max="4" width="10.44140625" bestFit="1" customWidth="1"/>
    <col min="5" max="6" width="19.109375" bestFit="1" customWidth="1"/>
    <col min="7" max="15" width="8.6640625" style="8" customWidth="1"/>
    <col min="16" max="16" width="14.6640625" style="8" customWidth="1"/>
    <col min="17" max="17" width="15.88671875" style="8" customWidth="1"/>
    <col min="18" max="18" width="14.33203125" style="8" customWidth="1"/>
    <col min="19" max="19" width="13.109375" customWidth="1"/>
  </cols>
  <sheetData>
    <row r="1" spans="1:19" ht="76.2" thickBot="1">
      <c r="A1" s="20" t="s">
        <v>27</v>
      </c>
      <c r="B1" s="21" t="s">
        <v>19</v>
      </c>
      <c r="C1" s="21" t="s">
        <v>20</v>
      </c>
      <c r="D1" s="21" t="s">
        <v>28</v>
      </c>
      <c r="E1" s="21" t="s">
        <v>29</v>
      </c>
      <c r="F1" s="21" t="s">
        <v>30</v>
      </c>
      <c r="G1" s="22" t="str">
        <f>Etiquettes!$A$7</f>
        <v>Unité</v>
      </c>
      <c r="H1" s="22" t="str">
        <f>Etiquettes!$A$4</f>
        <v>Filière</v>
      </c>
      <c r="I1" s="22" t="str">
        <f>Etiquettes!$A$6</f>
        <v>Année</v>
      </c>
      <c r="J1" s="22" t="str">
        <f>Etiquettes!$A$5</f>
        <v>Territoire</v>
      </c>
      <c r="K1" s="22" t="str">
        <f>Etiquettes!$A$12</f>
        <v>Traduction</v>
      </c>
      <c r="L1" s="22" t="str">
        <f>Etiquettes!$A$10</f>
        <v>Hypothèse</v>
      </c>
      <c r="M1" s="22" t="str">
        <f>Etiquettes!$A$9</f>
        <v>Source</v>
      </c>
      <c r="N1" s="22" t="str">
        <f>Etiquettes!$A$13</f>
        <v>Onglet source fichier Excel</v>
      </c>
      <c r="O1" s="22" t="str">
        <f>Etiquettes!$A$11</f>
        <v>Type de donnée collectée</v>
      </c>
      <c r="P1" s="22" t="str">
        <f>Etiquettes!$A$8</f>
        <v>Information collectée</v>
      </c>
      <c r="Q1" s="22" t="str">
        <f>Etiquettes!$A$15</f>
        <v>Fiabilité des données</v>
      </c>
      <c r="R1" s="21" t="s">
        <v>3</v>
      </c>
      <c r="S1" s="23" t="s">
        <v>5</v>
      </c>
    </row>
    <row r="2" spans="1:19" ht="14.4" customHeight="1">
      <c r="A2" s="8">
        <f>Contraintes!A14+1</f>
        <v>8</v>
      </c>
      <c r="B2" t="str">
        <f>Secteurs!$B$7</f>
        <v>Traitement thermique C3 et alimentaire</v>
      </c>
      <c r="C2" t="str">
        <f>Produits!$B$19</f>
        <v>Protéines animales transformées</v>
      </c>
      <c r="D2" s="26">
        <f>'Coproduits - SIFCO'!C32</f>
        <v>0.47286561969714985</v>
      </c>
      <c r="G2" s="24" t="str">
        <f>Etiquettes!$C$7</f>
        <v>kt</v>
      </c>
      <c r="H2" s="88" t="str">
        <f>Etiquettes!$C$4</f>
        <v>Viande chevaline</v>
      </c>
      <c r="I2" s="87">
        <f>Etiquettes!$H$6</f>
        <v>2015</v>
      </c>
      <c r="J2" t="str">
        <f>Etiquettes!$C$5</f>
        <v>France</v>
      </c>
      <c r="M2"/>
      <c r="S2" s="133" t="s">
        <v>205</v>
      </c>
    </row>
    <row r="3" spans="1:19">
      <c r="A3" s="8">
        <f>Contraintes!A15+1</f>
        <v>8</v>
      </c>
      <c r="B3" t="str">
        <f>Produits!$B$19</f>
        <v>Protéines animales transformées</v>
      </c>
      <c r="C3" t="str">
        <f>'Echanges territoires'!$B$3</f>
        <v>Export</v>
      </c>
      <c r="D3">
        <v>-1</v>
      </c>
      <c r="G3" s="24" t="str">
        <f>Etiquettes!$C$7</f>
        <v>kt</v>
      </c>
      <c r="H3" s="88" t="str">
        <f>Etiquettes!$C$4</f>
        <v>Viande chevaline</v>
      </c>
      <c r="I3" s="87">
        <f>Etiquettes!$H$6</f>
        <v>2015</v>
      </c>
      <c r="J3" t="str">
        <f>Etiquettes!$C$5</f>
        <v>France</v>
      </c>
      <c r="K3" s="35" t="s">
        <v>435</v>
      </c>
      <c r="L3" s="35" t="s">
        <v>436</v>
      </c>
      <c r="M3" t="s">
        <v>190</v>
      </c>
      <c r="N3" s="35" t="s">
        <v>500</v>
      </c>
      <c r="O3" s="35" t="str">
        <f>Etiquettes!$J$11</f>
        <v>Répartition</v>
      </c>
      <c r="P3" t="str">
        <f>_xlfn.CONCAT(K3," = ",MROUND(D2*100,0.01)," % (",M3,")")</f>
        <v>Part de PAT exportées = 47,29 % (SIFCO)</v>
      </c>
      <c r="Q3" s="24" t="str">
        <f>Etiquettes!$L$15</f>
        <v>Très faible</v>
      </c>
      <c r="S3" s="134"/>
    </row>
    <row r="4" spans="1:19">
      <c r="A4" s="8">
        <f>A2+1</f>
        <v>9</v>
      </c>
      <c r="B4" t="str">
        <f>Secteurs!$B$7</f>
        <v>Traitement thermique C3 et alimentaire</v>
      </c>
      <c r="C4" t="str">
        <f>Produits!$B$20</f>
        <v>Corps gras animaux</v>
      </c>
      <c r="D4" s="26">
        <f>'Coproduits - SIFCO'!C33</f>
        <v>0.7040732987242192</v>
      </c>
      <c r="G4" s="24" t="str">
        <f>Etiquettes!$C$7</f>
        <v>kt</v>
      </c>
      <c r="H4" s="88" t="str">
        <f>Etiquettes!$C$4</f>
        <v>Viande chevaline</v>
      </c>
      <c r="I4" s="87">
        <f>Etiquettes!$H$6</f>
        <v>2015</v>
      </c>
      <c r="J4" t="str">
        <f>Etiquettes!$C$5</f>
        <v>France</v>
      </c>
      <c r="M4"/>
      <c r="S4" s="134"/>
    </row>
    <row r="5" spans="1:19">
      <c r="A5" s="8">
        <f t="shared" ref="A5:A13" si="0">A3+1</f>
        <v>9</v>
      </c>
      <c r="B5" t="str">
        <f>Produits!$B$20</f>
        <v>Corps gras animaux</v>
      </c>
      <c r="C5" t="str">
        <f>'Echanges territoires'!$B$3</f>
        <v>Export</v>
      </c>
      <c r="D5">
        <v>-1</v>
      </c>
      <c r="G5" s="24" t="str">
        <f>Etiquettes!$C$7</f>
        <v>kt</v>
      </c>
      <c r="H5" s="88" t="str">
        <f>Etiquettes!$C$4</f>
        <v>Viande chevaline</v>
      </c>
      <c r="I5" s="87">
        <f>Etiquettes!$H$6</f>
        <v>2015</v>
      </c>
      <c r="J5" t="str">
        <f>Etiquettes!$C$5</f>
        <v>France</v>
      </c>
      <c r="K5" s="35" t="s">
        <v>437</v>
      </c>
      <c r="L5" s="35" t="s">
        <v>436</v>
      </c>
      <c r="M5" t="s">
        <v>190</v>
      </c>
      <c r="N5" s="35" t="s">
        <v>500</v>
      </c>
      <c r="O5" s="35" t="str">
        <f>Etiquettes!$J$11</f>
        <v>Répartition</v>
      </c>
      <c r="P5" t="str">
        <f t="shared" ref="P5" si="1">_xlfn.CONCAT(K5," = ",MROUND(D4*100,0.01)," % (",M5,")")</f>
        <v>Part de CGA exportées = 70,41 % (SIFCO)</v>
      </c>
      <c r="Q5" s="24" t="str">
        <f>Etiquettes!$L$15</f>
        <v>Très faible</v>
      </c>
      <c r="S5" s="134"/>
    </row>
    <row r="6" spans="1:19" ht="14.4" customHeight="1">
      <c r="A6" s="8">
        <f t="shared" si="0"/>
        <v>10</v>
      </c>
      <c r="B6" t="str">
        <f>Secteurs!$B$7</f>
        <v>Traitement thermique C3 et alimentaire</v>
      </c>
      <c r="C6" t="str">
        <f>Produits!$B$19</f>
        <v>Protéines animales transformées</v>
      </c>
      <c r="D6" s="26">
        <f>'Coproduits - SIFCO'!D32</f>
        <v>0.57999999999999996</v>
      </c>
      <c r="G6" s="24" t="str">
        <f>Etiquettes!$C$7</f>
        <v>kt</v>
      </c>
      <c r="H6" s="88" t="str">
        <f>Etiquettes!$C$4</f>
        <v>Viande chevaline</v>
      </c>
      <c r="I6" s="87">
        <f>Etiquettes!$I$6</f>
        <v>2019</v>
      </c>
      <c r="J6" t="str">
        <f>Etiquettes!$C$5</f>
        <v>France</v>
      </c>
      <c r="M6"/>
      <c r="S6" s="134"/>
    </row>
    <row r="7" spans="1:19">
      <c r="A7" s="8">
        <f t="shared" si="0"/>
        <v>10</v>
      </c>
      <c r="B7" t="str">
        <f>Produits!$B$19</f>
        <v>Protéines animales transformées</v>
      </c>
      <c r="C7" t="str">
        <f>'Echanges territoires'!$B$3</f>
        <v>Export</v>
      </c>
      <c r="D7">
        <v>-1</v>
      </c>
      <c r="G7" s="24" t="str">
        <f>Etiquettes!$C$7</f>
        <v>kt</v>
      </c>
      <c r="H7" s="88" t="str">
        <f>Etiquettes!$C$4</f>
        <v>Viande chevaline</v>
      </c>
      <c r="I7" s="87">
        <f>Etiquettes!$I$6</f>
        <v>2019</v>
      </c>
      <c r="J7" t="str">
        <f>Etiquettes!$C$5</f>
        <v>France</v>
      </c>
      <c r="K7" s="35" t="s">
        <v>435</v>
      </c>
      <c r="L7" s="35" t="s">
        <v>436</v>
      </c>
      <c r="M7" t="s">
        <v>190</v>
      </c>
      <c r="N7" s="35" t="s">
        <v>500</v>
      </c>
      <c r="O7" s="35" t="str">
        <f>Etiquettes!$J$11</f>
        <v>Répartition</v>
      </c>
      <c r="P7" t="str">
        <f t="shared" ref="P7" si="2">_xlfn.CONCAT(K7," = ",MROUND(D6*100,0.01)," % (",M7,")")</f>
        <v>Part de PAT exportées = 58 % (SIFCO)</v>
      </c>
      <c r="Q7" s="24" t="str">
        <f>Etiquettes!$L$15</f>
        <v>Très faible</v>
      </c>
      <c r="S7" s="134"/>
    </row>
    <row r="8" spans="1:19">
      <c r="A8" s="8">
        <f t="shared" si="0"/>
        <v>11</v>
      </c>
      <c r="B8" t="str">
        <f>Secteurs!$B$7</f>
        <v>Traitement thermique C3 et alimentaire</v>
      </c>
      <c r="C8" t="str">
        <f>Produits!$B$20</f>
        <v>Corps gras animaux</v>
      </c>
      <c r="D8" s="26">
        <f>'Coproduits - SIFCO'!D33</f>
        <v>0.78</v>
      </c>
      <c r="G8" s="24" t="str">
        <f>Etiquettes!$C$7</f>
        <v>kt</v>
      </c>
      <c r="H8" s="88" t="str">
        <f>Etiquettes!$C$4</f>
        <v>Viande chevaline</v>
      </c>
      <c r="I8" s="87">
        <f>Etiquettes!$I$6</f>
        <v>2019</v>
      </c>
      <c r="J8" t="str">
        <f>Etiquettes!$C$5</f>
        <v>France</v>
      </c>
      <c r="M8"/>
      <c r="S8" s="134"/>
    </row>
    <row r="9" spans="1:19">
      <c r="A9" s="8">
        <f t="shared" si="0"/>
        <v>11</v>
      </c>
      <c r="B9" t="str">
        <f>Produits!$B$20</f>
        <v>Corps gras animaux</v>
      </c>
      <c r="C9" t="str">
        <f>'Echanges territoires'!$B$3</f>
        <v>Export</v>
      </c>
      <c r="D9">
        <v>-1</v>
      </c>
      <c r="G9" s="24" t="str">
        <f>Etiquettes!$C$7</f>
        <v>kt</v>
      </c>
      <c r="H9" s="88" t="str">
        <f>Etiquettes!$C$4</f>
        <v>Viande chevaline</v>
      </c>
      <c r="I9" s="87">
        <f>Etiquettes!$I$6</f>
        <v>2019</v>
      </c>
      <c r="J9" t="str">
        <f>Etiquettes!$C$5</f>
        <v>France</v>
      </c>
      <c r="K9" s="35" t="s">
        <v>437</v>
      </c>
      <c r="L9" s="35" t="s">
        <v>436</v>
      </c>
      <c r="M9" t="s">
        <v>190</v>
      </c>
      <c r="N9" s="35" t="s">
        <v>500</v>
      </c>
      <c r="O9" s="35" t="str">
        <f>Etiquettes!$J$11</f>
        <v>Répartition</v>
      </c>
      <c r="P9" t="str">
        <f t="shared" ref="P9:P13" si="3">_xlfn.CONCAT(K9," = ",MROUND(D8*100,0.01)," % (",M9,")")</f>
        <v>Part de CGA exportées = 78 % (SIFCO)</v>
      </c>
      <c r="Q9" s="24" t="str">
        <f>Etiquettes!$L$15</f>
        <v>Très faible</v>
      </c>
      <c r="S9" s="134"/>
    </row>
    <row r="10" spans="1:19" ht="14.4" customHeight="1">
      <c r="A10" s="8">
        <f t="shared" si="0"/>
        <v>12</v>
      </c>
      <c r="B10" t="str">
        <f>Secteurs!$B$7</f>
        <v>Traitement thermique C3 et alimentaire</v>
      </c>
      <c r="C10" t="str">
        <f>Produits!$B$19</f>
        <v>Protéines animales transformées</v>
      </c>
      <c r="D10" s="26">
        <f>'Coproduits - SIFCO'!E32</f>
        <v>0.66</v>
      </c>
      <c r="G10" s="24" t="str">
        <f>Etiquettes!$C$7</f>
        <v>kt</v>
      </c>
      <c r="H10" s="88" t="str">
        <f>Etiquettes!$C$4</f>
        <v>Viande chevaline</v>
      </c>
      <c r="I10" s="87">
        <f>Etiquettes!$J$6</f>
        <v>2023</v>
      </c>
      <c r="J10" t="str">
        <f>Etiquettes!$C$5</f>
        <v>France</v>
      </c>
      <c r="M10"/>
      <c r="N10"/>
      <c r="P10"/>
      <c r="Q10"/>
      <c r="R10"/>
      <c r="S10" s="134"/>
    </row>
    <row r="11" spans="1:19">
      <c r="A11" s="8">
        <f t="shared" si="0"/>
        <v>12</v>
      </c>
      <c r="B11" t="str">
        <f>Produits!$B$19</f>
        <v>Protéines animales transformées</v>
      </c>
      <c r="C11" t="str">
        <f>'Echanges territoires'!$B$3</f>
        <v>Export</v>
      </c>
      <c r="D11">
        <v>-1</v>
      </c>
      <c r="G11" s="24" t="str">
        <f>Etiquettes!$C$7</f>
        <v>kt</v>
      </c>
      <c r="H11" s="88" t="str">
        <f>Etiquettes!$C$4</f>
        <v>Viande chevaline</v>
      </c>
      <c r="I11" s="87">
        <f>Etiquettes!$J$6</f>
        <v>2023</v>
      </c>
      <c r="J11" t="str">
        <f>Etiquettes!$C$5</f>
        <v>France</v>
      </c>
      <c r="K11" s="35" t="s">
        <v>435</v>
      </c>
      <c r="L11" s="35" t="s">
        <v>436</v>
      </c>
      <c r="M11" t="s">
        <v>190</v>
      </c>
      <c r="N11" s="35" t="s">
        <v>500</v>
      </c>
      <c r="O11" s="35" t="str">
        <f>Etiquettes!$J$11</f>
        <v>Répartition</v>
      </c>
      <c r="P11" t="str">
        <f t="shared" si="3"/>
        <v>Part de PAT exportées = 66 % (SIFCO)</v>
      </c>
      <c r="Q11" s="24" t="str">
        <f>Etiquettes!$L$15</f>
        <v>Très faible</v>
      </c>
      <c r="R11"/>
      <c r="S11" s="134"/>
    </row>
    <row r="12" spans="1:19">
      <c r="A12" s="8">
        <f t="shared" si="0"/>
        <v>13</v>
      </c>
      <c r="B12" t="str">
        <f>Secteurs!$B$7</f>
        <v>Traitement thermique C3 et alimentaire</v>
      </c>
      <c r="C12" t="str">
        <f>Produits!$B$20</f>
        <v>Corps gras animaux</v>
      </c>
      <c r="D12" s="26">
        <f>'Coproduits - SIFCO'!E33</f>
        <v>0.78</v>
      </c>
      <c r="G12" s="24" t="str">
        <f>Etiquettes!$C$7</f>
        <v>kt</v>
      </c>
      <c r="H12" s="88" t="str">
        <f>Etiquettes!$C$4</f>
        <v>Viande chevaline</v>
      </c>
      <c r="I12" s="87">
        <f>Etiquettes!$J$6</f>
        <v>2023</v>
      </c>
      <c r="J12" t="str">
        <f>Etiquettes!$C$5</f>
        <v>France</v>
      </c>
      <c r="M12"/>
      <c r="N12"/>
      <c r="P12"/>
      <c r="Q12"/>
      <c r="R12"/>
      <c r="S12" s="134"/>
    </row>
    <row r="13" spans="1:19">
      <c r="A13" s="8">
        <f t="shared" si="0"/>
        <v>13</v>
      </c>
      <c r="B13" t="str">
        <f>Produits!$B$20</f>
        <v>Corps gras animaux</v>
      </c>
      <c r="C13" t="str">
        <f>'Echanges territoires'!$B$3</f>
        <v>Export</v>
      </c>
      <c r="D13">
        <v>-1</v>
      </c>
      <c r="G13" s="24" t="str">
        <f>Etiquettes!$C$7</f>
        <v>kt</v>
      </c>
      <c r="H13" s="88" t="str">
        <f>Etiquettes!$C$4</f>
        <v>Viande chevaline</v>
      </c>
      <c r="I13" s="87">
        <f>Etiquettes!$J$6</f>
        <v>2023</v>
      </c>
      <c r="J13" t="str">
        <f>Etiquettes!$C$5</f>
        <v>France</v>
      </c>
      <c r="K13" s="35" t="s">
        <v>437</v>
      </c>
      <c r="L13" s="35" t="s">
        <v>436</v>
      </c>
      <c r="M13" t="s">
        <v>190</v>
      </c>
      <c r="N13" s="35" t="s">
        <v>500</v>
      </c>
      <c r="O13" s="35" t="str">
        <f>Etiquettes!$J$11</f>
        <v>Répartition</v>
      </c>
      <c r="P13" t="str">
        <f t="shared" si="3"/>
        <v>Part de CGA exportées = 78 % (SIFCO)</v>
      </c>
      <c r="Q13" s="24" t="str">
        <f>Etiquettes!$L$15</f>
        <v>Très faible</v>
      </c>
      <c r="R13"/>
      <c r="S13" s="134"/>
    </row>
  </sheetData>
  <mergeCells count="1">
    <mergeCell ref="S2:S13"/>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6EC93-6A56-4F76-BAED-1C3575422F9E}">
  <sheetPr>
    <tabColor theme="1"/>
  </sheetPr>
  <dimension ref="A1:O7"/>
  <sheetViews>
    <sheetView workbookViewId="0">
      <selection activeCell="AD10" sqref="AD10"/>
    </sheetView>
  </sheetViews>
  <sheetFormatPr baseColWidth="10" defaultRowHeight="14.4"/>
  <cols>
    <col min="1" max="1" width="31.21875" bestFit="1" customWidth="1"/>
    <col min="2" max="2" width="20" bestFit="1" customWidth="1"/>
    <col min="4" max="4" width="15.5546875" customWidth="1"/>
  </cols>
  <sheetData>
    <row r="1" spans="1:15" ht="15" thickBot="1">
      <c r="A1" s="89" t="s">
        <v>19</v>
      </c>
      <c r="B1" s="90" t="s">
        <v>20</v>
      </c>
      <c r="C1" s="90" t="s">
        <v>21</v>
      </c>
      <c r="D1" s="90" t="s">
        <v>23</v>
      </c>
      <c r="E1" t="str" cm="1">
        <f t="array" ref="E1:O7">_xlfn._xlws.FILTER('Contraintes '!G1:Q200,ISTEXT('Contraintes '!P1:P200))</f>
        <v>Unité</v>
      </c>
      <c r="F1" t="str">
        <v>Filière</v>
      </c>
      <c r="G1" t="str">
        <v>Année</v>
      </c>
      <c r="H1" t="str">
        <v>Territoire</v>
      </c>
      <c r="I1" t="str">
        <v>Traduction</v>
      </c>
      <c r="J1" t="str">
        <v>Hypothèse</v>
      </c>
      <c r="K1" t="str">
        <v>Source</v>
      </c>
      <c r="L1" t="str">
        <v>Onglet source fichier Excel</v>
      </c>
      <c r="M1" t="str">
        <v>Type de donnée collectée</v>
      </c>
      <c r="N1" t="str">
        <v>Information collectée</v>
      </c>
      <c r="O1" t="str">
        <v>Fiabilité des données</v>
      </c>
    </row>
    <row r="2" spans="1:15">
      <c r="A2" t="str" cm="1">
        <f t="array" ref="A2:B7">_xlfn._xlws.FILTER('Contraintes '!B2:C200,ISTEXT('Contraintes '!P2:P200))</f>
        <v>Protéines animales transformées</v>
      </c>
      <c r="B2" t="str">
        <v>Export</v>
      </c>
      <c r="E2" t="str">
        <v>kt</v>
      </c>
      <c r="F2" t="str">
        <v>Viande chevaline</v>
      </c>
      <c r="G2">
        <v>2015</v>
      </c>
      <c r="H2" t="str">
        <v>France</v>
      </c>
      <c r="I2" t="str">
        <v>Part de PAT exportées</v>
      </c>
      <c r="J2" t="str">
        <v>Extrapolation à partir des exportations tous débouchés confondus</v>
      </c>
      <c r="K2" t="str">
        <v>SIFCO</v>
      </c>
      <c r="L2" t="str">
        <v>Coproduits - SIFCO</v>
      </c>
      <c r="M2" t="str">
        <v>Répartition</v>
      </c>
      <c r="N2" t="str">
        <v>Part de PAT exportées = 47,29 % (SIFCO)</v>
      </c>
      <c r="O2" t="str">
        <v>Très faible</v>
      </c>
    </row>
    <row r="3" spans="1:15">
      <c r="A3" t="str">
        <v>Corps gras animaux</v>
      </c>
      <c r="B3" t="str">
        <v>Export</v>
      </c>
      <c r="E3" t="str">
        <v>kt</v>
      </c>
      <c r="F3" t="str">
        <v>Viande chevaline</v>
      </c>
      <c r="G3">
        <v>2015</v>
      </c>
      <c r="H3" t="str">
        <v>France</v>
      </c>
      <c r="I3" t="str">
        <v>Part de CGA exportées</v>
      </c>
      <c r="J3" t="str">
        <v>Extrapolation à partir des exportations tous débouchés confondus</v>
      </c>
      <c r="K3" t="str">
        <v>SIFCO</v>
      </c>
      <c r="L3" t="str">
        <v>Coproduits - SIFCO</v>
      </c>
      <c r="M3" t="str">
        <v>Répartition</v>
      </c>
      <c r="N3" t="str">
        <v>Part de CGA exportées = 70,41 % (SIFCO)</v>
      </c>
      <c r="O3" t="str">
        <v>Très faible</v>
      </c>
    </row>
    <row r="4" spans="1:15">
      <c r="A4" t="str">
        <v>Protéines animales transformées</v>
      </c>
      <c r="B4" t="str">
        <v>Export</v>
      </c>
      <c r="E4" t="str">
        <v>kt</v>
      </c>
      <c r="F4" t="str">
        <v>Viande chevaline</v>
      </c>
      <c r="G4">
        <v>2019</v>
      </c>
      <c r="H4" t="str">
        <v>France</v>
      </c>
      <c r="I4" t="str">
        <v>Part de PAT exportées</v>
      </c>
      <c r="J4" t="str">
        <v>Extrapolation à partir des exportations tous débouchés confondus</v>
      </c>
      <c r="K4" t="str">
        <v>SIFCO</v>
      </c>
      <c r="L4" t="str">
        <v>Coproduits - SIFCO</v>
      </c>
      <c r="M4" t="str">
        <v>Répartition</v>
      </c>
      <c r="N4" t="str">
        <v>Part de PAT exportées = 58 % (SIFCO)</v>
      </c>
      <c r="O4" t="str">
        <v>Très faible</v>
      </c>
    </row>
    <row r="5" spans="1:15">
      <c r="A5" t="str">
        <v>Corps gras animaux</v>
      </c>
      <c r="B5" t="str">
        <v>Export</v>
      </c>
      <c r="E5" t="str">
        <v>kt</v>
      </c>
      <c r="F5" t="str">
        <v>Viande chevaline</v>
      </c>
      <c r="G5">
        <v>2019</v>
      </c>
      <c r="H5" t="str">
        <v>France</v>
      </c>
      <c r="I5" t="str">
        <v>Part de CGA exportées</v>
      </c>
      <c r="J5" t="str">
        <v>Extrapolation à partir des exportations tous débouchés confondus</v>
      </c>
      <c r="K5" t="str">
        <v>SIFCO</v>
      </c>
      <c r="L5" t="str">
        <v>Coproduits - SIFCO</v>
      </c>
      <c r="M5" t="str">
        <v>Répartition</v>
      </c>
      <c r="N5" t="str">
        <v>Part de CGA exportées = 78 % (SIFCO)</v>
      </c>
      <c r="O5" t="str">
        <v>Très faible</v>
      </c>
    </row>
    <row r="6" spans="1:15">
      <c r="A6" t="str">
        <v>Protéines animales transformées</v>
      </c>
      <c r="B6" t="str">
        <v>Export</v>
      </c>
      <c r="E6" t="str">
        <v>kt</v>
      </c>
      <c r="F6" t="str">
        <v>Viande chevaline</v>
      </c>
      <c r="G6">
        <v>2023</v>
      </c>
      <c r="H6" t="str">
        <v>France</v>
      </c>
      <c r="I6" t="str">
        <v>Part de PAT exportées</v>
      </c>
      <c r="J6" t="str">
        <v>Extrapolation à partir des exportations tous débouchés confondus</v>
      </c>
      <c r="K6" t="str">
        <v>SIFCO</v>
      </c>
      <c r="L6" t="str">
        <v>Coproduits - SIFCO</v>
      </c>
      <c r="M6" t="str">
        <v>Répartition</v>
      </c>
      <c r="N6" t="str">
        <v>Part de PAT exportées = 66 % (SIFCO)</v>
      </c>
      <c r="O6" t="str">
        <v>Très faible</v>
      </c>
    </row>
    <row r="7" spans="1:15">
      <c r="A7" t="str">
        <v>Corps gras animaux</v>
      </c>
      <c r="B7" t="str">
        <v>Export</v>
      </c>
      <c r="E7" t="str">
        <v>kt</v>
      </c>
      <c r="F7" t="str">
        <v>Viande chevaline</v>
      </c>
      <c r="G7">
        <v>2023</v>
      </c>
      <c r="H7" t="str">
        <v>France</v>
      </c>
      <c r="I7" t="str">
        <v>Part de CGA exportées</v>
      </c>
      <c r="J7" t="str">
        <v>Extrapolation à partir des exportations tous débouchés confondus</v>
      </c>
      <c r="K7" t="str">
        <v>SIFCO</v>
      </c>
      <c r="L7" t="str">
        <v>Coproduits - SIFCO</v>
      </c>
      <c r="M7" t="str">
        <v>Répartition</v>
      </c>
      <c r="N7" t="str">
        <v>Part de CGA exportées = 78 % (SIFCO)</v>
      </c>
      <c r="O7" t="str">
        <v>Très faible</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59D04-EA8C-4018-9ABB-0443B1B00EDA}">
  <sheetPr>
    <tabColor rgb="FFFFC000"/>
  </sheetPr>
  <dimension ref="A1:AC35"/>
  <sheetViews>
    <sheetView topLeftCell="A7" zoomScaleNormal="100" workbookViewId="0">
      <selection activeCell="V32" sqref="V32"/>
    </sheetView>
  </sheetViews>
  <sheetFormatPr baseColWidth="10" defaultRowHeight="14.4"/>
  <cols>
    <col min="1" max="1" width="8.44140625" style="92" customWidth="1"/>
    <col min="2" max="2" width="17.109375" style="92" bestFit="1" customWidth="1"/>
    <col min="3" max="8" width="8.77734375" style="92" bestFit="1" customWidth="1"/>
    <col min="9" max="9" width="7.6640625" style="92" bestFit="1" customWidth="1"/>
    <col min="10" max="11" width="8.77734375" style="92" bestFit="1" customWidth="1"/>
    <col min="12" max="12" width="8.6640625" style="92" bestFit="1" customWidth="1"/>
    <col min="13" max="14" width="8.77734375" style="92" bestFit="1" customWidth="1"/>
    <col min="15" max="15" width="10.21875" style="92" bestFit="1" customWidth="1"/>
    <col min="16" max="17" width="10" style="92" bestFit="1" customWidth="1"/>
    <col min="18" max="19" width="7.6640625" style="92" bestFit="1" customWidth="1"/>
    <col min="20" max="20" width="8.6640625" style="92" bestFit="1" customWidth="1"/>
    <col min="21" max="21" width="7.6640625" style="92" bestFit="1" customWidth="1"/>
    <col min="22" max="22" width="10.44140625" style="92" bestFit="1" customWidth="1"/>
    <col min="23" max="23" width="16.77734375" style="92" bestFit="1" customWidth="1"/>
    <col min="24" max="25" width="8.6640625" style="92" bestFit="1" customWidth="1"/>
    <col min="26" max="26" width="7.6640625" style="92" bestFit="1" customWidth="1"/>
    <col min="27" max="28" width="5.6640625" style="92" bestFit="1" customWidth="1"/>
    <col min="29" max="29" width="7.6640625" style="92" bestFit="1" customWidth="1"/>
    <col min="30" max="16384" width="11.5546875" style="92"/>
  </cols>
  <sheetData>
    <row r="1" spans="1:29">
      <c r="A1" s="91" t="s">
        <v>183</v>
      </c>
      <c r="C1" s="147" t="s">
        <v>184</v>
      </c>
      <c r="D1" s="147"/>
      <c r="E1" s="147"/>
      <c r="F1" s="147" t="s">
        <v>114</v>
      </c>
      <c r="G1" s="147"/>
      <c r="H1" s="147"/>
      <c r="I1" s="147" t="s">
        <v>185</v>
      </c>
      <c r="J1" s="147"/>
      <c r="K1" s="147"/>
      <c r="L1" s="147" t="s">
        <v>186</v>
      </c>
      <c r="M1" s="147"/>
      <c r="N1" s="147"/>
      <c r="O1" s="147" t="s">
        <v>187</v>
      </c>
      <c r="P1" s="147"/>
      <c r="Q1" s="147"/>
      <c r="X1" s="146" t="s">
        <v>188</v>
      </c>
      <c r="Y1" s="146"/>
      <c r="Z1" s="146"/>
      <c r="AA1" s="147" t="s">
        <v>189</v>
      </c>
      <c r="AB1" s="147"/>
      <c r="AC1" s="147"/>
    </row>
    <row r="2" spans="1:29">
      <c r="B2" s="91" t="s">
        <v>54</v>
      </c>
      <c r="C2" s="106">
        <v>2015</v>
      </c>
      <c r="D2" s="106">
        <v>2019</v>
      </c>
      <c r="E2" s="106">
        <v>2023</v>
      </c>
      <c r="F2" s="106">
        <v>2015</v>
      </c>
      <c r="G2" s="106">
        <v>2019</v>
      </c>
      <c r="H2" s="106">
        <v>2023</v>
      </c>
      <c r="I2" s="106">
        <v>2015</v>
      </c>
      <c r="J2" s="106">
        <v>2019</v>
      </c>
      <c r="K2" s="106">
        <v>2023</v>
      </c>
      <c r="L2" s="106">
        <v>2015</v>
      </c>
      <c r="M2" s="106">
        <v>2019</v>
      </c>
      <c r="N2" s="106">
        <v>2023</v>
      </c>
      <c r="O2" s="106">
        <v>2015</v>
      </c>
      <c r="P2" s="106">
        <v>2019</v>
      </c>
      <c r="Q2" s="106">
        <v>2023</v>
      </c>
      <c r="X2" s="106">
        <v>2015</v>
      </c>
      <c r="Y2" s="106">
        <v>2019</v>
      </c>
      <c r="Z2" s="106">
        <v>2023</v>
      </c>
      <c r="AA2" s="106">
        <v>2015</v>
      </c>
      <c r="AB2" s="106">
        <v>2019</v>
      </c>
      <c r="AC2" s="106">
        <v>2023</v>
      </c>
    </row>
    <row r="3" spans="1:29">
      <c r="B3" s="92" t="s">
        <v>190</v>
      </c>
      <c r="D3" s="107">
        <v>838298</v>
      </c>
      <c r="E3" s="95">
        <v>813626</v>
      </c>
      <c r="F3" s="95"/>
      <c r="G3" s="95">
        <v>523683</v>
      </c>
      <c r="H3" s="95">
        <v>544515</v>
      </c>
      <c r="I3" s="95"/>
      <c r="J3" s="95">
        <v>827009</v>
      </c>
      <c r="K3" s="95">
        <v>502744</v>
      </c>
      <c r="L3" s="95"/>
      <c r="M3" s="95">
        <v>137631</v>
      </c>
      <c r="N3" s="95">
        <v>118566</v>
      </c>
      <c r="O3" s="95">
        <v>2470429</v>
      </c>
      <c r="P3" s="108">
        <f>D3+G3+J3+M3</f>
        <v>2326621</v>
      </c>
      <c r="Q3" s="108">
        <f>E3+H3+K3+N3</f>
        <v>1979451</v>
      </c>
      <c r="R3" s="108"/>
      <c r="S3" s="108"/>
      <c r="W3" s="92" t="s">
        <v>48</v>
      </c>
      <c r="X3" s="113">
        <f>('Anatomie - Blézat'!F13+'Anatomie - Blézat'!F26)/O3</f>
        <v>0.349533429230445</v>
      </c>
      <c r="Y3" s="113">
        <f>('Anatomie - Blézat'!G13+'Anatomie - Blézat'!G26)/P4</f>
        <v>0.34782047744189831</v>
      </c>
      <c r="Z3" s="113">
        <f>('Anatomie - Blézat'!H13+'Anatomie - Blézat'!H26)/Q4</f>
        <v>0.38989017432113421</v>
      </c>
      <c r="AA3" s="113">
        <f>('Anatomie - Blézat'!F11+'Anatomie - Blézat'!F12+'Anatomie - Blézat'!F24+'Anatomie - Blézat'!F25)/C8</f>
        <v>0.42260348754757637</v>
      </c>
      <c r="AB3" s="113">
        <f>('Anatomie - Blézat'!G11+'Anatomie - Blézat'!G12+'Anatomie - Blézat'!G24+'Anatomie - Blézat'!G25)/D8</f>
        <v>0.39859158490799068</v>
      </c>
      <c r="AC3" s="113">
        <f>('Anatomie - Blézat'!H11+'Anatomie - Blézat'!H12+'Anatomie - Blézat'!H24+'Anatomie - Blézat'!H25)/E8</f>
        <v>0.43350384312491219</v>
      </c>
    </row>
    <row r="4" spans="1:29">
      <c r="B4" s="92" t="s">
        <v>191</v>
      </c>
      <c r="C4" s="95">
        <f>'Anatomie - Blézat'!F13+'Anatomie - Blézat'!F26+'Anatomie - Blézat'!F51+'Anatomie - Blézat'!F63</f>
        <v>908816.08004033891</v>
      </c>
      <c r="D4" s="95">
        <f>'Anatomie - Blézat'!G13+'Anatomie - Blézat'!G26+'Anatomie - Blézat'!G51+'Anatomie - Blézat'!G63</f>
        <v>894292.66835171008</v>
      </c>
      <c r="E4" s="95">
        <f>'Anatomie - Blézat'!H13+'Anatomie - Blézat'!H26+'Anatomie - Blézat'!H51+'Anatomie - Blézat'!H63</f>
        <v>812845.06143852812</v>
      </c>
      <c r="F4" s="108">
        <f>'Anatomie - Blézat'!F39</f>
        <v>576147.41191011248</v>
      </c>
      <c r="G4" s="108">
        <f>'Anatomie - Blézat'!G39</f>
        <v>581164.77033707884</v>
      </c>
      <c r="H4" s="108">
        <f>'Anatomie - Blézat'!H39</f>
        <v>544997.82438202261</v>
      </c>
      <c r="I4" s="108"/>
      <c r="J4" s="108"/>
      <c r="O4" s="108">
        <f>C4+F4+I3+L3</f>
        <v>1484963.4919504514</v>
      </c>
      <c r="P4" s="108">
        <f>D4+G4+J3+M3</f>
        <v>2440097.438688789</v>
      </c>
      <c r="Q4" s="108">
        <f>E4+H4+K3+N3</f>
        <v>1979152.8858205508</v>
      </c>
      <c r="R4" s="108"/>
      <c r="S4" s="108"/>
      <c r="W4" s="92" t="s">
        <v>114</v>
      </c>
      <c r="X4" s="94">
        <f>'Anatomie - Blézat'!F39/O3</f>
        <v>0.23321755529509752</v>
      </c>
      <c r="Y4" s="94">
        <f>'Anatomie - Blézat'!G39/P4</f>
        <v>0.23817277176003823</v>
      </c>
      <c r="Z4" s="94">
        <f>'Anatomie - Blézat'!H39/Q4</f>
        <v>0.27536923917631967</v>
      </c>
      <c r="AA4" s="94">
        <f>('Anatomie - Blézat'!F37+'Anatomie - Blézat'!F38)/C8</f>
        <v>0.20621187024534623</v>
      </c>
      <c r="AB4" s="94">
        <f>('Anatomie - Blézat'!G37+'Anatomie - Blézat'!G38)/D8</f>
        <v>0.20015014942660853</v>
      </c>
      <c r="AC4" s="94">
        <f>('Anatomie - Blézat'!H37+'Anatomie - Blézat'!H38)/E8</f>
        <v>0.2224769680624912</v>
      </c>
    </row>
    <row r="5" spans="1:29">
      <c r="W5" s="92" t="s">
        <v>120</v>
      </c>
      <c r="X5" s="94">
        <f>'Anatomie - Blézat'!F51/O3</f>
        <v>1.7024783054998861E-2</v>
      </c>
      <c r="Y5" s="94">
        <f>'Anatomie - Blézat'!G51/P4</f>
        <v>1.7318464827115604E-2</v>
      </c>
      <c r="Z5" s="94">
        <f>'Anatomie - Blézat'!H51/Q4</f>
        <v>1.926521063400018E-2</v>
      </c>
      <c r="AA5" s="94">
        <f>('Anatomie - Blézat'!F49+'Anatomie - Blézat'!F50)/C8</f>
        <v>2.3164186667895149E-2</v>
      </c>
      <c r="AB5" s="94">
        <f>('Anatomie - Blézat'!G49+'Anatomie - Blézat'!G50)/D8</f>
        <v>2.2395267114156434E-2</v>
      </c>
      <c r="AC5" s="94">
        <f>('Anatomie - Blézat'!H49+'Anatomie - Blézat'!H50)/E8</f>
        <v>2.3951153898191094E-2</v>
      </c>
    </row>
    <row r="6" spans="1:29">
      <c r="C6" s="146" t="s">
        <v>193</v>
      </c>
      <c r="D6" s="146"/>
      <c r="E6" s="146"/>
      <c r="F6" s="147" t="s">
        <v>194</v>
      </c>
      <c r="G6" s="147"/>
      <c r="H6" s="147"/>
      <c r="W6" s="92" t="s">
        <v>123</v>
      </c>
      <c r="X6" s="94">
        <f>'Anatomie - Blézat'!F63/O3</f>
        <v>1.3196259525055051E-3</v>
      </c>
      <c r="Y6" s="94">
        <f>'Anatomie - Blézat'!G63/P4</f>
        <v>1.3598106792565439E-3</v>
      </c>
      <c r="Z6" s="94">
        <f>'Anatomie - Blézat'!H63/Q4</f>
        <v>1.5481373761002956E-3</v>
      </c>
      <c r="AA6" s="94">
        <f>('Anatomie - Blézat'!F61+'Anatomie - Blézat'!F62)/C8</f>
        <v>1.7955037545492238E-3</v>
      </c>
      <c r="AB6" s="94">
        <f>('Anatomie - Blézat'!G61+'Anatomie - Blézat'!G62)/D8</f>
        <v>1.7584308823350146E-3</v>
      </c>
      <c r="AC6" s="94">
        <f>('Anatomie - Blézat'!H61+'Anatomie - Blézat'!H62)/E8</f>
        <v>1.9246961403619387E-3</v>
      </c>
    </row>
    <row r="7" spans="1:29">
      <c r="B7" s="91" t="s">
        <v>192</v>
      </c>
      <c r="C7" s="106">
        <v>2015</v>
      </c>
      <c r="D7" s="106">
        <v>2019</v>
      </c>
      <c r="E7" s="106">
        <v>2023</v>
      </c>
      <c r="F7" s="106">
        <v>2015</v>
      </c>
      <c r="G7" s="106">
        <v>2019</v>
      </c>
      <c r="H7" s="106">
        <v>2023</v>
      </c>
      <c r="W7" s="92" t="s">
        <v>185</v>
      </c>
      <c r="X7" s="94"/>
      <c r="Y7" s="94">
        <f>J3/P4</f>
        <v>0.3389245801775857</v>
      </c>
      <c r="Z7" s="94">
        <f>K3/Q4</f>
        <v>0.25401978978069895</v>
      </c>
      <c r="AA7" s="94"/>
      <c r="AB7" s="94"/>
    </row>
    <row r="8" spans="1:29">
      <c r="B8" s="92" t="s">
        <v>190</v>
      </c>
      <c r="C8" s="107">
        <v>868280</v>
      </c>
      <c r="D8" s="107">
        <v>902367</v>
      </c>
      <c r="E8" s="95">
        <v>761289</v>
      </c>
      <c r="F8" s="95"/>
      <c r="G8" s="95"/>
      <c r="W8" s="92" t="s">
        <v>186</v>
      </c>
      <c r="X8" s="94"/>
      <c r="Y8" s="94">
        <f>M3/P4</f>
        <v>5.6403895114105526E-2</v>
      </c>
      <c r="Z8" s="94">
        <f>N3/Q4</f>
        <v>5.9907448711746636E-2</v>
      </c>
      <c r="AA8" s="94"/>
      <c r="AB8" s="94"/>
    </row>
    <row r="9" spans="1:29">
      <c r="B9" s="92" t="s">
        <v>191</v>
      </c>
      <c r="F9" s="95">
        <f>'Anatomie - Blézat'!F11+'Anatomie - Blézat'!F12+'Anatomie - Blézat'!F24+'Anatomie - Blézat'!F25+'Anatomie - Blézat'!F37+'Anatomie - Blézat'!F38+'Anatomie - Blézat'!F49+'Anatomie - Blézat'!F50+'Anatomie - Blézat'!F61+'Anatomie - Blézat'!F62</f>
        <v>567659.7988644389</v>
      </c>
      <c r="G9" s="95">
        <f>'Anatomie - Blézat'!G11+'Anatomie - Blézat'!G12+'Anatomie - Blézat'!G24+'Anatomie - Blézat'!G25+'Anatomie - Blézat'!G37+'Anatomie - Blézat'!G38+'Anatomie - Blézat'!G49+'Anatomie - Blézat'!G50+'Anatomie - Blézat'!G61+'Anatomie - Blézat'!G62</f>
        <v>562080.28258630924</v>
      </c>
      <c r="H9" s="95">
        <f>'Anatomie - Blézat'!H11+'Anatomie - Blézat'!H12+'Anatomie - Blézat'!H24+'Anatomie - Blézat'!H25+'Anatomie - Blézat'!H37+'Anatomie - Blézat'!H38+'Anatomie - Blézat'!H49+'Anatomie - Blézat'!H50+'Anatomie - Blézat'!H61+'Anatomie - Blézat'!H62</f>
        <v>519089.97576804715</v>
      </c>
      <c r="I9" s="95"/>
      <c r="J9" s="95"/>
    </row>
    <row r="10" spans="1:29">
      <c r="V10" s="92" t="s">
        <v>209</v>
      </c>
      <c r="W10" s="92" t="s">
        <v>195</v>
      </c>
      <c r="X10" s="98">
        <f>'Anatomie - Blézat'!F75/O3</f>
        <v>1.2085255632278669E-3</v>
      </c>
      <c r="Y10" s="98">
        <f>'Anatomie - Blézat'!G75/P4</f>
        <v>5.8928533020025629E-4</v>
      </c>
      <c r="Z10" s="98">
        <f>'Anatomie - Blézat'!H75/Q4</f>
        <v>3.2906355993628282E-4</v>
      </c>
      <c r="AA10" s="98">
        <f>('Anatomie - Blézat'!F73+'Anatomie - Blézat'!F74)/C8</f>
        <v>5.2881151539253943E-4</v>
      </c>
      <c r="AB10" s="98">
        <f>('Anatomie - Blézat'!G73+'Anatomie - Blézat'!G74)/D8</f>
        <v>2.4506544440750134E-4</v>
      </c>
      <c r="AC10" s="98">
        <f>('Anatomie - Blézat'!H73+'Anatomie - Blézat'!H74)/E8</f>
        <v>1.3156551327673073E-4</v>
      </c>
    </row>
    <row r="12" spans="1:29">
      <c r="A12" s="91" t="s">
        <v>196</v>
      </c>
      <c r="C12" s="147" t="s">
        <v>197</v>
      </c>
      <c r="D12" s="147"/>
      <c r="E12" s="147"/>
      <c r="F12" s="146" t="s">
        <v>198</v>
      </c>
      <c r="G12" s="146"/>
      <c r="H12" s="146"/>
      <c r="I12" s="146" t="s">
        <v>73</v>
      </c>
      <c r="J12" s="146"/>
      <c r="K12" s="146"/>
      <c r="L12" s="147" t="s">
        <v>74</v>
      </c>
      <c r="M12" s="147"/>
      <c r="N12" s="147"/>
      <c r="O12" s="147" t="s">
        <v>75</v>
      </c>
      <c r="P12" s="147"/>
      <c r="Q12" s="147"/>
      <c r="R12" s="147" t="s">
        <v>79</v>
      </c>
      <c r="S12" s="147"/>
      <c r="T12" s="147"/>
      <c r="U12" s="147" t="s">
        <v>80</v>
      </c>
      <c r="V12" s="147"/>
      <c r="W12" s="147"/>
      <c r="X12" s="147" t="s">
        <v>81</v>
      </c>
      <c r="Y12" s="147"/>
      <c r="Z12" s="147"/>
      <c r="AA12" s="147" t="s">
        <v>199</v>
      </c>
      <c r="AB12" s="147"/>
      <c r="AC12" s="147"/>
    </row>
    <row r="13" spans="1:29">
      <c r="B13" s="91" t="s">
        <v>54</v>
      </c>
      <c r="C13" s="106">
        <v>2015</v>
      </c>
      <c r="D13" s="106">
        <v>2019</v>
      </c>
      <c r="E13" s="106">
        <v>2023</v>
      </c>
      <c r="F13" s="106">
        <v>2015</v>
      </c>
      <c r="G13" s="106">
        <v>2019</v>
      </c>
      <c r="H13" s="106">
        <v>2023</v>
      </c>
      <c r="I13" s="106">
        <v>2015</v>
      </c>
      <c r="J13" s="106">
        <v>2019</v>
      </c>
      <c r="K13" s="106">
        <v>2023</v>
      </c>
      <c r="L13" s="106">
        <v>2015</v>
      </c>
      <c r="M13" s="106">
        <v>2019</v>
      </c>
      <c r="N13" s="106">
        <v>2023</v>
      </c>
      <c r="O13" s="106">
        <v>2015</v>
      </c>
      <c r="P13" s="106">
        <v>2019</v>
      </c>
      <c r="Q13" s="106">
        <v>2023</v>
      </c>
      <c r="R13" s="106">
        <v>2015</v>
      </c>
      <c r="S13" s="106">
        <v>2019</v>
      </c>
      <c r="T13" s="106">
        <v>2023</v>
      </c>
      <c r="U13" s="106">
        <v>2015</v>
      </c>
      <c r="V13" s="106">
        <v>2019</v>
      </c>
      <c r="W13" s="106">
        <v>2023</v>
      </c>
      <c r="X13" s="106">
        <v>2015</v>
      </c>
      <c r="Y13" s="106">
        <v>2019</v>
      </c>
      <c r="Z13" s="106">
        <v>2023</v>
      </c>
      <c r="AA13" s="106">
        <v>2015</v>
      </c>
      <c r="AB13" s="106">
        <v>2019</v>
      </c>
      <c r="AC13" s="106">
        <v>2023</v>
      </c>
    </row>
    <row r="14" spans="1:29">
      <c r="B14" s="92" t="s">
        <v>200</v>
      </c>
      <c r="C14" s="107">
        <f>539692+199925+551</f>
        <v>740168</v>
      </c>
      <c r="D14" s="107">
        <f>517151+165657+567</f>
        <v>683375</v>
      </c>
      <c r="E14" s="107">
        <f>436840+138740+675</f>
        <v>576255</v>
      </c>
      <c r="F14" s="109">
        <v>33985</v>
      </c>
      <c r="G14" s="109">
        <v>36044</v>
      </c>
      <c r="H14" s="109">
        <v>35741</v>
      </c>
      <c r="I14" s="109">
        <v>40198</v>
      </c>
      <c r="J14" s="109">
        <v>30073</v>
      </c>
      <c r="K14" s="109">
        <v>21537</v>
      </c>
      <c r="L14" s="109">
        <f>423609+199925</f>
        <v>623534</v>
      </c>
      <c r="M14" s="109">
        <f>396567+165657</f>
        <v>562224</v>
      </c>
      <c r="N14" s="109">
        <f>313185+138740</f>
        <v>451925</v>
      </c>
      <c r="O14" s="109"/>
      <c r="P14" s="109">
        <v>16986</v>
      </c>
      <c r="Q14" s="109">
        <v>25631</v>
      </c>
      <c r="R14" s="109">
        <f>2184+551</f>
        <v>2735</v>
      </c>
      <c r="S14" s="109">
        <f>649+567</f>
        <v>1216</v>
      </c>
      <c r="T14" s="109">
        <f>355+675</f>
        <v>1030</v>
      </c>
      <c r="U14" s="109">
        <v>37049</v>
      </c>
      <c r="V14" s="109">
        <v>36832</v>
      </c>
      <c r="W14" s="109">
        <v>11625</v>
      </c>
      <c r="X14" s="109">
        <v>2667</v>
      </c>
      <c r="Y14" s="109"/>
      <c r="Z14" s="109">
        <v>1094</v>
      </c>
      <c r="AA14" s="109"/>
      <c r="AB14" s="109"/>
      <c r="AC14" s="109">
        <f>1090+26582</f>
        <v>27672</v>
      </c>
    </row>
    <row r="15" spans="1:29">
      <c r="B15" s="92" t="s">
        <v>201</v>
      </c>
      <c r="C15" s="107">
        <v>426092</v>
      </c>
      <c r="D15" s="107">
        <v>409655</v>
      </c>
      <c r="E15" s="107">
        <v>339009</v>
      </c>
      <c r="F15" s="109">
        <v>47140</v>
      </c>
      <c r="G15" s="109">
        <v>30874</v>
      </c>
      <c r="H15" s="109">
        <v>15566</v>
      </c>
      <c r="I15" s="109">
        <v>85538</v>
      </c>
      <c r="J15" s="109">
        <v>32897</v>
      </c>
      <c r="K15" s="109">
        <v>31266</v>
      </c>
      <c r="L15" s="109">
        <v>49749</v>
      </c>
      <c r="M15" s="109">
        <v>64734</v>
      </c>
      <c r="N15" s="109">
        <v>52950</v>
      </c>
      <c r="O15" s="109"/>
      <c r="P15" s="109">
        <v>5578</v>
      </c>
      <c r="Q15" s="109">
        <v>4197</v>
      </c>
      <c r="R15" s="109">
        <f>43747+3902</f>
        <v>47649</v>
      </c>
      <c r="S15" s="109">
        <f>2197+80848</f>
        <v>83045</v>
      </c>
      <c r="T15" s="109">
        <f>1313+158865</f>
        <v>160178</v>
      </c>
      <c r="U15" s="109"/>
      <c r="V15" s="109"/>
      <c r="W15" s="109"/>
      <c r="X15" s="109">
        <v>196016</v>
      </c>
      <c r="Y15" s="109">
        <v>192527</v>
      </c>
      <c r="Z15" s="109">
        <f>70980+2944</f>
        <v>73924</v>
      </c>
      <c r="AA15" s="109"/>
      <c r="AB15" s="109"/>
      <c r="AC15" s="109">
        <v>928</v>
      </c>
    </row>
    <row r="17" spans="1:29">
      <c r="C17" s="147" t="s">
        <v>197</v>
      </c>
      <c r="D17" s="147"/>
      <c r="E17" s="147"/>
      <c r="F17" s="147" t="s">
        <v>79</v>
      </c>
      <c r="G17" s="147"/>
      <c r="H17" s="147"/>
      <c r="I17" s="147" t="s">
        <v>80</v>
      </c>
      <c r="J17" s="147"/>
      <c r="K17" s="147"/>
    </row>
    <row r="18" spans="1:29">
      <c r="B18" s="91" t="s">
        <v>192</v>
      </c>
      <c r="C18" s="125">
        <v>2018</v>
      </c>
      <c r="D18" s="106">
        <v>2019</v>
      </c>
      <c r="E18" s="106">
        <v>2023</v>
      </c>
      <c r="F18" s="125">
        <v>2018</v>
      </c>
      <c r="G18" s="106">
        <v>2019</v>
      </c>
      <c r="H18" s="106">
        <v>2023</v>
      </c>
      <c r="I18" s="125">
        <v>2018</v>
      </c>
      <c r="J18" s="106">
        <v>2019</v>
      </c>
      <c r="K18" s="106">
        <v>2023</v>
      </c>
    </row>
    <row r="19" spans="1:29">
      <c r="B19" s="92" t="s">
        <v>63</v>
      </c>
      <c r="C19" s="126">
        <v>211721</v>
      </c>
      <c r="D19" s="107">
        <f>223219+97822</f>
        <v>321041</v>
      </c>
      <c r="E19" s="107">
        <v>187698</v>
      </c>
      <c r="F19" s="127">
        <v>163571</v>
      </c>
      <c r="G19" s="109">
        <v>177520</v>
      </c>
      <c r="H19" s="109">
        <f>141936+1692</f>
        <v>143628</v>
      </c>
      <c r="I19" s="127">
        <v>48150</v>
      </c>
      <c r="J19" s="109">
        <v>45699</v>
      </c>
      <c r="K19" s="109">
        <v>44070</v>
      </c>
      <c r="L19" s="110"/>
      <c r="M19" s="110"/>
    </row>
    <row r="20" spans="1:29">
      <c r="B20" s="92" t="s">
        <v>64</v>
      </c>
      <c r="C20" s="126">
        <v>111536</v>
      </c>
      <c r="D20" s="107">
        <v>97822</v>
      </c>
      <c r="E20" s="107">
        <v>70719</v>
      </c>
      <c r="F20" s="127">
        <f>9157+102379</f>
        <v>111536</v>
      </c>
      <c r="G20" s="109">
        <f>10402+87420</f>
        <v>97822</v>
      </c>
      <c r="H20" s="109">
        <f>3547+67172</f>
        <v>70719</v>
      </c>
      <c r="I20" s="109"/>
      <c r="J20" s="109"/>
      <c r="K20" s="107"/>
      <c r="Z20" s="100"/>
      <c r="AA20" s="100"/>
      <c r="AB20" s="100"/>
      <c r="AC20" s="100"/>
    </row>
    <row r="24" spans="1:29">
      <c r="E24" s="108"/>
    </row>
    <row r="25" spans="1:29">
      <c r="E25" s="108"/>
    </row>
    <row r="30" spans="1:29">
      <c r="A30" s="91" t="s">
        <v>202</v>
      </c>
      <c r="C30" s="146" t="s">
        <v>203</v>
      </c>
      <c r="D30" s="146"/>
      <c r="E30" s="146"/>
    </row>
    <row r="31" spans="1:29">
      <c r="B31" s="91" t="s">
        <v>54</v>
      </c>
      <c r="C31" s="106">
        <v>2015</v>
      </c>
      <c r="D31" s="106">
        <v>2019</v>
      </c>
      <c r="E31" s="106">
        <v>2023</v>
      </c>
    </row>
    <row r="32" spans="1:29">
      <c r="B32" s="92" t="s">
        <v>200</v>
      </c>
      <c r="C32" s="111">
        <f>350000/C14</f>
        <v>0.47286561969714985</v>
      </c>
      <c r="D32" s="111">
        <v>0.57999999999999996</v>
      </c>
      <c r="E32" s="111">
        <v>0.66</v>
      </c>
      <c r="F32" s="111"/>
      <c r="G32" s="111"/>
    </row>
    <row r="33" spans="2:16">
      <c r="B33" s="92" t="s">
        <v>201</v>
      </c>
      <c r="C33" s="111">
        <f>300000/C15</f>
        <v>0.7040732987242192</v>
      </c>
      <c r="D33" s="111">
        <v>0.78</v>
      </c>
      <c r="E33" s="111">
        <v>0.78</v>
      </c>
      <c r="F33" s="111"/>
      <c r="G33" s="111"/>
    </row>
    <row r="35" spans="2:16">
      <c r="P35" s="128" t="s">
        <v>489</v>
      </c>
    </row>
  </sheetData>
  <mergeCells count="22">
    <mergeCell ref="C30:E30"/>
    <mergeCell ref="AA1:AC1"/>
    <mergeCell ref="C6:E6"/>
    <mergeCell ref="F6:H6"/>
    <mergeCell ref="C12:E12"/>
    <mergeCell ref="F12:H12"/>
    <mergeCell ref="I12:K12"/>
    <mergeCell ref="L12:N12"/>
    <mergeCell ref="O12:Q12"/>
    <mergeCell ref="R12:T12"/>
    <mergeCell ref="U12:W12"/>
    <mergeCell ref="C1:E1"/>
    <mergeCell ref="F1:H1"/>
    <mergeCell ref="I1:K1"/>
    <mergeCell ref="L1:N1"/>
    <mergeCell ref="O1:Q1"/>
    <mergeCell ref="X1:Z1"/>
    <mergeCell ref="X12:Z12"/>
    <mergeCell ref="AA12:AC12"/>
    <mergeCell ref="C17:E17"/>
    <mergeCell ref="F17:H17"/>
    <mergeCell ref="I17:K17"/>
  </mergeCell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80492-1C5E-4037-A73C-524D69290474}">
  <sheetPr>
    <tabColor rgb="FF92D050"/>
  </sheetPr>
  <dimension ref="A1:S11"/>
  <sheetViews>
    <sheetView workbookViewId="0">
      <pane xSplit="3" ySplit="1" topLeftCell="D2" activePane="bottomRight" state="frozen"/>
      <selection pane="topRight" activeCell="D1" sqref="D1"/>
      <selection pane="bottomLeft" activeCell="A2" sqref="A2"/>
      <selection pane="bottomRight" activeCell="Q9" sqref="Q9"/>
    </sheetView>
  </sheetViews>
  <sheetFormatPr baseColWidth="10" defaultColWidth="9.109375" defaultRowHeight="14.4"/>
  <cols>
    <col min="1" max="1" width="12.33203125" style="8" bestFit="1" customWidth="1"/>
    <col min="2" max="2" width="31.77734375" customWidth="1"/>
    <col min="3" max="3" width="34.88671875" bestFit="1" customWidth="1"/>
    <col min="4" max="4" width="10.44140625" bestFit="1" customWidth="1"/>
    <col min="5" max="6" width="19.109375" bestFit="1" customWidth="1"/>
    <col min="7" max="7" width="8.6640625" style="8" customWidth="1"/>
    <col min="8" max="8" width="7.5546875" bestFit="1" customWidth="1"/>
    <col min="9" max="9" width="7.6640625" bestFit="1" customWidth="1"/>
    <col min="10" max="10" width="11" bestFit="1" customWidth="1"/>
    <col min="11" max="11" width="11.6640625" bestFit="1" customWidth="1"/>
    <col min="12" max="12" width="15.109375" customWidth="1"/>
    <col min="13" max="13" width="12" bestFit="1" customWidth="1"/>
    <col min="14" max="14" width="13.109375" customWidth="1"/>
    <col min="15" max="16" width="11.77734375" customWidth="1"/>
    <col min="17" max="17" width="11.88671875" customWidth="1"/>
  </cols>
  <sheetData>
    <row r="1" spans="1:19" ht="51" thickBot="1">
      <c r="A1" s="20" t="s">
        <v>27</v>
      </c>
      <c r="B1" s="21" t="s">
        <v>19</v>
      </c>
      <c r="C1" s="21" t="s">
        <v>20</v>
      </c>
      <c r="D1" s="21" t="s">
        <v>28</v>
      </c>
      <c r="E1" s="21" t="s">
        <v>29</v>
      </c>
      <c r="F1" s="21" t="s">
        <v>30</v>
      </c>
      <c r="G1" s="22" t="str">
        <f>Etiquettes!$A$7</f>
        <v>Unité</v>
      </c>
      <c r="H1" s="22" t="str">
        <f>Etiquettes!$A$4</f>
        <v>Filière</v>
      </c>
      <c r="I1" s="22" t="str">
        <f>Etiquettes!$A$6</f>
        <v>Année</v>
      </c>
      <c r="J1" s="22" t="str">
        <f>Etiquettes!$A$5</f>
        <v>Territoire</v>
      </c>
      <c r="K1" s="22" t="str">
        <f>Etiquettes!$A$12</f>
        <v>Traduction</v>
      </c>
      <c r="L1" s="22" t="str">
        <f>Etiquettes!$A$10</f>
        <v>Hypothèse</v>
      </c>
      <c r="M1" s="22" t="str">
        <f>Etiquettes!$A$9</f>
        <v>Source</v>
      </c>
      <c r="N1" s="22" t="str">
        <f>Etiquettes!$A$13</f>
        <v>Onglet source fichier Excel</v>
      </c>
      <c r="O1" s="22" t="str">
        <f>Etiquettes!$A$11</f>
        <v>Type de donnée collectée</v>
      </c>
      <c r="P1" s="22" t="str">
        <f>Etiquettes!$A$8</f>
        <v>Information collectée</v>
      </c>
      <c r="Q1" s="22" t="str">
        <f>Etiquettes!$A$15</f>
        <v>Fiabilité des données</v>
      </c>
      <c r="R1" s="21" t="s">
        <v>3</v>
      </c>
      <c r="S1" s="23" t="s">
        <v>5</v>
      </c>
    </row>
    <row r="2" spans="1:19">
      <c r="A2" s="8">
        <f>'Contraintes '!A12+1</f>
        <v>14</v>
      </c>
      <c r="B2" t="str">
        <f>Produits!$B$5</f>
        <v>Viande, fraîche</v>
      </c>
      <c r="C2" t="str">
        <f>Secteurs!$B$8</f>
        <v>Débouchés</v>
      </c>
      <c r="D2" s="26">
        <f>'Débouchés - IFCE'!C3</f>
        <v>0.5</v>
      </c>
      <c r="G2" s="24" t="str">
        <f>Etiquettes!$C$7</f>
        <v>kt</v>
      </c>
      <c r="H2" s="88" t="str">
        <f>Etiquettes!$C$4</f>
        <v>Viande chevaline</v>
      </c>
      <c r="I2" s="87" t="str">
        <f>Etiquettes!$C$6</f>
        <v>2015:2019:2023</v>
      </c>
      <c r="J2" t="str">
        <f>Etiquettes!$C$5</f>
        <v>France</v>
      </c>
      <c r="S2" s="133" t="s">
        <v>382</v>
      </c>
    </row>
    <row r="3" spans="1:19">
      <c r="A3" s="8">
        <f>'Contraintes '!A13+1</f>
        <v>14</v>
      </c>
      <c r="B3" t="str">
        <f>Produits!$B$5</f>
        <v>Viande, fraîche</v>
      </c>
      <c r="C3" t="str">
        <f>Secteurs!$B$14</f>
        <v>Boucherie</v>
      </c>
      <c r="D3">
        <v>-1</v>
      </c>
      <c r="G3" s="24" t="str">
        <f>Etiquettes!$C$7</f>
        <v>kt</v>
      </c>
      <c r="H3" s="88" t="str">
        <f>Etiquettes!$C$4</f>
        <v>Viande chevaline</v>
      </c>
      <c r="I3" s="87" t="str">
        <f>Etiquettes!$C$6</f>
        <v>2015:2019:2023</v>
      </c>
      <c r="J3" t="str">
        <f>Etiquettes!$C$5</f>
        <v>France</v>
      </c>
      <c r="K3" t="s">
        <v>460</v>
      </c>
      <c r="L3" t="s">
        <v>488</v>
      </c>
      <c r="M3" t="s">
        <v>452</v>
      </c>
      <c r="N3" t="s">
        <v>501</v>
      </c>
      <c r="O3" s="35" t="str">
        <f>Etiquettes!$J$11</f>
        <v>Répartition</v>
      </c>
      <c r="P3" t="str">
        <f t="shared" ref="P3" si="0">_xlfn.CONCAT(K3," = ",MROUND(D2*100,0.01)," % (",M3,")")</f>
        <v>Part de viande fraîche consommée en boucherie = 50 % (Kantar)</v>
      </c>
      <c r="Q3" s="24" t="str">
        <f>Etiquettes!$J$15</f>
        <v>Moyenne</v>
      </c>
      <c r="S3" s="134"/>
    </row>
    <row r="4" spans="1:19">
      <c r="A4" s="8">
        <f t="shared" ref="A4:A11" si="1">A2+1</f>
        <v>15</v>
      </c>
      <c r="B4" t="str">
        <f>Produits!$B$5</f>
        <v>Viande, fraîche</v>
      </c>
      <c r="C4" t="str">
        <f>Secteurs!$B$8</f>
        <v>Débouchés</v>
      </c>
      <c r="D4" s="26">
        <f>'Débouchés - IFCE'!C4</f>
        <v>0.5</v>
      </c>
      <c r="G4" s="24" t="str">
        <f>Etiquettes!$C$7</f>
        <v>kt</v>
      </c>
      <c r="H4" s="88" t="str">
        <f>Etiquettes!$C$4</f>
        <v>Viande chevaline</v>
      </c>
      <c r="I4" s="87" t="str">
        <f>Etiquettes!$C$6</f>
        <v>2015:2019:2023</v>
      </c>
      <c r="J4" t="str">
        <f>Etiquettes!$C$5</f>
        <v>France</v>
      </c>
      <c r="S4" s="134"/>
    </row>
    <row r="5" spans="1:19">
      <c r="A5" s="8">
        <f t="shared" si="1"/>
        <v>15</v>
      </c>
      <c r="B5" t="str">
        <f>Produits!$B$5</f>
        <v>Viande, fraîche</v>
      </c>
      <c r="C5" t="str">
        <f>Secteurs!$B$16</f>
        <v>GMS</v>
      </c>
      <c r="D5">
        <v>-1</v>
      </c>
      <c r="G5" s="24" t="str">
        <f>Etiquettes!$C$7</f>
        <v>kt</v>
      </c>
      <c r="H5" s="88" t="str">
        <f>Etiquettes!$C$4</f>
        <v>Viande chevaline</v>
      </c>
      <c r="I5" s="87" t="str">
        <f>Etiquettes!$C$6</f>
        <v>2015:2019:2023</v>
      </c>
      <c r="J5" t="str">
        <f>Etiquettes!$C$5</f>
        <v>France</v>
      </c>
      <c r="K5" t="s">
        <v>461</v>
      </c>
      <c r="L5" t="s">
        <v>488</v>
      </c>
      <c r="M5" t="s">
        <v>452</v>
      </c>
      <c r="N5" t="s">
        <v>501</v>
      </c>
      <c r="O5" s="35" t="str">
        <f>Etiquettes!$J$11</f>
        <v>Répartition</v>
      </c>
      <c r="P5" t="str">
        <f t="shared" ref="P5" si="2">_xlfn.CONCAT(K5," = ",MROUND(D4*100,0.01)," % (",M5,")")</f>
        <v>Part de viande fraîche consommée en GMS = 50 % (Kantar)</v>
      </c>
      <c r="Q5" s="24" t="str">
        <f>Etiquettes!$J$15</f>
        <v>Moyenne</v>
      </c>
      <c r="S5" s="134"/>
    </row>
    <row r="6" spans="1:19">
      <c r="A6" s="8">
        <f t="shared" si="1"/>
        <v>16</v>
      </c>
      <c r="B6" t="str">
        <f>Produits!$B$6</f>
        <v>Viande, congelée</v>
      </c>
      <c r="C6" t="str">
        <f>Secteurs!$B$8</f>
        <v>Débouchés</v>
      </c>
      <c r="D6" s="26">
        <f>'Débouchés - IFCE'!C8</f>
        <v>1</v>
      </c>
      <c r="G6" s="24" t="str">
        <f>Etiquettes!$C$7</f>
        <v>kt</v>
      </c>
      <c r="H6" s="88" t="str">
        <f>Etiquettes!$C$4</f>
        <v>Viande chevaline</v>
      </c>
      <c r="I6" s="87" t="str">
        <f>Etiquettes!$C$6</f>
        <v>2015:2019:2023</v>
      </c>
      <c r="J6" t="str">
        <f>Etiquettes!$C$5</f>
        <v>France</v>
      </c>
      <c r="S6" s="134"/>
    </row>
    <row r="7" spans="1:19">
      <c r="A7" s="8">
        <f t="shared" si="1"/>
        <v>16</v>
      </c>
      <c r="B7" t="str">
        <f>Produits!$B$6</f>
        <v>Viande, congelée</v>
      </c>
      <c r="C7" t="str">
        <f>Secteurs!$B$18</f>
        <v>Autres IAA</v>
      </c>
      <c r="D7">
        <v>-1</v>
      </c>
      <c r="G7" s="24" t="str">
        <f>Etiquettes!$C$7</f>
        <v>kt</v>
      </c>
      <c r="H7" s="88" t="str">
        <f>Etiquettes!$C$4</f>
        <v>Viande chevaline</v>
      </c>
      <c r="I7" s="87" t="str">
        <f>Etiquettes!$C$6</f>
        <v>2015:2019:2023</v>
      </c>
      <c r="J7" t="str">
        <f>Etiquettes!$C$5</f>
        <v>France</v>
      </c>
      <c r="K7" t="s">
        <v>459</v>
      </c>
      <c r="M7" t="s">
        <v>453</v>
      </c>
      <c r="N7" t="s">
        <v>501</v>
      </c>
      <c r="O7" s="35" t="str">
        <f>Etiquettes!$J$11</f>
        <v>Répartition</v>
      </c>
      <c r="P7" t="str">
        <f t="shared" ref="P7" si="3">_xlfn.CONCAT(K7," = ",MROUND(D6*100,0.01)," % (",M7,")")</f>
        <v>Part de viande congelée consommée par les autres IAA = 100 % (A dire d'expert)</v>
      </c>
      <c r="Q7" s="24" t="str">
        <f>Etiquettes!$K$15</f>
        <v>Faible</v>
      </c>
      <c r="S7" s="134"/>
    </row>
    <row r="8" spans="1:19">
      <c r="A8" s="8">
        <f t="shared" si="1"/>
        <v>17</v>
      </c>
      <c r="B8" t="str">
        <f>Produits!$B$7</f>
        <v>Abats</v>
      </c>
      <c r="C8" t="str">
        <f>Secteurs!$B$8</f>
        <v>Débouchés</v>
      </c>
      <c r="D8" s="26">
        <f>'Débouchés - IFCE'!C10</f>
        <v>1</v>
      </c>
      <c r="G8" s="24" t="str">
        <f>Etiquettes!$C$7</f>
        <v>kt</v>
      </c>
      <c r="H8" s="88" t="str">
        <f>Etiquettes!$C$4</f>
        <v>Viande chevaline</v>
      </c>
      <c r="I8" s="87" t="str">
        <f>Etiquettes!$C$6</f>
        <v>2015:2019:2023</v>
      </c>
      <c r="J8" t="str">
        <f>Etiquettes!$C$5</f>
        <v>France</v>
      </c>
      <c r="S8" s="134" t="s">
        <v>463</v>
      </c>
    </row>
    <row r="9" spans="1:19">
      <c r="A9" s="8">
        <f t="shared" si="1"/>
        <v>17</v>
      </c>
      <c r="B9" t="str">
        <f>Produits!$B$7</f>
        <v>Abats</v>
      </c>
      <c r="C9" t="str">
        <f>Secteurs!$B$23</f>
        <v>Petfood</v>
      </c>
      <c r="D9">
        <v>-1</v>
      </c>
      <c r="G9" s="24" t="str">
        <f>Etiquettes!$C$7</f>
        <v>kt</v>
      </c>
      <c r="H9" s="88" t="str">
        <f>Etiquettes!$C$4</f>
        <v>Viande chevaline</v>
      </c>
      <c r="I9" s="87" t="str">
        <f>Etiquettes!$C$6</f>
        <v>2015:2019:2023</v>
      </c>
      <c r="J9" t="str">
        <f>Etiquettes!$C$5</f>
        <v>France</v>
      </c>
      <c r="K9" t="s">
        <v>462</v>
      </c>
      <c r="M9" t="s">
        <v>453</v>
      </c>
      <c r="N9" t="s">
        <v>501</v>
      </c>
      <c r="O9" s="35" t="str">
        <f>Etiquettes!$J$11</f>
        <v>Répartition</v>
      </c>
      <c r="P9" t="str">
        <f t="shared" ref="P9" si="4">_xlfn.CONCAT(K9," = ",MROUND(D8*100,0.01)," % (",M9,")")</f>
        <v>Part des abats consommée en petfood = 100 % (A dire d'expert)</v>
      </c>
      <c r="Q9" s="24" t="str">
        <f>Etiquettes!$K$15</f>
        <v>Faible</v>
      </c>
      <c r="S9" s="134"/>
    </row>
    <row r="10" spans="1:19">
      <c r="A10" s="8">
        <f t="shared" si="1"/>
        <v>18</v>
      </c>
      <c r="B10" t="str">
        <f>Secteurs!$B$4</f>
        <v>Abattage / découpe</v>
      </c>
      <c r="C10" t="str">
        <f>Produits!$B$4</f>
        <v>Viande</v>
      </c>
      <c r="D10" s="26">
        <f>'Débouchés - IFCE'!C7</f>
        <v>0.1</v>
      </c>
      <c r="G10" s="24" t="str">
        <f>Etiquettes!$C$7</f>
        <v>kt</v>
      </c>
      <c r="H10" s="88" t="str">
        <f>Etiquettes!$C$4</f>
        <v>Viande chevaline</v>
      </c>
      <c r="I10" s="87" t="str">
        <f>Etiquettes!$C$6</f>
        <v>2015:2019:2023</v>
      </c>
      <c r="J10" t="str">
        <f>Etiquettes!$C$5</f>
        <v>France</v>
      </c>
      <c r="S10" s="134" t="s">
        <v>464</v>
      </c>
    </row>
    <row r="11" spans="1:19">
      <c r="A11" s="8">
        <f t="shared" si="1"/>
        <v>18</v>
      </c>
      <c r="B11" t="str">
        <f>Secteurs!$B$4</f>
        <v>Abattage / découpe</v>
      </c>
      <c r="C11" t="str">
        <f>Produits!$B$6</f>
        <v>Viande, congelée</v>
      </c>
      <c r="D11">
        <v>-1</v>
      </c>
      <c r="G11" s="24" t="str">
        <f>Etiquettes!$C$7</f>
        <v>kt</v>
      </c>
      <c r="H11" s="88" t="str">
        <f>Etiquettes!$C$4</f>
        <v>Viande chevaline</v>
      </c>
      <c r="I11" s="87" t="str">
        <f>Etiquettes!$C$6</f>
        <v>2015:2019:2023</v>
      </c>
      <c r="J11" t="str">
        <f>Etiquettes!$C$5</f>
        <v>France</v>
      </c>
      <c r="K11" t="s">
        <v>464</v>
      </c>
      <c r="M11" t="s">
        <v>453</v>
      </c>
      <c r="N11" t="s">
        <v>501</v>
      </c>
      <c r="O11" s="35" t="str">
        <f>Etiquettes!$J$11</f>
        <v>Répartition</v>
      </c>
      <c r="P11" t="str">
        <f t="shared" ref="P11" si="5">_xlfn.CONCAT(K11," = ",MROUND(D10*100,0.01)," % (",M11,")")</f>
        <v>Part de la production de viande congelée = 10 % (A dire d'expert)</v>
      </c>
      <c r="Q11" s="24" t="str">
        <f>Etiquettes!$K$15</f>
        <v>Faible</v>
      </c>
      <c r="S11" s="134"/>
    </row>
  </sheetData>
  <mergeCells count="3">
    <mergeCell ref="S2:S7"/>
    <mergeCell ref="S8:S9"/>
    <mergeCell ref="S10:S11"/>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DE5EC-B216-42EC-A4E1-2E3628AE8441}">
  <sheetPr>
    <tabColor theme="1"/>
  </sheetPr>
  <dimension ref="A1:O6"/>
  <sheetViews>
    <sheetView workbookViewId="0">
      <selection activeCell="F13" sqref="F13"/>
    </sheetView>
  </sheetViews>
  <sheetFormatPr baseColWidth="10" defaultRowHeight="14.4"/>
  <cols>
    <col min="1" max="1" width="31.21875" bestFit="1" customWidth="1"/>
    <col min="2" max="2" width="20" bestFit="1" customWidth="1"/>
    <col min="4" max="4" width="15.5546875" customWidth="1"/>
  </cols>
  <sheetData>
    <row r="1" spans="1:15" ht="15" thickBot="1">
      <c r="A1" s="89" t="s">
        <v>19</v>
      </c>
      <c r="B1" s="90" t="s">
        <v>20</v>
      </c>
      <c r="C1" s="90" t="s">
        <v>21</v>
      </c>
      <c r="D1" s="90" t="s">
        <v>23</v>
      </c>
      <c r="E1" t="str" cm="1">
        <f t="array" ref="E1:O6">_xlfn._xlws.FILTER('Contraintes  '!G1:Q196,ISTEXT('Contraintes  '!P1:P196))</f>
        <v>Unité</v>
      </c>
      <c r="F1" t="str">
        <v>Filière</v>
      </c>
      <c r="G1" t="str">
        <v>Année</v>
      </c>
      <c r="H1" t="str">
        <v>Territoire</v>
      </c>
      <c r="I1" t="str">
        <v>Traduction</v>
      </c>
      <c r="J1" t="str">
        <v>Hypothèse</v>
      </c>
      <c r="K1" t="str">
        <v>Source</v>
      </c>
      <c r="L1" t="str">
        <v>Onglet source fichier Excel</v>
      </c>
      <c r="M1" t="str">
        <v>Type de donnée collectée</v>
      </c>
      <c r="N1" t="str">
        <v>Information collectée</v>
      </c>
      <c r="O1" t="str">
        <v>Fiabilité des données</v>
      </c>
    </row>
    <row r="2" spans="1:15">
      <c r="A2" t="str" cm="1">
        <f t="array" ref="A2:B6">_xlfn._xlws.FILTER('Contraintes  '!B2:C196,ISTEXT('Contraintes  '!P2:P196))</f>
        <v>Viande, fraîche</v>
      </c>
      <c r="B2" t="str">
        <v>Boucherie</v>
      </c>
      <c r="E2" t="str">
        <v>kt</v>
      </c>
      <c r="F2" t="str">
        <v>Viande chevaline</v>
      </c>
      <c r="G2" t="str">
        <v>2015:2019:2023</v>
      </c>
      <c r="H2" t="str">
        <v>France</v>
      </c>
      <c r="I2" t="str">
        <v>Part de viande fraîche consommée en boucherie</v>
      </c>
      <c r="J2" t="str">
        <v>Cette répartition correspond plus excatement à la répartition des achats, l'hypothèse est que celle à la distribution est similaire.</v>
      </c>
      <c r="K2" t="str">
        <v>Kantar</v>
      </c>
      <c r="L2" t="str">
        <v>Débouchés - IFCE</v>
      </c>
      <c r="M2" t="str">
        <v>Répartition</v>
      </c>
      <c r="N2" t="str">
        <v>Part de viande fraîche consommée en boucherie = 50 % (Kantar)</v>
      </c>
      <c r="O2" t="str">
        <v>Moyenne</v>
      </c>
    </row>
    <row r="3" spans="1:15">
      <c r="A3" t="str">
        <v>Viande, fraîche</v>
      </c>
      <c r="B3" t="str">
        <v>GMS</v>
      </c>
      <c r="E3" t="str">
        <v>kt</v>
      </c>
      <c r="F3" t="str">
        <v>Viande chevaline</v>
      </c>
      <c r="G3" t="str">
        <v>2015:2019:2023</v>
      </c>
      <c r="H3" t="str">
        <v>France</v>
      </c>
      <c r="I3" t="str">
        <v>Part de viande fraîche consommée en GMS</v>
      </c>
      <c r="J3" t="str">
        <v>Cette répartition correspond plus excatement à la répartition des achats, l'hypothèse est que celle à la distribution est similaire.</v>
      </c>
      <c r="K3" t="str">
        <v>Kantar</v>
      </c>
      <c r="L3" t="str">
        <v>Débouchés - IFCE</v>
      </c>
      <c r="M3" t="str">
        <v>Répartition</v>
      </c>
      <c r="N3" t="str">
        <v>Part de viande fraîche consommée en GMS = 50 % (Kantar)</v>
      </c>
      <c r="O3" t="str">
        <v>Moyenne</v>
      </c>
    </row>
    <row r="4" spans="1:15">
      <c r="A4" t="str">
        <v>Viande, congelée</v>
      </c>
      <c r="B4" t="str">
        <v>Autres IAA</v>
      </c>
      <c r="E4" t="str">
        <v>kt</v>
      </c>
      <c r="F4" t="str">
        <v>Viande chevaline</v>
      </c>
      <c r="G4" t="str">
        <v>2015:2019:2023</v>
      </c>
      <c r="H4" t="str">
        <v>France</v>
      </c>
      <c r="I4" t="str">
        <v>Part de viande congelée consommée par les autres IAA</v>
      </c>
      <c r="J4">
        <v>0</v>
      </c>
      <c r="K4" t="str">
        <v>A dire d'expert</v>
      </c>
      <c r="L4" t="str">
        <v>Débouchés - IFCE</v>
      </c>
      <c r="M4" t="str">
        <v>Répartition</v>
      </c>
      <c r="N4" t="str">
        <v>Part de viande congelée consommée par les autres IAA = 100 % (A dire d'expert)</v>
      </c>
      <c r="O4" t="str">
        <v>Faible</v>
      </c>
    </row>
    <row r="5" spans="1:15">
      <c r="A5" t="str">
        <v>Abats</v>
      </c>
      <c r="B5" t="str">
        <v>Petfood</v>
      </c>
      <c r="E5" t="str">
        <v>kt</v>
      </c>
      <c r="F5" t="str">
        <v>Viande chevaline</v>
      </c>
      <c r="G5" t="str">
        <v>2015:2019:2023</v>
      </c>
      <c r="H5" t="str">
        <v>France</v>
      </c>
      <c r="I5" t="str">
        <v>Part des abats consommée en petfood</v>
      </c>
      <c r="J5">
        <v>0</v>
      </c>
      <c r="K5" t="str">
        <v>A dire d'expert</v>
      </c>
      <c r="L5" t="str">
        <v>Débouchés - IFCE</v>
      </c>
      <c r="M5" t="str">
        <v>Répartition</v>
      </c>
      <c r="N5" t="str">
        <v>Part des abats consommée en petfood = 100 % (A dire d'expert)</v>
      </c>
      <c r="O5" t="str">
        <v>Faible</v>
      </c>
    </row>
    <row r="6" spans="1:15">
      <c r="A6" t="str">
        <v>Abattage / découpe</v>
      </c>
      <c r="B6" t="str">
        <v>Viande, congelée</v>
      </c>
      <c r="E6" t="str">
        <v>kt</v>
      </c>
      <c r="F6" t="str">
        <v>Viande chevaline</v>
      </c>
      <c r="G6" t="str">
        <v>2015:2019:2023</v>
      </c>
      <c r="H6" t="str">
        <v>France</v>
      </c>
      <c r="I6" t="str">
        <v>Part de la production de viande congelée</v>
      </c>
      <c r="J6">
        <v>0</v>
      </c>
      <c r="K6" t="str">
        <v>A dire d'expert</v>
      </c>
      <c r="L6" t="str">
        <v>Débouchés - IFCE</v>
      </c>
      <c r="M6" t="str">
        <v>Répartition</v>
      </c>
      <c r="N6" t="str">
        <v>Part de la production de viande congelée = 10 % (A dire d'expert)</v>
      </c>
      <c r="O6" t="str">
        <v>Faible</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E0D3-B527-401D-8547-5EB2FB709CE4}">
  <sheetPr>
    <tabColor rgb="FFFFC000"/>
  </sheetPr>
  <dimension ref="B1:D10"/>
  <sheetViews>
    <sheetView workbookViewId="0">
      <selection activeCell="C3" sqref="C3"/>
    </sheetView>
  </sheetViews>
  <sheetFormatPr baseColWidth="10" defaultRowHeight="14.4"/>
  <cols>
    <col min="2" max="2" width="13.77734375" bestFit="1" customWidth="1"/>
    <col min="3" max="3" width="13.33203125" bestFit="1" customWidth="1"/>
    <col min="4" max="4" width="23.6640625" bestFit="1" customWidth="1"/>
  </cols>
  <sheetData>
    <row r="1" spans="2:4">
      <c r="B1" s="148" t="s">
        <v>458</v>
      </c>
      <c r="C1" s="148"/>
      <c r="D1" s="148"/>
    </row>
    <row r="2" spans="2:4">
      <c r="C2" t="s">
        <v>468</v>
      </c>
      <c r="D2" t="s">
        <v>24</v>
      </c>
    </row>
    <row r="3" spans="2:4">
      <c r="B3" t="s">
        <v>408</v>
      </c>
      <c r="C3" s="117">
        <v>0.5</v>
      </c>
      <c r="D3" t="s">
        <v>452</v>
      </c>
    </row>
    <row r="4" spans="2:4">
      <c r="B4" t="s">
        <v>13</v>
      </c>
      <c r="C4" s="117">
        <v>0.5</v>
      </c>
      <c r="D4" t="s">
        <v>452</v>
      </c>
    </row>
    <row r="6" spans="2:4">
      <c r="B6" s="81" t="s">
        <v>454</v>
      </c>
    </row>
    <row r="7" spans="2:4">
      <c r="B7" t="s">
        <v>455</v>
      </c>
      <c r="C7" s="26">
        <v>0.1</v>
      </c>
      <c r="D7" t="s">
        <v>453</v>
      </c>
    </row>
    <row r="8" spans="2:4">
      <c r="B8" t="s">
        <v>72</v>
      </c>
      <c r="C8" s="119">
        <v>1</v>
      </c>
      <c r="D8" t="s">
        <v>453</v>
      </c>
    </row>
    <row r="9" spans="2:4">
      <c r="B9" s="81" t="s">
        <v>456</v>
      </c>
    </row>
    <row r="10" spans="2:4">
      <c r="B10" t="s">
        <v>457</v>
      </c>
      <c r="C10" s="119">
        <v>1</v>
      </c>
      <c r="D10" t="s">
        <v>453</v>
      </c>
    </row>
  </sheetData>
  <mergeCells count="1">
    <mergeCell ref="B1:D1"/>
  </mergeCells>
  <phoneticPr fontId="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13A24-0638-46DB-B625-C0D6D52CA014}">
  <sheetPr>
    <tabColor theme="6" tint="-0.499984740745262"/>
  </sheetPr>
  <dimension ref="A1:R13"/>
  <sheetViews>
    <sheetView workbookViewId="0">
      <pane xSplit="2" ySplit="1" topLeftCell="C2" activePane="bottomRight" state="frozen"/>
      <selection pane="topRight" activeCell="C1" sqref="C1"/>
      <selection pane="bottomLeft" activeCell="A2" sqref="A2"/>
      <selection pane="bottomRight" activeCell="O18" sqref="O18"/>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8" bestFit="1" customWidth="1"/>
    <col min="5" max="5" width="9" style="25" bestFit="1" customWidth="1"/>
    <col min="6" max="6" width="14.44140625" style="25"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1.88671875" customWidth="1"/>
    <col min="15" max="15" width="11.109375" customWidth="1"/>
    <col min="16" max="16" width="16.21875" customWidth="1"/>
    <col min="17" max="17" width="13" customWidth="1"/>
    <col min="18" max="18" width="20.6640625" bestFit="1" customWidth="1"/>
  </cols>
  <sheetData>
    <row r="1" spans="1:18" ht="38.4" thickBot="1">
      <c r="A1" s="20" t="s">
        <v>19</v>
      </c>
      <c r="B1" s="21" t="s">
        <v>20</v>
      </c>
      <c r="C1" s="21" t="s">
        <v>21</v>
      </c>
      <c r="D1" s="21" t="s">
        <v>23</v>
      </c>
      <c r="E1" s="22" t="str">
        <f>Etiquettes!$A$7</f>
        <v>Unité</v>
      </c>
      <c r="F1" s="22" t="str">
        <f>Etiquettes!$A$4</f>
        <v>Filière</v>
      </c>
      <c r="G1" s="22" t="str">
        <f>Etiquettes!$A$6</f>
        <v>Année</v>
      </c>
      <c r="H1" s="22" t="str">
        <f>Etiquettes!$A$5</f>
        <v>Territoire</v>
      </c>
      <c r="I1" s="22" t="str">
        <f>Etiquettes!$A$12</f>
        <v>Traduction</v>
      </c>
      <c r="J1" s="22" t="str">
        <f>Etiquettes!$A$10</f>
        <v>Hypothèse</v>
      </c>
      <c r="K1" s="22" t="str">
        <f>Etiquettes!$A$9</f>
        <v>Source</v>
      </c>
      <c r="L1" s="22" t="str">
        <f>Etiquettes!$A$13</f>
        <v>Onglet source fichier Excel</v>
      </c>
      <c r="M1" s="22" t="str">
        <f>Etiquettes!$A$11</f>
        <v>Type de donnée collectée</v>
      </c>
      <c r="N1" s="22" t="str">
        <f>Etiquettes!$A$8</f>
        <v>Information collectée</v>
      </c>
      <c r="O1" s="22" t="str">
        <f>Etiquettes!$A$15</f>
        <v>Fiabilité des données</v>
      </c>
      <c r="P1" s="22" t="str">
        <f>Etiquettes!$A$14</f>
        <v>Incohérence données collectées</v>
      </c>
      <c r="Q1" s="21" t="s">
        <v>3</v>
      </c>
      <c r="R1" s="23" t="s">
        <v>5</v>
      </c>
    </row>
    <row r="2" spans="1:18">
      <c r="A2" t="str">
        <f>Produits!$B$6</f>
        <v>Viande, congelée</v>
      </c>
      <c r="B2" t="str">
        <f>Secteurs!$B$18</f>
        <v>Autres IAA</v>
      </c>
      <c r="C2" s="121">
        <v>0.01</v>
      </c>
      <c r="E2" s="24" t="str">
        <f>Etiquettes!$C$7</f>
        <v>kt</v>
      </c>
      <c r="F2" s="25" t="str">
        <f>Etiquettes!$C$4</f>
        <v>Viande chevaline</v>
      </c>
      <c r="G2" s="87" t="str">
        <f>Etiquettes!$C$6</f>
        <v>2015:2019:2023</v>
      </c>
      <c r="H2" t="str">
        <f>Etiquettes!$C$5</f>
        <v>France</v>
      </c>
      <c r="I2" t="s">
        <v>478</v>
      </c>
      <c r="J2" t="s">
        <v>479</v>
      </c>
      <c r="K2" t="s">
        <v>480</v>
      </c>
      <c r="O2" t="str">
        <f>Etiquettes!$L$15</f>
        <v>Très faible</v>
      </c>
      <c r="Q2" t="s">
        <v>491</v>
      </c>
    </row>
    <row r="3" spans="1:18">
      <c r="A3" t="str">
        <f>Secteurs!$B$2</f>
        <v>Cheptel</v>
      </c>
      <c r="B3" t="str">
        <f>Produits!$B$2</f>
        <v>Equins</v>
      </c>
      <c r="C3" s="26"/>
      <c r="O3" t="str">
        <f>Etiquettes!$H$15</f>
        <v>Très élevée</v>
      </c>
    </row>
    <row r="4" spans="1:18">
      <c r="A4" t="str">
        <f>Secteurs!$B$4</f>
        <v>Abattage / découpe</v>
      </c>
      <c r="B4" t="str">
        <f>Produits!$B$5</f>
        <v>Viande, fraîche</v>
      </c>
      <c r="O4" t="str">
        <f>Etiquettes!$J$15</f>
        <v>Moyenne</v>
      </c>
    </row>
    <row r="5" spans="1:18">
      <c r="A5" t="str">
        <f>Produits!$B$8</f>
        <v>Peaux</v>
      </c>
      <c r="B5" t="str">
        <f>Secteurs!$B$26</f>
        <v>Biomatériaux</v>
      </c>
      <c r="O5" t="str">
        <f>Etiquettes!$K$15</f>
        <v>Faible</v>
      </c>
    </row>
    <row r="6" spans="1:18">
      <c r="A6" t="str">
        <f>Produits!$B$10</f>
        <v>C1</v>
      </c>
      <c r="B6" t="str">
        <f>Secteurs!$B$6</f>
        <v>Traitement thermique C1/C2</v>
      </c>
      <c r="O6" t="str">
        <f>Etiquettes!$K$15</f>
        <v>Faible</v>
      </c>
    </row>
    <row r="7" spans="1:18">
      <c r="A7" t="str">
        <f>Produits!$B$12</f>
        <v>C3 et alimentaire</v>
      </c>
      <c r="B7" t="str">
        <f>Secteurs!$B$7</f>
        <v>Traitement thermique C3 et alimentaire</v>
      </c>
      <c r="O7" t="str">
        <f>Etiquettes!$K$15</f>
        <v>Faible</v>
      </c>
    </row>
    <row r="8" spans="1:18">
      <c r="A8" t="str">
        <f>Secteurs!$B$6</f>
        <v>Traitement thermique C1/C2</v>
      </c>
      <c r="B8" t="str">
        <f>Produits!$B$16</f>
        <v>Farines animales</v>
      </c>
      <c r="O8" t="str">
        <f>Etiquettes!$L$15</f>
        <v>Très faible</v>
      </c>
    </row>
    <row r="9" spans="1:18">
      <c r="A9" t="str">
        <f>Secteurs!$B$6</f>
        <v>Traitement thermique C1/C2</v>
      </c>
      <c r="B9" t="str">
        <f>Produits!$B$17</f>
        <v>Graisses animales</v>
      </c>
      <c r="O9" t="str">
        <f>Etiquettes!$L$15</f>
        <v>Très faible</v>
      </c>
    </row>
    <row r="10" spans="1:18">
      <c r="A10" t="str">
        <f>Secteurs!$B$6</f>
        <v>Traitement thermique C1/C2</v>
      </c>
      <c r="B10" t="str">
        <f>Produits!$B$23</f>
        <v>Eau - traitement thermique</v>
      </c>
      <c r="O10" t="str">
        <f>Etiquettes!$L$15</f>
        <v>Très faible</v>
      </c>
    </row>
    <row r="11" spans="1:18">
      <c r="A11" t="str">
        <f>Secteurs!$B$7</f>
        <v>Traitement thermique C3 et alimentaire</v>
      </c>
      <c r="B11" t="str">
        <f>Produits!$B$19</f>
        <v>Protéines animales transformées</v>
      </c>
      <c r="O11" t="str">
        <f>Etiquettes!$L$15</f>
        <v>Très faible</v>
      </c>
    </row>
    <row r="12" spans="1:18">
      <c r="A12" t="str">
        <f>Secteurs!$B$7</f>
        <v>Traitement thermique C3 et alimentaire</v>
      </c>
      <c r="B12" t="str">
        <f>Produits!$B$20</f>
        <v>Corps gras animaux</v>
      </c>
      <c r="O12" t="str">
        <f>Etiquettes!$L$15</f>
        <v>Très faible</v>
      </c>
    </row>
    <row r="13" spans="1:18">
      <c r="A13" t="str">
        <f>Secteurs!$B$7</f>
        <v>Traitement thermique C3 et alimentaire</v>
      </c>
      <c r="B13" t="str">
        <f>Produits!$B$23</f>
        <v>Eau - traitement thermique</v>
      </c>
      <c r="O13" t="str">
        <f>Etiquettes!$L$15</f>
        <v>Très faible</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93295-B42F-44DD-9054-BF9CF00738C1}">
  <sheetPr>
    <tabColor rgb="FF0070C0"/>
  </sheetPr>
  <dimension ref="A1:C30"/>
  <sheetViews>
    <sheetView workbookViewId="0">
      <pane xSplit="2" ySplit="1" topLeftCell="C2" activePane="bottomRight" state="frozen"/>
      <selection pane="topRight" activeCell="C1" sqref="C1"/>
      <selection pane="bottomLeft" activeCell="A2" sqref="A2"/>
      <selection pane="bottomRight" activeCell="B39" sqref="B39"/>
    </sheetView>
  </sheetViews>
  <sheetFormatPr baseColWidth="10" defaultColWidth="9.109375" defaultRowHeight="14.4"/>
  <cols>
    <col min="1" max="1" width="16.6640625" style="8" customWidth="1"/>
    <col min="2" max="2" width="39.88671875" bestFit="1" customWidth="1"/>
    <col min="3" max="3" width="18.5546875" style="8" customWidth="1"/>
  </cols>
  <sheetData>
    <row r="1" spans="1:3" ht="38.4" thickBot="1">
      <c r="A1" s="1" t="s">
        <v>0</v>
      </c>
      <c r="B1" s="2" t="s">
        <v>8</v>
      </c>
      <c r="C1" s="2" t="s">
        <v>2</v>
      </c>
    </row>
    <row r="2" spans="1:3" s="4" customFormat="1">
      <c r="A2" s="3">
        <v>1</v>
      </c>
      <c r="B2" s="4" t="s">
        <v>377</v>
      </c>
      <c r="C2" s="3">
        <v>0</v>
      </c>
    </row>
    <row r="3" spans="1:3" s="7" customFormat="1">
      <c r="A3" s="5">
        <v>1</v>
      </c>
      <c r="B3" s="6" t="s">
        <v>9</v>
      </c>
      <c r="C3" s="5">
        <v>1</v>
      </c>
    </row>
    <row r="4" spans="1:3" s="7" customFormat="1">
      <c r="A4" s="5">
        <v>2</v>
      </c>
      <c r="B4" s="7" t="s">
        <v>407</v>
      </c>
      <c r="C4" s="5">
        <v>1</v>
      </c>
    </row>
    <row r="5" spans="1:3" s="13" customFormat="1">
      <c r="A5" s="12">
        <v>1</v>
      </c>
      <c r="B5" s="36" t="s">
        <v>57</v>
      </c>
      <c r="C5" s="12">
        <v>1</v>
      </c>
    </row>
    <row r="6" spans="1:3" s="13" customFormat="1">
      <c r="A6" s="12">
        <v>2</v>
      </c>
      <c r="B6" s="36" t="s">
        <v>58</v>
      </c>
      <c r="C6" s="12">
        <v>1</v>
      </c>
    </row>
    <row r="7" spans="1:3" s="13" customFormat="1">
      <c r="A7" s="12">
        <v>2</v>
      </c>
      <c r="B7" s="36" t="s">
        <v>82</v>
      </c>
      <c r="C7" s="12">
        <v>1</v>
      </c>
    </row>
    <row r="8" spans="1:3" s="34" customFormat="1">
      <c r="A8" s="32">
        <v>1</v>
      </c>
      <c r="B8" s="33" t="s">
        <v>10</v>
      </c>
      <c r="C8" s="32">
        <v>0</v>
      </c>
    </row>
    <row r="9" spans="1:3" s="34" customFormat="1">
      <c r="A9" s="32">
        <v>2</v>
      </c>
      <c r="B9" s="33" t="s">
        <v>67</v>
      </c>
      <c r="C9" s="32">
        <v>0</v>
      </c>
    </row>
    <row r="10" spans="1:3" s="34" customFormat="1">
      <c r="A10" s="32">
        <v>3</v>
      </c>
      <c r="B10" s="33" t="s">
        <v>11</v>
      </c>
      <c r="C10" s="32">
        <v>0</v>
      </c>
    </row>
    <row r="11" spans="1:3" s="34" customFormat="1">
      <c r="A11" s="32">
        <v>4</v>
      </c>
      <c r="B11" s="33" t="s">
        <v>12</v>
      </c>
      <c r="C11" s="32">
        <v>0</v>
      </c>
    </row>
    <row r="12" spans="1:3" s="34" customFormat="1">
      <c r="A12" s="32">
        <v>4</v>
      </c>
      <c r="B12" s="33" t="s">
        <v>69</v>
      </c>
      <c r="C12" s="32">
        <v>0</v>
      </c>
    </row>
    <row r="13" spans="1:3" s="34" customFormat="1">
      <c r="A13" s="32">
        <v>5</v>
      </c>
      <c r="B13" s="33" t="s">
        <v>71</v>
      </c>
      <c r="C13" s="32">
        <v>0</v>
      </c>
    </row>
    <row r="14" spans="1:3" s="34" customFormat="1">
      <c r="A14" s="32">
        <v>6</v>
      </c>
      <c r="B14" s="33" t="s">
        <v>408</v>
      </c>
      <c r="C14" s="32">
        <v>0</v>
      </c>
    </row>
    <row r="15" spans="1:3" s="34" customFormat="1">
      <c r="A15" s="32">
        <v>5</v>
      </c>
      <c r="B15" s="33" t="s">
        <v>70</v>
      </c>
      <c r="C15" s="32">
        <v>0</v>
      </c>
    </row>
    <row r="16" spans="1:3" s="34" customFormat="1">
      <c r="A16" s="32">
        <v>6</v>
      </c>
      <c r="B16" s="33" t="s">
        <v>13</v>
      </c>
      <c r="C16" s="32">
        <v>0</v>
      </c>
    </row>
    <row r="17" spans="1:3" s="34" customFormat="1">
      <c r="A17" s="32">
        <v>4</v>
      </c>
      <c r="B17" s="33" t="s">
        <v>14</v>
      </c>
      <c r="C17" s="32">
        <v>0</v>
      </c>
    </row>
    <row r="18" spans="1:3" s="34" customFormat="1">
      <c r="A18" s="32">
        <v>4</v>
      </c>
      <c r="B18" s="33" t="s">
        <v>72</v>
      </c>
      <c r="C18" s="32">
        <v>0</v>
      </c>
    </row>
    <row r="19" spans="1:3" s="34" customFormat="1">
      <c r="A19" s="32">
        <v>5</v>
      </c>
      <c r="B19" s="34" t="s">
        <v>208</v>
      </c>
      <c r="C19" s="32">
        <v>0</v>
      </c>
    </row>
    <row r="20" spans="1:3" s="34" customFormat="1">
      <c r="A20" s="32">
        <v>5</v>
      </c>
      <c r="B20" s="33" t="s">
        <v>15</v>
      </c>
      <c r="C20" s="32">
        <v>0</v>
      </c>
    </row>
    <row r="21" spans="1:3" s="34" customFormat="1">
      <c r="A21" s="32">
        <v>3</v>
      </c>
      <c r="B21" s="33" t="s">
        <v>68</v>
      </c>
      <c r="C21" s="32">
        <v>0</v>
      </c>
    </row>
    <row r="22" spans="1:3" s="34" customFormat="1">
      <c r="A22" s="32">
        <v>4</v>
      </c>
      <c r="B22" s="33" t="s">
        <v>73</v>
      </c>
      <c r="C22" s="32">
        <v>0</v>
      </c>
    </row>
    <row r="23" spans="1:3" s="34" customFormat="1">
      <c r="A23" s="32">
        <v>4</v>
      </c>
      <c r="B23" s="33" t="s">
        <v>74</v>
      </c>
      <c r="C23" s="32">
        <v>0</v>
      </c>
    </row>
    <row r="24" spans="1:3" s="34" customFormat="1">
      <c r="A24" s="32">
        <v>4</v>
      </c>
      <c r="B24" s="33" t="s">
        <v>75</v>
      </c>
      <c r="C24" s="32">
        <v>0</v>
      </c>
    </row>
    <row r="25" spans="1:3" s="34" customFormat="1">
      <c r="A25" s="32">
        <v>2</v>
      </c>
      <c r="B25" s="33" t="s">
        <v>76</v>
      </c>
      <c r="C25" s="32">
        <v>0</v>
      </c>
    </row>
    <row r="26" spans="1:3" s="34" customFormat="1">
      <c r="A26" s="32">
        <v>3</v>
      </c>
      <c r="B26" s="33" t="s">
        <v>78</v>
      </c>
      <c r="C26" s="32">
        <v>0</v>
      </c>
    </row>
    <row r="27" spans="1:3" s="34" customFormat="1">
      <c r="A27" s="32">
        <v>3</v>
      </c>
      <c r="B27" s="33" t="s">
        <v>79</v>
      </c>
      <c r="C27" s="32">
        <v>0</v>
      </c>
    </row>
    <row r="28" spans="1:3" s="34" customFormat="1">
      <c r="A28" s="32">
        <v>3</v>
      </c>
      <c r="B28" s="33" t="s">
        <v>80</v>
      </c>
      <c r="C28" s="32">
        <v>0</v>
      </c>
    </row>
    <row r="29" spans="1:3" s="34" customFormat="1">
      <c r="A29" s="32">
        <v>3</v>
      </c>
      <c r="B29" s="33" t="s">
        <v>81</v>
      </c>
      <c r="C29" s="32">
        <v>0</v>
      </c>
    </row>
    <row r="30" spans="1:3" s="34" customFormat="1">
      <c r="A30" s="32">
        <v>2</v>
      </c>
      <c r="B30" s="34" t="s">
        <v>77</v>
      </c>
      <c r="C30" s="32">
        <v>0</v>
      </c>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1D5C-47D2-4814-B2B9-848F10EF87B8}">
  <sheetPr>
    <tabColor rgb="FF0070C0"/>
  </sheetPr>
  <dimension ref="A1:C6"/>
  <sheetViews>
    <sheetView workbookViewId="0">
      <pane xSplit="2" ySplit="1" topLeftCell="C2" activePane="bottomRight" state="frozen"/>
      <selection pane="topRight" activeCell="C1" sqref="C1"/>
      <selection pane="bottomLeft" activeCell="A2" sqref="A2"/>
      <selection pane="bottomRight" activeCell="D8" sqref="D8"/>
    </sheetView>
  </sheetViews>
  <sheetFormatPr baseColWidth="10" defaultColWidth="9.109375" defaultRowHeight="14.4"/>
  <cols>
    <col min="1" max="1" width="15.6640625" style="8" customWidth="1"/>
    <col min="2" max="2" width="25" bestFit="1" customWidth="1"/>
  </cols>
  <sheetData>
    <row r="1" spans="1:3" ht="38.4" thickBot="1">
      <c r="A1" s="1" t="s">
        <v>0</v>
      </c>
      <c r="B1" s="2" t="s">
        <v>16</v>
      </c>
    </row>
    <row r="2" spans="1:3">
      <c r="A2" s="8">
        <v>1</v>
      </c>
      <c r="B2" t="s">
        <v>409</v>
      </c>
      <c r="C2" s="10"/>
    </row>
    <row r="3" spans="1:3">
      <c r="A3" s="8">
        <v>1</v>
      </c>
      <c r="B3" t="s">
        <v>410</v>
      </c>
      <c r="C3" s="10"/>
    </row>
    <row r="4" spans="1:3">
      <c r="C4" s="10"/>
    </row>
    <row r="5" spans="1:3">
      <c r="C5" s="10"/>
    </row>
    <row r="6" spans="1:3">
      <c r="C6" s="10"/>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5357F-10F2-4F17-8D91-52AA0E6AACFB}">
  <sheetPr>
    <tabColor rgb="FF0070C0"/>
  </sheetPr>
  <dimension ref="A1:V33"/>
  <sheetViews>
    <sheetView topLeftCell="B2" workbookViewId="0">
      <pane xSplit="1" ySplit="1" topLeftCell="C15" activePane="bottomRight" state="frozen"/>
      <selection activeCell="B2" sqref="B2"/>
      <selection pane="topRight" activeCell="C2" sqref="C2"/>
      <selection pane="bottomLeft" activeCell="B3" sqref="B3"/>
      <selection pane="bottomRight" activeCell="J22" sqref="J22"/>
    </sheetView>
  </sheetViews>
  <sheetFormatPr baseColWidth="10" defaultColWidth="9.109375" defaultRowHeight="14.4"/>
  <cols>
    <col min="1" max="1" width="9.109375" hidden="1" customWidth="1"/>
    <col min="2" max="2" width="36.6640625" customWidth="1"/>
    <col min="3" max="22" width="2.6640625" customWidth="1"/>
  </cols>
  <sheetData>
    <row r="1" spans="2:22" hidden="1"/>
    <row r="2" spans="2:22" ht="135.6" customHeight="1">
      <c r="B2" s="14" t="s">
        <v>17</v>
      </c>
      <c r="C2" s="15" t="str">
        <f>Secteurs!B2</f>
        <v>Cheptel</v>
      </c>
      <c r="D2" s="15" t="str">
        <f>Secteurs!B4</f>
        <v>Abattage / découpe</v>
      </c>
      <c r="E2" s="15" t="str">
        <f>Secteurs!B6</f>
        <v>Traitement thermique C1/C2</v>
      </c>
      <c r="F2" s="15" t="str">
        <f>Secteurs!B7</f>
        <v>Traitement thermique C3 et alimentaire</v>
      </c>
      <c r="G2" s="15" t="str">
        <f>Secteurs!B11</f>
        <v>Vente directe et autoconsommation</v>
      </c>
      <c r="H2" s="15" t="str">
        <f>Secteurs!B16</f>
        <v>GMS</v>
      </c>
      <c r="I2" s="15" t="str">
        <f>Secteurs!B14</f>
        <v>Boucherie</v>
      </c>
      <c r="J2" s="15" t="str">
        <f>Secteurs!B17</f>
        <v>RHD</v>
      </c>
      <c r="K2" s="15" t="str">
        <f>Secteurs!B19</f>
        <v>Charcuterie industrielle</v>
      </c>
      <c r="L2" s="15" t="str">
        <f>Secteurs!B20</f>
        <v>Fabrication de plats préparés</v>
      </c>
      <c r="M2" s="15" t="str">
        <f>Secteurs!B22</f>
        <v>Alimentation animale rente</v>
      </c>
      <c r="N2" s="15" t="str">
        <f>Secteurs!B23</f>
        <v>Petfood</v>
      </c>
      <c r="O2" s="15" t="str">
        <f>Secteurs!B24</f>
        <v>Aquaculture</v>
      </c>
      <c r="P2" s="15" t="str">
        <f>Secteurs!B26</f>
        <v>Biomatériaux</v>
      </c>
      <c r="Q2" s="15" t="str">
        <f>Secteurs!B27</f>
        <v>Energie</v>
      </c>
      <c r="R2" s="15" t="str">
        <f>Secteurs!B28</f>
        <v>Fertilisation</v>
      </c>
      <c r="S2" s="15" t="str">
        <f>Secteurs!B29</f>
        <v>Autres industries</v>
      </c>
      <c r="T2" s="15" t="str">
        <f>Secteurs!B30</f>
        <v>Autres usages (ou usages inconnus)</v>
      </c>
      <c r="U2" s="15" t="str">
        <f>'Echanges territoires'!B2</f>
        <v>Import</v>
      </c>
      <c r="V2" s="15" t="str">
        <f>'Echanges territoires'!B3</f>
        <v>Export</v>
      </c>
    </row>
    <row r="3" spans="2:22">
      <c r="B3" s="37" t="str">
        <f>Produits!B2</f>
        <v>Equins</v>
      </c>
      <c r="C3" s="16">
        <v>1</v>
      </c>
      <c r="D3" s="16"/>
      <c r="E3" s="16"/>
      <c r="F3" s="16"/>
      <c r="G3" s="16"/>
      <c r="H3" s="16"/>
      <c r="I3" s="16"/>
      <c r="J3" s="16"/>
      <c r="K3" s="16"/>
      <c r="L3" s="16"/>
      <c r="M3" s="16"/>
      <c r="N3" s="16"/>
      <c r="O3" s="16"/>
      <c r="P3" s="16"/>
      <c r="Q3" s="16"/>
      <c r="R3" s="16"/>
      <c r="S3" s="16"/>
      <c r="T3" s="16"/>
      <c r="U3" s="16">
        <v>1</v>
      </c>
      <c r="V3" s="16"/>
    </row>
    <row r="4" spans="2:22">
      <c r="B4" s="37" t="str">
        <f>Produits!B5</f>
        <v>Viande, fraîche</v>
      </c>
      <c r="C4" s="16"/>
      <c r="D4" s="16">
        <v>1</v>
      </c>
      <c r="E4" s="16"/>
      <c r="F4" s="16"/>
      <c r="G4" s="16"/>
      <c r="H4" s="16"/>
      <c r="I4" s="16"/>
      <c r="J4" s="16"/>
      <c r="K4" s="16"/>
      <c r="L4" s="16"/>
      <c r="M4" s="16"/>
      <c r="N4" s="16"/>
      <c r="O4" s="16"/>
      <c r="P4" s="16"/>
      <c r="Q4" s="16"/>
      <c r="R4" s="16"/>
      <c r="S4" s="16"/>
      <c r="T4" s="16"/>
      <c r="U4" s="16">
        <v>1</v>
      </c>
      <c r="V4" s="16"/>
    </row>
    <row r="5" spans="2:22">
      <c r="B5" s="37" t="str">
        <f>Produits!B6</f>
        <v>Viande, congelée</v>
      </c>
      <c r="C5" s="16"/>
      <c r="D5" s="16">
        <v>1</v>
      </c>
      <c r="E5" s="16"/>
      <c r="F5" s="16"/>
      <c r="G5" s="16"/>
      <c r="H5" s="16"/>
      <c r="I5" s="16"/>
      <c r="J5" s="16"/>
      <c r="K5" s="16"/>
      <c r="L5" s="16"/>
      <c r="M5" s="16"/>
      <c r="N5" s="16"/>
      <c r="O5" s="16"/>
      <c r="P5" s="16"/>
      <c r="Q5" s="16"/>
      <c r="R5" s="16"/>
      <c r="S5" s="16"/>
      <c r="T5" s="16"/>
      <c r="U5" s="16">
        <v>1</v>
      </c>
      <c r="V5" s="16"/>
    </row>
    <row r="6" spans="2:22">
      <c r="B6" s="37" t="str">
        <f>Produits!B7</f>
        <v>Abats</v>
      </c>
      <c r="C6" s="16"/>
      <c r="D6" s="16">
        <v>1</v>
      </c>
      <c r="E6" s="16"/>
      <c r="F6" s="16"/>
      <c r="G6" s="16"/>
      <c r="H6" s="16"/>
      <c r="I6" s="16"/>
      <c r="J6" s="16"/>
      <c r="K6" s="16"/>
      <c r="L6" s="16"/>
      <c r="M6" s="16"/>
      <c r="N6" s="16"/>
      <c r="O6" s="16"/>
      <c r="P6" s="16"/>
      <c r="Q6" s="16"/>
      <c r="R6" s="16"/>
      <c r="S6" s="16"/>
      <c r="T6" s="16"/>
      <c r="U6" s="16">
        <v>1</v>
      </c>
      <c r="V6" s="16"/>
    </row>
    <row r="7" spans="2:22">
      <c r="B7" s="37" t="str">
        <f>Produits!B10</f>
        <v>C1</v>
      </c>
      <c r="C7" s="16"/>
      <c r="D7" s="16">
        <v>1</v>
      </c>
      <c r="E7" s="16"/>
      <c r="F7" s="16"/>
      <c r="G7" s="16"/>
      <c r="H7" s="16"/>
      <c r="I7" s="16"/>
      <c r="J7" s="16"/>
      <c r="K7" s="16"/>
      <c r="L7" s="16"/>
      <c r="M7" s="16"/>
      <c r="N7" s="16"/>
      <c r="O7" s="16"/>
      <c r="P7" s="16"/>
      <c r="Q7" s="16"/>
      <c r="R7" s="16"/>
      <c r="S7" s="16"/>
      <c r="T7" s="16"/>
      <c r="U7" s="16"/>
      <c r="V7" s="16"/>
    </row>
    <row r="8" spans="2:22">
      <c r="B8" s="37" t="str">
        <f>Produits!B11</f>
        <v>C2</v>
      </c>
      <c r="C8" s="16"/>
      <c r="D8" s="16">
        <v>1</v>
      </c>
      <c r="E8" s="16"/>
      <c r="F8" s="16"/>
      <c r="G8" s="16"/>
      <c r="H8" s="16"/>
      <c r="I8" s="16"/>
      <c r="J8" s="16"/>
      <c r="K8" s="16"/>
      <c r="L8" s="16"/>
      <c r="M8" s="16"/>
      <c r="N8" s="16"/>
      <c r="O8" s="16"/>
      <c r="P8" s="16"/>
      <c r="Q8" s="16"/>
      <c r="R8" s="16"/>
      <c r="S8" s="16"/>
      <c r="T8" s="16"/>
      <c r="U8" s="16"/>
      <c r="V8" s="16"/>
    </row>
    <row r="9" spans="2:22">
      <c r="B9" s="37" t="str">
        <f>Produits!B12</f>
        <v>C3 et alimentaire</v>
      </c>
      <c r="C9" s="16"/>
      <c r="D9" s="16">
        <v>1</v>
      </c>
      <c r="E9" s="16"/>
      <c r="F9" s="16"/>
      <c r="G9" s="16"/>
      <c r="H9" s="16"/>
      <c r="I9" s="16"/>
      <c r="J9" s="16"/>
      <c r="K9" s="16"/>
      <c r="L9" s="16"/>
      <c r="M9" s="16"/>
      <c r="N9" s="16"/>
      <c r="O9" s="16"/>
      <c r="P9" s="16"/>
      <c r="Q9" s="16"/>
      <c r="R9" s="16"/>
      <c r="S9" s="16"/>
      <c r="T9" s="16"/>
      <c r="U9" s="16"/>
      <c r="V9" s="16"/>
    </row>
    <row r="10" spans="2:22">
      <c r="B10" s="37" t="str">
        <f>Produits!B8</f>
        <v>Peaux</v>
      </c>
      <c r="C10" s="16"/>
      <c r="D10" s="16">
        <v>1</v>
      </c>
      <c r="E10" s="16"/>
      <c r="F10" s="16"/>
      <c r="G10" s="16"/>
      <c r="H10" s="16"/>
      <c r="I10" s="16"/>
      <c r="J10" s="16"/>
      <c r="K10" s="16"/>
      <c r="L10" s="16"/>
      <c r="M10" s="16"/>
      <c r="N10" s="16"/>
      <c r="O10" s="16"/>
      <c r="P10" s="16"/>
      <c r="Q10" s="16"/>
      <c r="R10" s="16"/>
      <c r="S10" s="16"/>
      <c r="T10" s="16"/>
      <c r="U10" s="16"/>
      <c r="V10" s="16"/>
    </row>
    <row r="11" spans="2:22">
      <c r="B11" s="37" t="str">
        <f>Produits!B16</f>
        <v>Farines animales</v>
      </c>
      <c r="C11" s="16"/>
      <c r="D11" s="16"/>
      <c r="E11" s="16">
        <v>1</v>
      </c>
      <c r="F11" s="16"/>
      <c r="G11" s="16"/>
      <c r="H11" s="16"/>
      <c r="I11" s="16"/>
      <c r="J11" s="16"/>
      <c r="K11" s="16"/>
      <c r="L11" s="16"/>
      <c r="M11" s="16"/>
      <c r="N11" s="16"/>
      <c r="O11" s="16"/>
      <c r="P11" s="16"/>
      <c r="Q11" s="16"/>
      <c r="R11" s="16"/>
      <c r="S11" s="16"/>
      <c r="T11" s="16"/>
      <c r="U11" s="16"/>
      <c r="V11" s="16"/>
    </row>
    <row r="12" spans="2:22">
      <c r="B12" s="37" t="str">
        <f>Produits!B17</f>
        <v>Graisses animales</v>
      </c>
      <c r="C12" s="16"/>
      <c r="D12" s="16"/>
      <c r="E12" s="16">
        <v>1</v>
      </c>
      <c r="F12" s="16"/>
      <c r="G12" s="16"/>
      <c r="H12" s="16"/>
      <c r="I12" s="16"/>
      <c r="J12" s="16"/>
      <c r="K12" s="16"/>
      <c r="L12" s="16"/>
      <c r="M12" s="16"/>
      <c r="N12" s="16"/>
      <c r="O12" s="16"/>
      <c r="P12" s="16"/>
      <c r="Q12" s="16"/>
      <c r="R12" s="16"/>
      <c r="S12" s="16"/>
      <c r="T12" s="16"/>
      <c r="U12" s="16"/>
      <c r="V12" s="16"/>
    </row>
    <row r="13" spans="2:22">
      <c r="B13" s="37" t="str">
        <f>Produits!B19</f>
        <v>Protéines animales transformées</v>
      </c>
      <c r="C13" s="16"/>
      <c r="D13" s="16"/>
      <c r="E13" s="16"/>
      <c r="F13" s="16">
        <v>1</v>
      </c>
      <c r="G13" s="16"/>
      <c r="H13" s="16"/>
      <c r="I13" s="16"/>
      <c r="J13" s="16"/>
      <c r="K13" s="16"/>
      <c r="L13" s="16"/>
      <c r="M13" s="16"/>
      <c r="N13" s="16"/>
      <c r="O13" s="16"/>
      <c r="P13" s="16"/>
      <c r="Q13" s="16"/>
      <c r="R13" s="16"/>
      <c r="S13" s="16"/>
      <c r="T13" s="16"/>
      <c r="U13" s="16"/>
      <c r="V13" s="16"/>
    </row>
    <row r="14" spans="2:22">
      <c r="B14" s="37" t="str">
        <f>Produits!B20</f>
        <v>Corps gras animaux</v>
      </c>
      <c r="C14" s="16"/>
      <c r="D14" s="16"/>
      <c r="E14" s="16"/>
      <c r="F14" s="16">
        <v>1</v>
      </c>
      <c r="G14" s="16"/>
      <c r="H14" s="16"/>
      <c r="I14" s="16"/>
      <c r="J14" s="16"/>
      <c r="K14" s="16"/>
      <c r="L14" s="16"/>
      <c r="M14" s="16"/>
      <c r="N14" s="16"/>
      <c r="O14" s="16"/>
      <c r="P14" s="16"/>
      <c r="Q14" s="16"/>
      <c r="R14" s="16"/>
      <c r="S14" s="16"/>
      <c r="T14" s="16"/>
      <c r="U14" s="16"/>
      <c r="V14" s="16"/>
    </row>
    <row r="15" spans="2:22">
      <c r="B15" s="37" t="str">
        <f>Produits!B22</f>
        <v>Eau - ressuage</v>
      </c>
      <c r="C15" s="16"/>
      <c r="D15" s="16">
        <v>1</v>
      </c>
      <c r="E15" s="16"/>
      <c r="F15" s="16"/>
      <c r="G15" s="16"/>
      <c r="H15" s="16"/>
      <c r="I15" s="16"/>
      <c r="J15" s="16"/>
      <c r="K15" s="16"/>
      <c r="L15" s="16"/>
      <c r="M15" s="16"/>
      <c r="N15" s="16"/>
      <c r="O15" s="16"/>
      <c r="P15" s="16"/>
      <c r="Q15" s="16"/>
      <c r="R15" s="16"/>
      <c r="S15" s="16"/>
      <c r="T15" s="16"/>
      <c r="U15" s="16"/>
      <c r="V15" s="16"/>
    </row>
    <row r="16" spans="2:22">
      <c r="B16" s="37" t="str">
        <f>Produits!B23</f>
        <v>Eau - traitement thermique</v>
      </c>
      <c r="C16" s="16"/>
      <c r="D16" s="16"/>
      <c r="E16" s="16">
        <v>1</v>
      </c>
      <c r="F16" s="16">
        <v>1</v>
      </c>
      <c r="G16" s="16"/>
      <c r="H16" s="16"/>
      <c r="I16" s="16"/>
      <c r="J16" s="16"/>
      <c r="K16" s="16"/>
      <c r="L16" s="16"/>
      <c r="M16" s="16"/>
      <c r="N16" s="16"/>
      <c r="O16" s="16"/>
      <c r="P16" s="16"/>
      <c r="Q16" s="16"/>
      <c r="R16" s="16"/>
      <c r="S16" s="16"/>
      <c r="T16" s="16"/>
      <c r="U16" s="16"/>
      <c r="V16" s="16"/>
    </row>
    <row r="17" spans="2:22">
      <c r="B17" s="17"/>
    </row>
    <row r="18" spans="2:22">
      <c r="B18" s="17"/>
    </row>
    <row r="19" spans="2:22">
      <c r="B19" s="18" t="s">
        <v>18</v>
      </c>
      <c r="C19" s="19"/>
      <c r="D19" s="19"/>
      <c r="E19" s="19"/>
      <c r="F19" s="19"/>
      <c r="G19" s="19"/>
      <c r="H19" s="19"/>
      <c r="I19" s="19"/>
      <c r="J19" s="19"/>
      <c r="K19" s="19"/>
      <c r="L19" s="19"/>
      <c r="M19" s="19"/>
      <c r="N19" s="19"/>
      <c r="O19" s="19"/>
      <c r="P19" s="19"/>
      <c r="Q19" s="19"/>
      <c r="R19" s="19"/>
      <c r="S19" s="19"/>
      <c r="T19" s="19"/>
      <c r="U19" s="19"/>
      <c r="V19" s="19"/>
    </row>
    <row r="20" spans="2:22">
      <c r="B20" s="37" t="str">
        <f t="shared" ref="B20:B33" si="0">B3</f>
        <v>Equins</v>
      </c>
      <c r="C20" s="16"/>
      <c r="D20" s="16">
        <v>1</v>
      </c>
      <c r="E20" s="16"/>
      <c r="F20" s="16"/>
      <c r="G20" s="16"/>
      <c r="H20" s="16"/>
      <c r="I20" s="16"/>
      <c r="J20" s="16"/>
      <c r="K20" s="16"/>
      <c r="L20" s="16"/>
      <c r="M20" s="16"/>
      <c r="N20" s="16"/>
      <c r="O20" s="16"/>
      <c r="P20" s="16"/>
      <c r="Q20" s="16"/>
      <c r="R20" s="16"/>
      <c r="S20" s="16"/>
      <c r="T20" s="16"/>
      <c r="U20" s="16"/>
      <c r="V20" s="16">
        <v>1</v>
      </c>
    </row>
    <row r="21" spans="2:22">
      <c r="B21" s="37" t="str">
        <f t="shared" si="0"/>
        <v>Viande, fraîche</v>
      </c>
      <c r="C21" s="16"/>
      <c r="D21" s="16"/>
      <c r="E21" s="16"/>
      <c r="F21" s="16"/>
      <c r="G21" s="16">
        <v>1</v>
      </c>
      <c r="H21" s="16">
        <v>1</v>
      </c>
      <c r="I21" s="16">
        <v>1</v>
      </c>
      <c r="J21" s="16">
        <v>1</v>
      </c>
      <c r="K21" s="16">
        <v>1</v>
      </c>
      <c r="L21" s="16">
        <v>1</v>
      </c>
      <c r="M21" s="16"/>
      <c r="N21" s="16"/>
      <c r="O21" s="16"/>
      <c r="P21" s="16"/>
      <c r="Q21" s="16"/>
      <c r="R21" s="16"/>
      <c r="S21" s="16"/>
      <c r="T21" s="16"/>
      <c r="U21" s="16"/>
      <c r="V21" s="16">
        <v>1</v>
      </c>
    </row>
    <row r="22" spans="2:22">
      <c r="B22" s="37" t="str">
        <f t="shared" si="0"/>
        <v>Viande, congelée</v>
      </c>
      <c r="C22" s="16"/>
      <c r="D22" s="16"/>
      <c r="E22" s="16"/>
      <c r="F22" s="16"/>
      <c r="G22" s="16">
        <v>1</v>
      </c>
      <c r="H22" s="16">
        <v>1</v>
      </c>
      <c r="I22" s="16">
        <v>1</v>
      </c>
      <c r="J22" s="16">
        <v>1</v>
      </c>
      <c r="K22" s="16">
        <v>1</v>
      </c>
      <c r="L22" s="16">
        <v>1</v>
      </c>
      <c r="M22" s="16"/>
      <c r="N22" s="16"/>
      <c r="O22" s="16"/>
      <c r="P22" s="16"/>
      <c r="Q22" s="16"/>
      <c r="R22" s="16"/>
      <c r="S22" s="16"/>
      <c r="T22" s="16"/>
      <c r="U22" s="16"/>
      <c r="V22" s="16">
        <v>1</v>
      </c>
    </row>
    <row r="23" spans="2:22">
      <c r="B23" s="37" t="str">
        <f t="shared" si="0"/>
        <v>Abats</v>
      </c>
      <c r="C23" s="16"/>
      <c r="D23" s="16"/>
      <c r="E23" s="16"/>
      <c r="F23" s="16"/>
      <c r="G23" s="16">
        <v>1</v>
      </c>
      <c r="H23" s="16">
        <v>1</v>
      </c>
      <c r="I23" s="16">
        <v>1</v>
      </c>
      <c r="J23" s="16">
        <v>1</v>
      </c>
      <c r="K23" s="16">
        <v>1</v>
      </c>
      <c r="L23" s="16">
        <v>1</v>
      </c>
      <c r="M23" s="16"/>
      <c r="N23" s="16"/>
      <c r="O23" s="16"/>
      <c r="P23" s="16"/>
      <c r="Q23" s="16"/>
      <c r="R23" s="16"/>
      <c r="S23" s="16"/>
      <c r="T23" s="16"/>
      <c r="U23" s="16"/>
      <c r="V23" s="16">
        <v>1</v>
      </c>
    </row>
    <row r="24" spans="2:22">
      <c r="B24" s="37" t="str">
        <f t="shared" si="0"/>
        <v>C1</v>
      </c>
      <c r="C24" s="16"/>
      <c r="D24" s="16"/>
      <c r="E24" s="16">
        <v>1</v>
      </c>
      <c r="F24" s="16"/>
      <c r="G24" s="16"/>
      <c r="H24" s="16"/>
      <c r="I24" s="16"/>
      <c r="J24" s="16"/>
      <c r="K24" s="16"/>
      <c r="L24" s="16"/>
      <c r="M24" s="16"/>
      <c r="N24" s="16"/>
      <c r="O24" s="16"/>
      <c r="P24" s="16"/>
      <c r="Q24" s="16"/>
      <c r="R24" s="16"/>
      <c r="S24" s="16"/>
      <c r="T24" s="16"/>
      <c r="U24" s="16"/>
      <c r="V24" s="16"/>
    </row>
    <row r="25" spans="2:22">
      <c r="B25" s="37" t="str">
        <f t="shared" si="0"/>
        <v>C2</v>
      </c>
      <c r="C25" s="16"/>
      <c r="D25" s="16"/>
      <c r="E25" s="16">
        <v>1</v>
      </c>
      <c r="F25" s="16"/>
      <c r="G25" s="16"/>
      <c r="H25" s="16"/>
      <c r="I25" s="16"/>
      <c r="J25" s="16"/>
      <c r="K25" s="16"/>
      <c r="L25" s="16"/>
      <c r="M25" s="16"/>
      <c r="N25" s="16"/>
      <c r="O25" s="16"/>
      <c r="P25" s="16"/>
      <c r="Q25" s="16"/>
      <c r="R25" s="16"/>
      <c r="S25" s="16"/>
      <c r="T25" s="16"/>
      <c r="U25" s="16"/>
      <c r="V25" s="16"/>
    </row>
    <row r="26" spans="2:22">
      <c r="B26" s="37" t="str">
        <f t="shared" si="0"/>
        <v>C3 et alimentaire</v>
      </c>
      <c r="C26" s="16"/>
      <c r="D26" s="16"/>
      <c r="E26" s="16"/>
      <c r="F26" s="16">
        <v>1</v>
      </c>
      <c r="G26" s="16"/>
      <c r="H26" s="16"/>
      <c r="I26" s="16"/>
      <c r="J26" s="16"/>
      <c r="K26" s="16"/>
      <c r="L26" s="16"/>
      <c r="M26" s="16"/>
      <c r="N26" s="16"/>
      <c r="O26" s="16"/>
      <c r="P26" s="16"/>
      <c r="Q26" s="16"/>
      <c r="R26" s="16"/>
      <c r="S26" s="16"/>
      <c r="T26" s="16"/>
      <c r="U26" s="16"/>
      <c r="V26" s="16"/>
    </row>
    <row r="27" spans="2:22">
      <c r="B27" s="37" t="str">
        <f t="shared" si="0"/>
        <v>Peaux</v>
      </c>
      <c r="C27" s="16"/>
      <c r="D27" s="16"/>
      <c r="E27" s="16"/>
      <c r="F27" s="16"/>
      <c r="G27" s="16"/>
      <c r="H27" s="16"/>
      <c r="I27" s="16"/>
      <c r="J27" s="16"/>
      <c r="K27" s="16"/>
      <c r="L27" s="16"/>
      <c r="M27" s="16"/>
      <c r="N27" s="16"/>
      <c r="O27" s="16"/>
      <c r="P27" s="16">
        <v>1</v>
      </c>
      <c r="Q27" s="16"/>
      <c r="R27" s="16"/>
      <c r="S27" s="16"/>
      <c r="T27" s="16"/>
      <c r="U27" s="16"/>
      <c r="V27" s="16"/>
    </row>
    <row r="28" spans="2:22">
      <c r="B28" s="37" t="str">
        <f t="shared" si="0"/>
        <v>Farines animales</v>
      </c>
      <c r="C28" s="16"/>
      <c r="D28" s="16"/>
      <c r="E28" s="16"/>
      <c r="F28" s="16"/>
      <c r="G28" s="16"/>
      <c r="H28" s="16"/>
      <c r="I28" s="16"/>
      <c r="J28" s="16"/>
      <c r="K28" s="16"/>
      <c r="L28" s="16"/>
      <c r="M28" s="16"/>
      <c r="N28" s="16"/>
      <c r="O28" s="16"/>
      <c r="P28" s="16"/>
      <c r="Q28" s="16">
        <v>1</v>
      </c>
      <c r="R28" s="16">
        <v>1</v>
      </c>
      <c r="S28" s="16"/>
      <c r="T28" s="16"/>
      <c r="U28" s="16"/>
      <c r="V28" s="16"/>
    </row>
    <row r="29" spans="2:22">
      <c r="B29" s="37" t="str">
        <f t="shared" si="0"/>
        <v>Graisses animales</v>
      </c>
      <c r="C29" s="16"/>
      <c r="D29" s="16"/>
      <c r="E29" s="16"/>
      <c r="F29" s="16"/>
      <c r="G29" s="16"/>
      <c r="H29" s="16"/>
      <c r="I29" s="16"/>
      <c r="J29" s="16"/>
      <c r="K29" s="16"/>
      <c r="L29" s="16"/>
      <c r="M29" s="16"/>
      <c r="N29" s="16"/>
      <c r="O29" s="16"/>
      <c r="P29" s="16"/>
      <c r="Q29" s="16">
        <v>1</v>
      </c>
      <c r="R29" s="16"/>
      <c r="S29" s="16"/>
      <c r="T29" s="16"/>
      <c r="U29" s="16"/>
      <c r="V29" s="16"/>
    </row>
    <row r="30" spans="2:22">
      <c r="B30" s="37" t="str">
        <f t="shared" si="0"/>
        <v>Protéines animales transformées</v>
      </c>
      <c r="C30" s="16"/>
      <c r="D30" s="16"/>
      <c r="E30" s="16"/>
      <c r="F30" s="16"/>
      <c r="G30" s="16"/>
      <c r="H30" s="16"/>
      <c r="I30" s="16"/>
      <c r="J30" s="16"/>
      <c r="K30" s="16">
        <v>1</v>
      </c>
      <c r="L30" s="16">
        <v>1</v>
      </c>
      <c r="M30" s="16">
        <v>1</v>
      </c>
      <c r="N30" s="16">
        <v>1</v>
      </c>
      <c r="O30" s="16">
        <v>1</v>
      </c>
      <c r="P30" s="16"/>
      <c r="Q30" s="16">
        <v>1</v>
      </c>
      <c r="R30" s="16">
        <v>1</v>
      </c>
      <c r="S30" s="16">
        <v>1</v>
      </c>
      <c r="T30" s="16">
        <v>1</v>
      </c>
      <c r="U30" s="16"/>
      <c r="V30" s="16">
        <v>1</v>
      </c>
    </row>
    <row r="31" spans="2:22">
      <c r="B31" s="37" t="str">
        <f t="shared" si="0"/>
        <v>Corps gras animaux</v>
      </c>
      <c r="C31" s="16"/>
      <c r="D31" s="16"/>
      <c r="E31" s="16"/>
      <c r="F31" s="16"/>
      <c r="G31" s="16"/>
      <c r="H31" s="16"/>
      <c r="I31" s="16"/>
      <c r="J31" s="16"/>
      <c r="K31" s="16">
        <v>1</v>
      </c>
      <c r="L31" s="16">
        <v>1</v>
      </c>
      <c r="M31" s="16">
        <v>1</v>
      </c>
      <c r="N31" s="16">
        <v>1</v>
      </c>
      <c r="O31" s="16">
        <v>1</v>
      </c>
      <c r="P31" s="16"/>
      <c r="Q31" s="16">
        <v>1</v>
      </c>
      <c r="R31" s="16"/>
      <c r="S31" s="16">
        <v>1</v>
      </c>
      <c r="T31" s="16">
        <v>1</v>
      </c>
      <c r="U31" s="16"/>
      <c r="V31" s="16">
        <v>1</v>
      </c>
    </row>
    <row r="32" spans="2:22">
      <c r="B32" s="37" t="str">
        <f t="shared" si="0"/>
        <v>Eau - ressuage</v>
      </c>
      <c r="C32" s="16"/>
      <c r="D32" s="16"/>
      <c r="E32" s="16"/>
      <c r="F32" s="16"/>
      <c r="G32" s="16"/>
      <c r="H32" s="16"/>
      <c r="I32" s="16"/>
      <c r="J32" s="16"/>
      <c r="K32" s="16"/>
      <c r="L32" s="16"/>
      <c r="M32" s="16"/>
      <c r="N32" s="16"/>
      <c r="O32" s="16"/>
      <c r="P32" s="16"/>
      <c r="Q32" s="16"/>
      <c r="R32" s="16"/>
      <c r="S32" s="16"/>
      <c r="T32" s="16"/>
      <c r="U32" s="16"/>
      <c r="V32" s="16"/>
    </row>
    <row r="33" spans="2:22">
      <c r="B33" s="37" t="str">
        <f t="shared" si="0"/>
        <v>Eau - traitement thermique</v>
      </c>
      <c r="C33" s="16"/>
      <c r="D33" s="16"/>
      <c r="E33" s="16"/>
      <c r="F33" s="16"/>
      <c r="G33" s="16"/>
      <c r="H33" s="16"/>
      <c r="I33" s="16"/>
      <c r="J33" s="16"/>
      <c r="K33" s="16"/>
      <c r="L33" s="16"/>
      <c r="M33" s="16"/>
      <c r="N33" s="16"/>
      <c r="O33" s="16"/>
      <c r="P33" s="16"/>
      <c r="Q33" s="16"/>
      <c r="R33" s="16"/>
      <c r="S33" s="16"/>
      <c r="T33" s="16"/>
      <c r="U33" s="16"/>
      <c r="V33" s="16"/>
    </row>
  </sheetData>
  <conditionalFormatting sqref="C3:V16 C20:V33">
    <cfRule type="cellIs" dxfId="0" priority="1" operator="equal">
      <formula>0</formula>
    </cfRule>
  </conditionalFormatting>
  <pageMargins left="0.75" right="0.75" top="1" bottom="1" header="0.5" footer="0.5"/>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ED343-3B84-40CE-8B19-94DCB4E27B98}">
  <sheetPr>
    <tabColor rgb="FF92D050"/>
  </sheetPr>
  <dimension ref="A1:Q4"/>
  <sheetViews>
    <sheetView workbookViewId="0">
      <pane xSplit="2" ySplit="1" topLeftCell="C2" activePane="bottomRight" state="frozen"/>
      <selection pane="topRight" activeCell="C1" sqref="C1"/>
      <selection pane="bottomLeft" activeCell="A2" sqref="A2"/>
      <selection pane="bottomRight" activeCell="O3" sqref="O3"/>
    </sheetView>
  </sheetViews>
  <sheetFormatPr baseColWidth="10" defaultColWidth="9.109375" defaultRowHeight="14.4"/>
  <cols>
    <col min="1" max="1" width="29.88671875" customWidth="1"/>
    <col min="2" max="2" width="30.21875" customWidth="1"/>
    <col min="3" max="3" width="11" bestFit="1" customWidth="1"/>
    <col min="4" max="4" width="12.88671875" style="8" bestFit="1" customWidth="1"/>
    <col min="5" max="5" width="9" style="25" bestFit="1" customWidth="1"/>
    <col min="6" max="6" width="14.44140625" style="25"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53.77734375" bestFit="1" customWidth="1"/>
    <col min="15" max="15" width="11.109375" customWidth="1"/>
    <col min="16" max="16" width="13" customWidth="1"/>
    <col min="17" max="17" width="20.6640625" bestFit="1" customWidth="1"/>
  </cols>
  <sheetData>
    <row r="1" spans="1:17" ht="38.4" thickBot="1">
      <c r="A1" s="20" t="s">
        <v>19</v>
      </c>
      <c r="B1" s="21" t="s">
        <v>20</v>
      </c>
      <c r="C1" s="21" t="s">
        <v>21</v>
      </c>
      <c r="D1" s="21" t="s">
        <v>23</v>
      </c>
      <c r="E1" s="22" t="str">
        <f>Etiquettes!$A$7</f>
        <v>Unité</v>
      </c>
      <c r="F1" s="22" t="str">
        <f>Etiquettes!$A$4</f>
        <v>Filière</v>
      </c>
      <c r="G1" s="22" t="str">
        <f>Etiquettes!$A$6</f>
        <v>Année</v>
      </c>
      <c r="H1" s="22" t="str">
        <f>Etiquettes!$A$5</f>
        <v>Territoire</v>
      </c>
      <c r="I1" s="22" t="str">
        <f>Etiquettes!$A$12</f>
        <v>Traduction</v>
      </c>
      <c r="J1" s="22" t="str">
        <f>Etiquettes!$A$10</f>
        <v>Hypothèse</v>
      </c>
      <c r="K1" s="22" t="str">
        <f>Etiquettes!$A$9</f>
        <v>Source</v>
      </c>
      <c r="L1" s="22" t="str">
        <f>Etiquettes!$A$13</f>
        <v>Onglet source fichier Excel</v>
      </c>
      <c r="M1" s="22" t="str">
        <f>Etiquettes!$A$11</f>
        <v>Type de donnée collectée</v>
      </c>
      <c r="N1" s="22" t="str">
        <f>Etiquettes!$A$8</f>
        <v>Information collectée</v>
      </c>
      <c r="O1" s="22" t="str">
        <f>Etiquettes!$A$15</f>
        <v>Fiabilité des données</v>
      </c>
      <c r="P1" s="21" t="s">
        <v>3</v>
      </c>
      <c r="Q1" s="23" t="s">
        <v>5</v>
      </c>
    </row>
    <row r="2" spans="1:17">
      <c r="A2" t="str">
        <f>Produits!$B$2</f>
        <v>Equins</v>
      </c>
      <c r="B2" t="str">
        <f>Secteurs!$B$4</f>
        <v>Abattage / découpe</v>
      </c>
      <c r="C2" s="47">
        <f>'Abattages - AGRESTE'!G37/'Anatomie - Blézat'!$D$69/10^3</f>
        <v>7.5716666666666672</v>
      </c>
      <c r="E2" s="24" t="str">
        <f>Etiquettes!$C$7</f>
        <v>kt</v>
      </c>
      <c r="F2" s="25" t="str">
        <f>Etiquettes!$C$4</f>
        <v>Viande chevaline</v>
      </c>
      <c r="G2" s="24">
        <f>Etiquettes!$H$6</f>
        <v>2015</v>
      </c>
      <c r="H2" t="str">
        <f>Etiquettes!$C$5</f>
        <v>France</v>
      </c>
      <c r="I2" t="s">
        <v>204</v>
      </c>
      <c r="K2" t="s">
        <v>411</v>
      </c>
      <c r="L2" t="s">
        <v>495</v>
      </c>
      <c r="M2" t="str">
        <f>Etiquettes!$H$11</f>
        <v>Volume</v>
      </c>
      <c r="N2" s="105" t="str">
        <f>_xlfn.CONCAT(I2,IF(OR(ISBLANK(C2),ISERROR(C2)),"",_xlfn.CONCAT(" = ",MROUND(C2,1)," ",E2," (",K2,")")))</f>
        <v>Abattages = 8 kt (Agreste - Statistique Agricole Annuelle - SSP)</v>
      </c>
      <c r="O2" s="24" t="str">
        <f>Etiquettes!$H$15</f>
        <v>Très élevée</v>
      </c>
      <c r="P2" t="s">
        <v>307</v>
      </c>
      <c r="Q2" s="133" t="s">
        <v>204</v>
      </c>
    </row>
    <row r="3" spans="1:17">
      <c r="A3" t="str">
        <f>Produits!$B$2</f>
        <v>Equins</v>
      </c>
      <c r="B3" t="str">
        <f>Secteurs!$B$4</f>
        <v>Abattage / découpe</v>
      </c>
      <c r="C3" s="47">
        <f>'Abattages - AGRESTE'!H37/'Anatomie - Blézat'!$D$69/10^3</f>
        <v>3.6466666666666669</v>
      </c>
      <c r="E3" s="24" t="str">
        <f>Etiquettes!$C$7</f>
        <v>kt</v>
      </c>
      <c r="F3" s="25" t="str">
        <f>Etiquettes!$C$4</f>
        <v>Viande chevaline</v>
      </c>
      <c r="G3" s="24">
        <f>Etiquettes!$I$6</f>
        <v>2019</v>
      </c>
      <c r="H3" t="str">
        <f>Etiquettes!$C$5</f>
        <v>France</v>
      </c>
      <c r="I3" t="s">
        <v>204</v>
      </c>
      <c r="K3" t="s">
        <v>411</v>
      </c>
      <c r="L3" t="s">
        <v>495</v>
      </c>
      <c r="M3" t="str">
        <f>Etiquettes!$H$11</f>
        <v>Volume</v>
      </c>
      <c r="N3" s="105" t="str">
        <f>_xlfn.CONCAT(I3,IF(OR(ISBLANK(C3),ISERROR(C3)),"",_xlfn.CONCAT(" = ",MROUND(C3,1)," ",E3," (",K3,")")))</f>
        <v>Abattages = 4 kt (Agreste - Statistique Agricole Annuelle - SSP)</v>
      </c>
      <c r="O3" s="24" t="str">
        <f>Etiquettes!$H$15</f>
        <v>Très élevée</v>
      </c>
      <c r="P3" t="s">
        <v>307</v>
      </c>
      <c r="Q3" s="134"/>
    </row>
    <row r="4" spans="1:17">
      <c r="A4" t="str">
        <f>Produits!$B$2</f>
        <v>Equins</v>
      </c>
      <c r="B4" t="str">
        <f>Secteurs!$B$4</f>
        <v>Abattage / découpe</v>
      </c>
      <c r="C4" s="47">
        <f>'Abattages - AGRESTE'!I37/'Anatomie - Blézat'!$D$69/10^3</f>
        <v>1.6516666666666668</v>
      </c>
      <c r="E4" s="24" t="str">
        <f>Etiquettes!$C$7</f>
        <v>kt</v>
      </c>
      <c r="F4" s="25" t="str">
        <f>Etiquettes!$C$4</f>
        <v>Viande chevaline</v>
      </c>
      <c r="G4" s="24">
        <f>Etiquettes!$J$6</f>
        <v>2023</v>
      </c>
      <c r="H4" t="str">
        <f>Etiquettes!$C$5</f>
        <v>France</v>
      </c>
      <c r="I4" t="s">
        <v>204</v>
      </c>
      <c r="K4" t="s">
        <v>411</v>
      </c>
      <c r="L4" t="s">
        <v>495</v>
      </c>
      <c r="M4" t="str">
        <f>Etiquettes!$H$11</f>
        <v>Volume</v>
      </c>
      <c r="N4" s="105" t="str">
        <f t="shared" ref="N4" si="0">_xlfn.CONCAT(I4,IF(OR(ISBLANK(C4),ISERROR(C4)),"",_xlfn.CONCAT(" = ",MROUND(C4,1)," ",E4," (",K4,")")))</f>
        <v>Abattages = 2 kt (Agreste - Statistique Agricole Annuelle - SSP)</v>
      </c>
      <c r="O4" s="24" t="str">
        <f>Etiquettes!$H$15</f>
        <v>Très élevée</v>
      </c>
      <c r="P4" t="s">
        <v>307</v>
      </c>
      <c r="Q4" s="134"/>
    </row>
  </sheetData>
  <mergeCells count="1">
    <mergeCell ref="Q2:Q4"/>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59EAD-AA1A-49C4-B171-98580E6CCF2A}">
  <sheetPr>
    <tabColor rgb="FFFFC000"/>
  </sheetPr>
  <dimension ref="A1:M38"/>
  <sheetViews>
    <sheetView workbookViewId="0">
      <selection activeCell="C11" sqref="C11:C14"/>
    </sheetView>
  </sheetViews>
  <sheetFormatPr baseColWidth="10" defaultRowHeight="14.4"/>
  <sheetData>
    <row r="1" spans="1:13">
      <c r="A1" s="38" t="s">
        <v>83</v>
      </c>
      <c r="B1" s="38" t="s">
        <v>84</v>
      </c>
      <c r="C1" s="38" t="s">
        <v>85</v>
      </c>
      <c r="D1" s="38" t="s">
        <v>86</v>
      </c>
      <c r="E1" s="38" t="s">
        <v>87</v>
      </c>
      <c r="F1" s="38" t="s">
        <v>88</v>
      </c>
      <c r="G1" s="38" t="s">
        <v>89</v>
      </c>
      <c r="H1" s="38" t="s">
        <v>90</v>
      </c>
      <c r="I1" s="38" t="s">
        <v>91</v>
      </c>
      <c r="K1" t="s">
        <v>128</v>
      </c>
      <c r="L1" t="s">
        <v>129</v>
      </c>
      <c r="M1" t="s">
        <v>130</v>
      </c>
    </row>
    <row r="2" spans="1:13">
      <c r="A2" s="39" t="s">
        <v>92</v>
      </c>
      <c r="B2" s="39"/>
      <c r="C2" s="39"/>
      <c r="D2" s="39"/>
      <c r="E2" s="39"/>
      <c r="F2" s="39"/>
      <c r="G2" s="39">
        <v>1454751</v>
      </c>
      <c r="H2" s="39">
        <v>1429441</v>
      </c>
      <c r="I2" s="39">
        <v>1300751</v>
      </c>
      <c r="K2" t="s">
        <v>131</v>
      </c>
      <c r="L2" t="s">
        <v>132</v>
      </c>
      <c r="M2" t="s">
        <v>133</v>
      </c>
    </row>
    <row r="3" spans="1:13">
      <c r="A3" s="39" t="s">
        <v>92</v>
      </c>
      <c r="B3" s="39" t="s">
        <v>48</v>
      </c>
      <c r="C3" s="39"/>
      <c r="D3" s="39"/>
      <c r="E3" s="39"/>
      <c r="F3" s="39"/>
      <c r="G3" s="39">
        <v>1454665</v>
      </c>
      <c r="H3" s="39">
        <v>1429404</v>
      </c>
      <c r="I3" s="39">
        <v>1300715</v>
      </c>
      <c r="K3" t="s">
        <v>134</v>
      </c>
      <c r="L3" t="s">
        <v>134</v>
      </c>
      <c r="M3" t="s">
        <v>135</v>
      </c>
    </row>
    <row r="4" spans="1:13">
      <c r="A4" s="39" t="s">
        <v>92</v>
      </c>
      <c r="B4" s="39" t="s">
        <v>48</v>
      </c>
      <c r="C4" s="39" t="s">
        <v>93</v>
      </c>
      <c r="D4" s="39"/>
      <c r="E4" s="39"/>
      <c r="F4" s="39"/>
      <c r="G4" s="39">
        <v>179162</v>
      </c>
      <c r="H4" s="39">
        <v>181079</v>
      </c>
      <c r="I4" s="69">
        <v>149371</v>
      </c>
    </row>
    <row r="5" spans="1:13">
      <c r="A5" s="39" t="s">
        <v>92</v>
      </c>
      <c r="B5" s="39" t="s">
        <v>48</v>
      </c>
      <c r="C5" s="39" t="s">
        <v>93</v>
      </c>
      <c r="D5" s="39" t="s">
        <v>94</v>
      </c>
      <c r="E5" s="39"/>
      <c r="F5" s="39"/>
      <c r="G5" s="39">
        <v>179162</v>
      </c>
      <c r="H5" s="39">
        <v>181079</v>
      </c>
      <c r="I5" s="39">
        <v>149371</v>
      </c>
      <c r="K5" t="s">
        <v>24</v>
      </c>
      <c r="L5" t="s">
        <v>136</v>
      </c>
    </row>
    <row r="6" spans="1:13">
      <c r="A6" s="39" t="s">
        <v>92</v>
      </c>
      <c r="B6" s="39" t="s">
        <v>48</v>
      </c>
      <c r="C6" s="39" t="s">
        <v>93</v>
      </c>
      <c r="D6" s="39" t="s">
        <v>95</v>
      </c>
      <c r="E6" s="39"/>
      <c r="F6" s="39"/>
      <c r="G6" s="39"/>
      <c r="H6" s="39"/>
      <c r="I6" s="39"/>
      <c r="K6" t="s">
        <v>137</v>
      </c>
      <c r="L6" t="s">
        <v>138</v>
      </c>
    </row>
    <row r="7" spans="1:13">
      <c r="A7" s="39" t="s">
        <v>92</v>
      </c>
      <c r="B7" s="39" t="s">
        <v>48</v>
      </c>
      <c r="C7" s="39" t="s">
        <v>96</v>
      </c>
      <c r="D7" s="39"/>
      <c r="E7" s="39"/>
      <c r="F7" s="39"/>
      <c r="G7" s="39">
        <v>1275503</v>
      </c>
      <c r="H7" s="39">
        <v>1248325</v>
      </c>
      <c r="I7" s="69">
        <v>1151344</v>
      </c>
    </row>
    <row r="8" spans="1:13">
      <c r="A8" s="39" t="s">
        <v>92</v>
      </c>
      <c r="B8" s="39" t="s">
        <v>48</v>
      </c>
      <c r="C8" s="39" t="s">
        <v>96</v>
      </c>
      <c r="D8" s="39" t="s">
        <v>97</v>
      </c>
      <c r="E8" s="39"/>
      <c r="F8" s="39"/>
      <c r="G8" s="39">
        <v>208616</v>
      </c>
      <c r="H8" s="39">
        <v>219785</v>
      </c>
      <c r="I8" s="39">
        <v>216047</v>
      </c>
    </row>
    <row r="9" spans="1:13">
      <c r="A9" s="39" t="s">
        <v>92</v>
      </c>
      <c r="B9" s="39" t="s">
        <v>48</v>
      </c>
      <c r="C9" s="39" t="s">
        <v>96</v>
      </c>
      <c r="D9" s="39" t="s">
        <v>97</v>
      </c>
      <c r="E9" s="39" t="s">
        <v>98</v>
      </c>
      <c r="F9" s="39"/>
      <c r="G9" s="39">
        <v>6634</v>
      </c>
      <c r="H9" s="39">
        <v>5922</v>
      </c>
      <c r="I9" s="39">
        <v>5176</v>
      </c>
    </row>
    <row r="10" spans="1:13">
      <c r="A10" s="39" t="s">
        <v>92</v>
      </c>
      <c r="B10" s="39" t="s">
        <v>48</v>
      </c>
      <c r="C10" s="39" t="s">
        <v>96</v>
      </c>
      <c r="D10" s="39" t="s">
        <v>97</v>
      </c>
      <c r="E10" s="39" t="s">
        <v>99</v>
      </c>
      <c r="F10" s="39"/>
      <c r="G10" s="39">
        <v>201982</v>
      </c>
      <c r="H10" s="39">
        <v>213863</v>
      </c>
      <c r="I10" s="39">
        <v>210871</v>
      </c>
    </row>
    <row r="11" spans="1:13">
      <c r="A11" s="39" t="s">
        <v>92</v>
      </c>
      <c r="B11" s="39" t="s">
        <v>48</v>
      </c>
      <c r="C11" s="39" t="s">
        <v>96</v>
      </c>
      <c r="D11" s="39" t="s">
        <v>100</v>
      </c>
      <c r="E11" s="39"/>
      <c r="F11" s="39"/>
      <c r="G11" s="39">
        <v>577221</v>
      </c>
      <c r="H11" s="39">
        <v>597876</v>
      </c>
      <c r="I11" s="39">
        <v>532982</v>
      </c>
    </row>
    <row r="12" spans="1:13">
      <c r="A12" s="39" t="s">
        <v>92</v>
      </c>
      <c r="B12" s="39" t="s">
        <v>48</v>
      </c>
      <c r="C12" s="39" t="s">
        <v>96</v>
      </c>
      <c r="D12" s="39" t="s">
        <v>100</v>
      </c>
      <c r="E12" s="39" t="s">
        <v>101</v>
      </c>
      <c r="F12" s="39"/>
      <c r="G12" s="39">
        <v>288809</v>
      </c>
      <c r="H12" s="39">
        <v>279771</v>
      </c>
      <c r="I12" s="39">
        <v>243655</v>
      </c>
    </row>
    <row r="13" spans="1:13">
      <c r="A13" s="39" t="s">
        <v>92</v>
      </c>
      <c r="B13" s="39" t="s">
        <v>48</v>
      </c>
      <c r="C13" s="39" t="s">
        <v>96</v>
      </c>
      <c r="D13" s="39" t="s">
        <v>100</v>
      </c>
      <c r="E13" s="39" t="s">
        <v>102</v>
      </c>
      <c r="F13" s="39"/>
      <c r="G13" s="39">
        <v>288412</v>
      </c>
      <c r="H13" s="39">
        <v>318105</v>
      </c>
      <c r="I13" s="39">
        <v>289327</v>
      </c>
    </row>
    <row r="14" spans="1:13">
      <c r="A14" s="39" t="s">
        <v>92</v>
      </c>
      <c r="B14" s="39" t="s">
        <v>48</v>
      </c>
      <c r="C14" s="39" t="s">
        <v>96</v>
      </c>
      <c r="D14" s="39" t="s">
        <v>103</v>
      </c>
      <c r="E14" s="39"/>
      <c r="F14" s="39"/>
      <c r="G14" s="39">
        <v>489666</v>
      </c>
      <c r="H14" s="39">
        <v>430664</v>
      </c>
      <c r="I14" s="39">
        <v>402315</v>
      </c>
    </row>
    <row r="15" spans="1:13">
      <c r="A15" s="39" t="s">
        <v>92</v>
      </c>
      <c r="B15" s="39" t="s">
        <v>48</v>
      </c>
      <c r="C15" s="39" t="s">
        <v>96</v>
      </c>
      <c r="D15" s="39" t="s">
        <v>103</v>
      </c>
      <c r="E15" s="39" t="s">
        <v>104</v>
      </c>
      <c r="F15" s="39"/>
      <c r="G15" s="39">
        <v>385758</v>
      </c>
      <c r="H15" s="39">
        <v>342928</v>
      </c>
      <c r="I15" s="39">
        <v>323305</v>
      </c>
    </row>
    <row r="16" spans="1:13">
      <c r="A16" s="39" t="s">
        <v>92</v>
      </c>
      <c r="B16" s="39" t="s">
        <v>48</v>
      </c>
      <c r="C16" s="39" t="s">
        <v>96</v>
      </c>
      <c r="D16" s="39" t="s">
        <v>103</v>
      </c>
      <c r="E16" s="39" t="s">
        <v>104</v>
      </c>
      <c r="F16" s="39" t="s">
        <v>105</v>
      </c>
      <c r="G16" s="39">
        <v>15364</v>
      </c>
      <c r="H16" s="39">
        <v>12615</v>
      </c>
      <c r="I16" s="39">
        <v>10162</v>
      </c>
    </row>
    <row r="17" spans="1:9">
      <c r="A17" s="39" t="s">
        <v>92</v>
      </c>
      <c r="B17" s="39" t="s">
        <v>48</v>
      </c>
      <c r="C17" s="39" t="s">
        <v>96</v>
      </c>
      <c r="D17" s="39" t="s">
        <v>103</v>
      </c>
      <c r="E17" s="39" t="s">
        <v>104</v>
      </c>
      <c r="F17" s="39" t="s">
        <v>106</v>
      </c>
      <c r="G17" s="39">
        <v>370394</v>
      </c>
      <c r="H17" s="39">
        <v>330313</v>
      </c>
      <c r="I17" s="39">
        <v>313143</v>
      </c>
    </row>
    <row r="18" spans="1:9">
      <c r="A18" s="39" t="s">
        <v>92</v>
      </c>
      <c r="B18" s="39" t="s">
        <v>48</v>
      </c>
      <c r="C18" s="39" t="s">
        <v>96</v>
      </c>
      <c r="D18" s="39" t="s">
        <v>103</v>
      </c>
      <c r="E18" s="39" t="s">
        <v>107</v>
      </c>
      <c r="F18" s="39"/>
      <c r="G18" s="39">
        <v>103908</v>
      </c>
      <c r="H18" s="39">
        <v>87736</v>
      </c>
      <c r="I18" s="39">
        <v>79010</v>
      </c>
    </row>
    <row r="19" spans="1:9">
      <c r="A19" s="39" t="s">
        <v>92</v>
      </c>
      <c r="B19" s="39" t="s">
        <v>48</v>
      </c>
      <c r="C19" s="39" t="s">
        <v>96</v>
      </c>
      <c r="D19" s="39" t="s">
        <v>103</v>
      </c>
      <c r="E19" s="39" t="s">
        <v>107</v>
      </c>
      <c r="F19" s="39" t="s">
        <v>108</v>
      </c>
      <c r="G19" s="39">
        <v>71262</v>
      </c>
      <c r="H19" s="39">
        <v>55951</v>
      </c>
      <c r="I19" s="39">
        <v>46118</v>
      </c>
    </row>
    <row r="20" spans="1:9">
      <c r="A20" s="39" t="s">
        <v>92</v>
      </c>
      <c r="B20" s="39" t="s">
        <v>48</v>
      </c>
      <c r="C20" s="39" t="s">
        <v>96</v>
      </c>
      <c r="D20" s="39" t="s">
        <v>103</v>
      </c>
      <c r="E20" s="39" t="s">
        <v>107</v>
      </c>
      <c r="F20" s="39" t="s">
        <v>109</v>
      </c>
      <c r="G20" s="39">
        <v>32646</v>
      </c>
      <c r="H20" s="39">
        <v>31785</v>
      </c>
      <c r="I20" s="39">
        <v>32892</v>
      </c>
    </row>
    <row r="21" spans="1:9">
      <c r="A21" s="39" t="s">
        <v>92</v>
      </c>
      <c r="B21" s="39" t="s">
        <v>48</v>
      </c>
      <c r="C21" s="39" t="s">
        <v>110</v>
      </c>
      <c r="D21" s="39"/>
      <c r="E21" s="39"/>
      <c r="F21" s="39"/>
      <c r="G21" s="39"/>
      <c r="H21" s="39"/>
      <c r="I21" s="39"/>
    </row>
    <row r="22" spans="1:9">
      <c r="A22" s="39" t="s">
        <v>92</v>
      </c>
      <c r="B22" s="39" t="s">
        <v>111</v>
      </c>
      <c r="C22" s="39"/>
      <c r="D22" s="39"/>
      <c r="E22" s="39"/>
      <c r="F22" s="39"/>
      <c r="G22" s="39">
        <v>86</v>
      </c>
      <c r="H22" s="39">
        <v>37</v>
      </c>
      <c r="I22" s="39">
        <v>36</v>
      </c>
    </row>
    <row r="23" spans="1:9">
      <c r="A23" s="39" t="s">
        <v>92</v>
      </c>
      <c r="B23" s="39" t="s">
        <v>111</v>
      </c>
      <c r="C23" s="39" t="s">
        <v>112</v>
      </c>
      <c r="D23" s="39"/>
      <c r="E23" s="39"/>
      <c r="F23" s="39"/>
      <c r="G23" s="39">
        <v>86</v>
      </c>
      <c r="H23" s="39">
        <v>37</v>
      </c>
      <c r="I23" s="39">
        <v>36</v>
      </c>
    </row>
    <row r="24" spans="1:9">
      <c r="A24" s="39" t="s">
        <v>113</v>
      </c>
      <c r="B24" s="39"/>
      <c r="C24" s="39"/>
      <c r="D24" s="39"/>
      <c r="E24" s="39"/>
      <c r="F24" s="39"/>
      <c r="G24" s="39">
        <v>2182955</v>
      </c>
      <c r="H24" s="39">
        <v>2201965</v>
      </c>
      <c r="I24" s="39">
        <v>2064919</v>
      </c>
    </row>
    <row r="25" spans="1:9">
      <c r="A25" s="39" t="s">
        <v>113</v>
      </c>
      <c r="B25" s="39" t="s">
        <v>114</v>
      </c>
      <c r="C25" s="39"/>
      <c r="D25" s="39"/>
      <c r="E25" s="39"/>
      <c r="F25" s="39"/>
      <c r="G25" s="39">
        <v>2182934</v>
      </c>
      <c r="H25" s="39">
        <v>2201944</v>
      </c>
      <c r="I25" s="39">
        <v>2064913</v>
      </c>
    </row>
    <row r="26" spans="1:9">
      <c r="A26" s="39" t="s">
        <v>113</v>
      </c>
      <c r="B26" s="39" t="s">
        <v>114</v>
      </c>
      <c r="C26" s="39" t="s">
        <v>115</v>
      </c>
      <c r="D26" s="39"/>
      <c r="E26" s="39"/>
      <c r="F26" s="39"/>
      <c r="G26" s="39">
        <v>4142</v>
      </c>
      <c r="H26" s="39">
        <v>4383</v>
      </c>
      <c r="I26" s="39">
        <v>3863</v>
      </c>
    </row>
    <row r="27" spans="1:9">
      <c r="A27" s="39" t="s">
        <v>113</v>
      </c>
      <c r="B27" s="39" t="s">
        <v>114</v>
      </c>
      <c r="C27" s="39" t="s">
        <v>116</v>
      </c>
      <c r="D27" s="39"/>
      <c r="E27" s="39"/>
      <c r="F27" s="39"/>
      <c r="G27" s="39">
        <v>2118065</v>
      </c>
      <c r="H27" s="39">
        <v>2139989</v>
      </c>
      <c r="I27" s="39">
        <v>2008270</v>
      </c>
    </row>
    <row r="28" spans="1:9">
      <c r="A28" s="39" t="s">
        <v>113</v>
      </c>
      <c r="B28" s="39" t="s">
        <v>114</v>
      </c>
      <c r="C28" s="39" t="s">
        <v>117</v>
      </c>
      <c r="D28" s="39"/>
      <c r="E28" s="39"/>
      <c r="F28" s="39"/>
      <c r="G28" s="39">
        <v>60727</v>
      </c>
      <c r="H28" s="39">
        <v>57572</v>
      </c>
      <c r="I28" s="39">
        <v>52780</v>
      </c>
    </row>
    <row r="29" spans="1:9">
      <c r="A29" s="39" t="s">
        <v>113</v>
      </c>
      <c r="B29" s="39" t="s">
        <v>118</v>
      </c>
      <c r="C29" s="39"/>
      <c r="D29" s="39"/>
      <c r="E29" s="39"/>
      <c r="F29" s="39"/>
      <c r="G29" s="39">
        <v>21</v>
      </c>
      <c r="H29" s="39">
        <v>21</v>
      </c>
      <c r="I29" s="39">
        <v>6</v>
      </c>
    </row>
    <row r="30" spans="1:9">
      <c r="A30" s="39" t="s">
        <v>113</v>
      </c>
      <c r="B30" s="39" t="s">
        <v>118</v>
      </c>
      <c r="C30" s="39" t="s">
        <v>119</v>
      </c>
      <c r="D30" s="39"/>
      <c r="E30" s="39"/>
      <c r="F30" s="39"/>
      <c r="G30" s="39">
        <v>21</v>
      </c>
      <c r="H30" s="39">
        <v>21</v>
      </c>
      <c r="I30" s="39">
        <v>6</v>
      </c>
    </row>
    <row r="31" spans="1:9">
      <c r="A31" s="39" t="s">
        <v>120</v>
      </c>
      <c r="B31" s="39"/>
      <c r="C31" s="39"/>
      <c r="D31" s="39"/>
      <c r="E31" s="39"/>
      <c r="F31" s="39"/>
      <c r="G31" s="39">
        <v>80452</v>
      </c>
      <c r="H31" s="39">
        <v>80835</v>
      </c>
      <c r="I31" s="39">
        <v>72935</v>
      </c>
    </row>
    <row r="32" spans="1:9">
      <c r="A32" s="39" t="s">
        <v>120</v>
      </c>
      <c r="B32" s="39" t="s">
        <v>121</v>
      </c>
      <c r="C32" s="39"/>
      <c r="D32" s="39"/>
      <c r="E32" s="39"/>
      <c r="F32" s="39"/>
      <c r="G32" s="39">
        <v>65908</v>
      </c>
      <c r="H32" s="39">
        <v>66250</v>
      </c>
      <c r="I32" s="39">
        <v>59264</v>
      </c>
    </row>
    <row r="33" spans="1:9">
      <c r="A33" s="39" t="s">
        <v>120</v>
      </c>
      <c r="B33" s="39" t="s">
        <v>122</v>
      </c>
      <c r="C33" s="39"/>
      <c r="D33" s="39"/>
      <c r="E33" s="39"/>
      <c r="F33" s="39"/>
      <c r="G33" s="39">
        <v>14544</v>
      </c>
      <c r="H33" s="39">
        <v>14585</v>
      </c>
      <c r="I33" s="39">
        <v>13671</v>
      </c>
    </row>
    <row r="34" spans="1:9">
      <c r="A34" s="39" t="s">
        <v>123</v>
      </c>
      <c r="B34" s="39"/>
      <c r="C34" s="39"/>
      <c r="D34" s="39"/>
      <c r="E34" s="39"/>
      <c r="F34" s="39"/>
      <c r="G34" s="39">
        <v>6236</v>
      </c>
      <c r="H34" s="39">
        <v>6347</v>
      </c>
      <c r="I34" s="39">
        <v>5861</v>
      </c>
    </row>
    <row r="35" spans="1:9">
      <c r="A35" s="39" t="s">
        <v>123</v>
      </c>
      <c r="B35" s="39" t="s">
        <v>124</v>
      </c>
      <c r="C35" s="39"/>
      <c r="D35" s="39"/>
      <c r="E35" s="39"/>
      <c r="F35" s="39"/>
      <c r="G35" s="39">
        <v>3267</v>
      </c>
      <c r="H35" s="39">
        <v>3313</v>
      </c>
      <c r="I35" s="39">
        <v>2572</v>
      </c>
    </row>
    <row r="36" spans="1:9">
      <c r="A36" s="39" t="s">
        <v>123</v>
      </c>
      <c r="B36" s="39" t="s">
        <v>125</v>
      </c>
      <c r="C36" s="39"/>
      <c r="D36" s="39"/>
      <c r="E36" s="39"/>
      <c r="F36" s="39"/>
      <c r="G36" s="39">
        <v>2969</v>
      </c>
      <c r="H36" s="39">
        <v>3034</v>
      </c>
      <c r="I36" s="39">
        <v>3289</v>
      </c>
    </row>
    <row r="37" spans="1:9">
      <c r="A37" s="39" t="s">
        <v>126</v>
      </c>
      <c r="B37" s="39"/>
      <c r="C37" s="39"/>
      <c r="D37" s="39"/>
      <c r="E37" s="39"/>
      <c r="F37" s="39"/>
      <c r="G37" s="52">
        <v>4543</v>
      </c>
      <c r="H37" s="52">
        <v>2188</v>
      </c>
      <c r="I37" s="52">
        <v>991</v>
      </c>
    </row>
    <row r="38" spans="1:9">
      <c r="A38" s="39" t="s">
        <v>127</v>
      </c>
      <c r="B38" s="39"/>
      <c r="C38" s="39"/>
      <c r="D38" s="39"/>
      <c r="E38" s="39"/>
      <c r="F38" s="39"/>
      <c r="G38" s="39">
        <v>129</v>
      </c>
      <c r="H38" s="39">
        <v>81</v>
      </c>
      <c r="I38" s="39">
        <v>79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31646-174B-48CE-A6A1-B91138F6154F}">
  <sheetPr>
    <tabColor rgb="FF92D050"/>
  </sheetPr>
  <dimension ref="A1:Q4"/>
  <sheetViews>
    <sheetView workbookViewId="0">
      <pane xSplit="2" ySplit="1" topLeftCell="C2" activePane="bottomRight" state="frozen"/>
      <selection pane="topRight" activeCell="C1" sqref="C1"/>
      <selection pane="bottomLeft" activeCell="A2" sqref="A2"/>
      <selection pane="bottomRight" activeCell="O11" sqref="O11"/>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8" bestFit="1" customWidth="1"/>
    <col min="5" max="5" width="9" style="25" bestFit="1" customWidth="1"/>
    <col min="6" max="6" width="14.44140625" style="25"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2.88671875" customWidth="1"/>
    <col min="15" max="15" width="11.109375" customWidth="1"/>
    <col min="16" max="16" width="13" customWidth="1"/>
    <col min="17" max="17" width="20.6640625" bestFit="1" customWidth="1"/>
  </cols>
  <sheetData>
    <row r="1" spans="1:17" ht="38.4" thickBot="1">
      <c r="A1" s="20" t="s">
        <v>19</v>
      </c>
      <c r="B1" s="21" t="s">
        <v>20</v>
      </c>
      <c r="C1" s="21" t="s">
        <v>21</v>
      </c>
      <c r="D1" s="21" t="s">
        <v>23</v>
      </c>
      <c r="E1" s="22" t="str">
        <f>Etiquettes!$A$7</f>
        <v>Unité</v>
      </c>
      <c r="F1" s="22" t="str">
        <f>Etiquettes!$A$4</f>
        <v>Filière</v>
      </c>
      <c r="G1" s="22" t="str">
        <f>Etiquettes!$A$6</f>
        <v>Année</v>
      </c>
      <c r="H1" s="22" t="str">
        <f>Etiquettes!$A$5</f>
        <v>Territoire</v>
      </c>
      <c r="I1" s="22" t="str">
        <f>Etiquettes!$A$12</f>
        <v>Traduction</v>
      </c>
      <c r="J1" s="22" t="str">
        <f>Etiquettes!$A$10</f>
        <v>Hypothèse</v>
      </c>
      <c r="K1" s="22" t="str">
        <f>Etiquettes!$A$9</f>
        <v>Source</v>
      </c>
      <c r="L1" s="22" t="str">
        <f>Etiquettes!$A$13</f>
        <v>Onglet source fichier Excel</v>
      </c>
      <c r="M1" s="22" t="str">
        <f>Etiquettes!$A$11</f>
        <v>Type de donnée collectée</v>
      </c>
      <c r="N1" s="22" t="str">
        <f>Etiquettes!$A$8</f>
        <v>Information collectée</v>
      </c>
      <c r="O1" s="22" t="str">
        <f>Etiquettes!$A$15</f>
        <v>Fiabilité des données</v>
      </c>
      <c r="P1" s="21" t="s">
        <v>3</v>
      </c>
      <c r="Q1" s="23" t="s">
        <v>5</v>
      </c>
    </row>
    <row r="2" spans="1:17">
      <c r="A2" t="str">
        <f>'Echanges territoires'!$B$2</f>
        <v>Import</v>
      </c>
      <c r="B2" t="str">
        <f>Produits!$B$2</f>
        <v>Equins</v>
      </c>
      <c r="C2" s="47">
        <f>'Echanges - AGRESTE'!E16/'Anatomie - Blézat'!$D$69/10^3</f>
        <v>0.35</v>
      </c>
      <c r="E2" s="24" t="str">
        <f>Etiquettes!$C$7</f>
        <v>kt</v>
      </c>
      <c r="F2" s="25" t="str">
        <f>Etiquettes!$C$4</f>
        <v>Viande chevaline</v>
      </c>
      <c r="G2" s="24">
        <f>Etiquettes!$H$6</f>
        <v>2015</v>
      </c>
      <c r="H2" t="str">
        <f>Etiquettes!$C$5</f>
        <v>France</v>
      </c>
      <c r="I2" t="s">
        <v>413</v>
      </c>
      <c r="K2" t="s">
        <v>411</v>
      </c>
      <c r="L2" t="s">
        <v>496</v>
      </c>
      <c r="M2" t="str">
        <f>Etiquettes!$H$11</f>
        <v>Volume</v>
      </c>
      <c r="N2" s="105" t="str">
        <f>_xlfn.CONCAT(I2,IF(OR(ISBLANK(C2),ISERROR(C2)),"",_xlfn.CONCAT(" = ",MROUND(C2,1)," ",E2," (",K2,")")))</f>
        <v>Importations d'équins = 0 kt (Agreste - Statistique Agricole Annuelle - SSP)</v>
      </c>
      <c r="O2" s="24" t="str">
        <f>Etiquettes!$H$15</f>
        <v>Très élevée</v>
      </c>
      <c r="P2" t="s">
        <v>307</v>
      </c>
      <c r="Q2" s="133" t="s">
        <v>477</v>
      </c>
    </row>
    <row r="3" spans="1:17">
      <c r="A3" t="str">
        <f>'Echanges territoires'!$B$2</f>
        <v>Import</v>
      </c>
      <c r="B3" t="str">
        <f>Produits!$B$2</f>
        <v>Equins</v>
      </c>
      <c r="C3" s="47">
        <f>'Echanges - AGRESTE'!G16/'Anatomie - Blézat'!$D$69/10^3</f>
        <v>0</v>
      </c>
      <c r="E3" s="24" t="str">
        <f>Etiquettes!$C$7</f>
        <v>kt</v>
      </c>
      <c r="F3" s="25" t="str">
        <f>Etiquettes!$C$4</f>
        <v>Viande chevaline</v>
      </c>
      <c r="G3" s="24">
        <f>Etiquettes!$I$6</f>
        <v>2019</v>
      </c>
      <c r="H3" t="str">
        <f>Etiquettes!$C$5</f>
        <v>France</v>
      </c>
      <c r="I3" t="s">
        <v>413</v>
      </c>
      <c r="K3" t="s">
        <v>411</v>
      </c>
      <c r="L3" t="s">
        <v>496</v>
      </c>
      <c r="M3" t="str">
        <f>Etiquettes!$H$11</f>
        <v>Volume</v>
      </c>
      <c r="N3" s="105" t="str">
        <f>_xlfn.CONCAT(I3,IF(OR(ISBLANK(C3),ISERROR(C3)),"",_xlfn.CONCAT(" = ",MROUND(C3,1)," ",E3," (",K3,")")))</f>
        <v>Importations d'équins = 0 kt (Agreste - Statistique Agricole Annuelle - SSP)</v>
      </c>
      <c r="O3" s="24" t="str">
        <f>Etiquettes!$H$15</f>
        <v>Très élevée</v>
      </c>
      <c r="P3" t="s">
        <v>307</v>
      </c>
      <c r="Q3" s="134"/>
    </row>
    <row r="4" spans="1:17">
      <c r="A4" t="str">
        <f>'Echanges territoires'!$B$2</f>
        <v>Import</v>
      </c>
      <c r="B4" t="str">
        <f>Produits!$B$2</f>
        <v>Equins</v>
      </c>
      <c r="C4" s="47">
        <f>'Echanges - AGRESTE'!I16/'Anatomie - Blézat'!$D$69/10^3</f>
        <v>0.45166666666666666</v>
      </c>
      <c r="E4" s="24" t="str">
        <f>Etiquettes!$C$7</f>
        <v>kt</v>
      </c>
      <c r="F4" s="25" t="str">
        <f>Etiquettes!$C$4</f>
        <v>Viande chevaline</v>
      </c>
      <c r="G4" s="24">
        <f>Etiquettes!$J$6</f>
        <v>2023</v>
      </c>
      <c r="H4" t="str">
        <f>Etiquettes!$C$5</f>
        <v>France</v>
      </c>
      <c r="I4" t="s">
        <v>413</v>
      </c>
      <c r="K4" t="s">
        <v>411</v>
      </c>
      <c r="L4" t="s">
        <v>496</v>
      </c>
      <c r="M4" t="str">
        <f>Etiquettes!$H$11</f>
        <v>Volume</v>
      </c>
      <c r="N4" s="105" t="str">
        <f t="shared" ref="N4" si="0">_xlfn.CONCAT(I4,IF(OR(ISBLANK(C4),ISERROR(C4)),"",_xlfn.CONCAT(" = ",MROUND(C4,1)," ",E4," (",K4,")")))</f>
        <v>Importations d'équins = 0 kt (Agreste - Statistique Agricole Annuelle - SSP)</v>
      </c>
      <c r="O4" s="24" t="str">
        <f>Etiquettes!$H$15</f>
        <v>Très élevée</v>
      </c>
      <c r="P4" t="s">
        <v>307</v>
      </c>
      <c r="Q4" s="134"/>
    </row>
  </sheetData>
  <mergeCells count="1">
    <mergeCell ref="Q2:Q4"/>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3AD70-790B-45CB-A44B-19347A93CD75}">
  <sheetPr>
    <tabColor rgb="FFFFC000"/>
  </sheetPr>
  <dimension ref="A1:L16"/>
  <sheetViews>
    <sheetView workbookViewId="0">
      <selection activeCell="G19" sqref="G19"/>
    </sheetView>
  </sheetViews>
  <sheetFormatPr baseColWidth="10" defaultRowHeight="14.4"/>
  <sheetData>
    <row r="1" spans="1:12" ht="15" thickBot="1">
      <c r="A1" s="40"/>
      <c r="B1" s="40"/>
      <c r="C1" s="40"/>
      <c r="D1" s="40"/>
      <c r="E1" s="137">
        <v>2015</v>
      </c>
      <c r="F1" s="137"/>
      <c r="G1" s="137">
        <v>2019</v>
      </c>
      <c r="H1" s="137"/>
      <c r="I1" s="137">
        <v>2023</v>
      </c>
      <c r="J1" s="137"/>
    </row>
    <row r="2" spans="1:12" ht="46.2" thickBot="1">
      <c r="A2" s="41" t="s">
        <v>83</v>
      </c>
      <c r="B2" s="41" t="s">
        <v>84</v>
      </c>
      <c r="C2" s="41" t="s">
        <v>85</v>
      </c>
      <c r="D2" s="41" t="s">
        <v>86</v>
      </c>
      <c r="E2" s="42" t="s">
        <v>140</v>
      </c>
      <c r="F2" s="42" t="s">
        <v>139</v>
      </c>
      <c r="G2" s="42" t="s">
        <v>140</v>
      </c>
      <c r="H2" s="42" t="s">
        <v>139</v>
      </c>
      <c r="I2" s="42" t="s">
        <v>140</v>
      </c>
      <c r="J2" s="42" t="s">
        <v>139</v>
      </c>
    </row>
    <row r="3" spans="1:12" ht="15" thickBot="1">
      <c r="A3" s="135" t="s">
        <v>92</v>
      </c>
      <c r="B3" s="138"/>
      <c r="C3" s="138"/>
      <c r="D3" s="136"/>
      <c r="E3" s="48">
        <v>4492</v>
      </c>
      <c r="F3" s="48">
        <v>15112</v>
      </c>
      <c r="G3" s="48">
        <v>7948</v>
      </c>
      <c r="H3" s="48">
        <v>11974</v>
      </c>
      <c r="I3" s="48">
        <v>5061</v>
      </c>
      <c r="J3" s="48">
        <v>7189</v>
      </c>
      <c r="L3" s="49"/>
    </row>
    <row r="4" spans="1:12" ht="15" thickBot="1">
      <c r="A4" s="44"/>
      <c r="B4" s="135" t="s">
        <v>48</v>
      </c>
      <c r="C4" s="138"/>
      <c r="D4" s="136"/>
      <c r="E4" s="48">
        <v>4492</v>
      </c>
      <c r="F4" s="48">
        <v>15112</v>
      </c>
      <c r="G4" s="48">
        <v>7948</v>
      </c>
      <c r="H4" s="48">
        <v>11974</v>
      </c>
      <c r="I4" s="48">
        <v>5061</v>
      </c>
      <c r="J4" s="48">
        <v>7189</v>
      </c>
    </row>
    <row r="5" spans="1:12" ht="15" thickBot="1">
      <c r="A5" s="44"/>
      <c r="B5" s="44"/>
      <c r="C5" s="135" t="s">
        <v>93</v>
      </c>
      <c r="D5" s="136"/>
      <c r="E5" s="48">
        <v>1761</v>
      </c>
      <c r="F5" s="48">
        <v>1678</v>
      </c>
      <c r="G5" s="48">
        <v>7372</v>
      </c>
      <c r="H5" s="48">
        <v>1889</v>
      </c>
      <c r="I5" s="70">
        <v>4643</v>
      </c>
      <c r="J5" s="70">
        <v>1350</v>
      </c>
    </row>
    <row r="6" spans="1:12" ht="15" thickBot="1">
      <c r="A6" s="44"/>
      <c r="B6" s="44"/>
      <c r="C6" s="44"/>
      <c r="D6" s="43" t="s">
        <v>94</v>
      </c>
      <c r="E6" s="48">
        <v>1761</v>
      </c>
      <c r="F6" s="48">
        <v>1678</v>
      </c>
      <c r="G6" s="48">
        <v>7372</v>
      </c>
      <c r="H6" s="48">
        <v>1889</v>
      </c>
      <c r="I6" s="48">
        <v>4643</v>
      </c>
      <c r="J6" s="48">
        <v>1350</v>
      </c>
    </row>
    <row r="7" spans="1:12" ht="15" thickBot="1">
      <c r="A7" s="44"/>
      <c r="B7" s="44"/>
      <c r="C7" s="44"/>
      <c r="D7" s="43" t="s">
        <v>95</v>
      </c>
      <c r="E7" s="48"/>
      <c r="F7" s="48"/>
      <c r="G7" s="48"/>
      <c r="H7" s="48"/>
      <c r="I7" s="48"/>
      <c r="J7" s="48"/>
    </row>
    <row r="8" spans="1:12" ht="15" thickBot="1">
      <c r="A8" s="44"/>
      <c r="B8" s="44"/>
      <c r="C8" s="135" t="s">
        <v>96</v>
      </c>
      <c r="D8" s="136"/>
      <c r="E8" s="48">
        <v>2731</v>
      </c>
      <c r="F8" s="48">
        <v>13434</v>
      </c>
      <c r="G8" s="48">
        <v>576</v>
      </c>
      <c r="H8" s="48">
        <v>10085</v>
      </c>
      <c r="I8" s="70">
        <v>418</v>
      </c>
      <c r="J8" s="70">
        <v>5839</v>
      </c>
    </row>
    <row r="9" spans="1:12" ht="15" thickBot="1">
      <c r="A9" s="44"/>
      <c r="B9" s="44"/>
      <c r="C9" s="44"/>
      <c r="D9" s="43" t="s">
        <v>97</v>
      </c>
      <c r="E9" s="48">
        <v>4</v>
      </c>
      <c r="F9" s="48">
        <v>949</v>
      </c>
      <c r="G9" s="48"/>
      <c r="H9" s="48">
        <v>1413</v>
      </c>
      <c r="I9" s="48"/>
      <c r="J9" s="48">
        <v>868</v>
      </c>
    </row>
    <row r="10" spans="1:12" ht="15" thickBot="1">
      <c r="A10" s="44"/>
      <c r="B10" s="44"/>
      <c r="C10" s="44"/>
      <c r="D10" s="43" t="s">
        <v>100</v>
      </c>
      <c r="E10" s="48">
        <v>769</v>
      </c>
      <c r="F10" s="48">
        <v>1205</v>
      </c>
      <c r="G10" s="48">
        <v>454</v>
      </c>
      <c r="H10" s="48">
        <v>1888</v>
      </c>
      <c r="I10" s="48">
        <v>301</v>
      </c>
      <c r="J10" s="48">
        <v>770</v>
      </c>
    </row>
    <row r="11" spans="1:12" ht="15" thickBot="1">
      <c r="A11" s="44"/>
      <c r="B11" s="44"/>
      <c r="C11" s="44"/>
      <c r="D11" s="43" t="s">
        <v>103</v>
      </c>
      <c r="E11" s="48">
        <v>1958</v>
      </c>
      <c r="F11" s="48">
        <v>11280</v>
      </c>
      <c r="G11" s="48">
        <v>122</v>
      </c>
      <c r="H11" s="48">
        <v>6784</v>
      </c>
      <c r="I11" s="48">
        <v>117</v>
      </c>
      <c r="J11" s="48">
        <v>4201</v>
      </c>
    </row>
    <row r="12" spans="1:12" ht="15" thickBot="1">
      <c r="A12" s="135" t="s">
        <v>113</v>
      </c>
      <c r="B12" s="138"/>
      <c r="C12" s="138"/>
      <c r="D12" s="136"/>
      <c r="E12" s="48">
        <v>38</v>
      </c>
      <c r="F12" s="48">
        <v>56269</v>
      </c>
      <c r="G12" s="48">
        <v>18</v>
      </c>
      <c r="H12" s="48">
        <v>60298</v>
      </c>
      <c r="I12" s="48">
        <v>18</v>
      </c>
      <c r="J12" s="48">
        <v>25956</v>
      </c>
    </row>
    <row r="13" spans="1:12" ht="15" thickBot="1">
      <c r="A13" s="44"/>
      <c r="B13" s="139" t="s">
        <v>114</v>
      </c>
      <c r="C13" s="140"/>
      <c r="D13" s="141"/>
      <c r="E13" s="48">
        <v>38</v>
      </c>
      <c r="F13" s="48">
        <v>56269</v>
      </c>
      <c r="G13" s="48">
        <v>18</v>
      </c>
      <c r="H13" s="48">
        <v>60298</v>
      </c>
      <c r="I13" s="48">
        <v>18</v>
      </c>
      <c r="J13" s="48">
        <v>25956</v>
      </c>
    </row>
    <row r="14" spans="1:12" ht="15" thickBot="1">
      <c r="A14" s="139" t="s">
        <v>120</v>
      </c>
      <c r="B14" s="140"/>
      <c r="C14" s="140"/>
      <c r="D14" s="141"/>
      <c r="E14" s="48"/>
      <c r="F14" s="48"/>
      <c r="G14" s="48"/>
      <c r="H14" s="48"/>
      <c r="I14" s="48"/>
      <c r="J14" s="48"/>
    </row>
    <row r="15" spans="1:12" ht="15" thickBot="1">
      <c r="A15" s="139" t="s">
        <v>123</v>
      </c>
      <c r="B15" s="140"/>
      <c r="C15" s="140"/>
      <c r="D15" s="141"/>
      <c r="E15" s="48"/>
      <c r="F15" s="48"/>
      <c r="G15" s="48"/>
      <c r="H15" s="48"/>
      <c r="I15" s="48"/>
      <c r="J15" s="48"/>
    </row>
    <row r="16" spans="1:12" ht="15" thickBot="1">
      <c r="A16" s="139" t="s">
        <v>126</v>
      </c>
      <c r="B16" s="140"/>
      <c r="C16" s="140"/>
      <c r="D16" s="141"/>
      <c r="E16" s="71">
        <v>210</v>
      </c>
      <c r="F16" s="120">
        <v>1551</v>
      </c>
      <c r="G16" s="71"/>
      <c r="H16" s="120">
        <v>1835</v>
      </c>
      <c r="I16" s="71">
        <v>271</v>
      </c>
      <c r="J16" s="120">
        <v>1769</v>
      </c>
    </row>
  </sheetData>
  <mergeCells count="12">
    <mergeCell ref="A12:D12"/>
    <mergeCell ref="B13:D13"/>
    <mergeCell ref="A14:D14"/>
    <mergeCell ref="A15:D15"/>
    <mergeCell ref="A16:D16"/>
    <mergeCell ref="C8:D8"/>
    <mergeCell ref="E1:F1"/>
    <mergeCell ref="G1:H1"/>
    <mergeCell ref="I1:J1"/>
    <mergeCell ref="A3:D3"/>
    <mergeCell ref="B4:D4"/>
    <mergeCell ref="C5:D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95BB01-1EDF-4C36-8932-B8B796A269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9030B5-4B34-4C1A-9638-21E875314128}">
  <ds:schemaRefs>
    <ds:schemaRef ds:uri="http://schemas.microsoft.com/office/2006/metadata/properties"/>
    <ds:schemaRef ds:uri="http://schemas.microsoft.com/office/infopath/2007/PartnerControls"/>
    <ds:schemaRef ds:uri="21da35c6-efe3-499f-bfdd-69ff62f566e5"/>
    <ds:schemaRef ds:uri="253d9861-5057-4c6b-aa55-c1bece854d8d"/>
  </ds:schemaRefs>
</ds:datastoreItem>
</file>

<file path=customXml/itemProps3.xml><?xml version="1.0" encoding="utf-8"?>
<ds:datastoreItem xmlns:ds="http://schemas.openxmlformats.org/officeDocument/2006/customXml" ds:itemID="{4928D925-05E0-460D-B3BE-9FB51B02A9E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26</vt:i4>
      </vt:variant>
    </vt:vector>
  </HeadingPairs>
  <TitlesOfParts>
    <vt:vector size="26" baseType="lpstr">
      <vt:lpstr>Etiquettes</vt:lpstr>
      <vt:lpstr>Produits</vt:lpstr>
      <vt:lpstr>Secteurs</vt:lpstr>
      <vt:lpstr>Echanges territoires</vt:lpstr>
      <vt:lpstr>Structure des flux</vt:lpstr>
      <vt:lpstr>Données</vt:lpstr>
      <vt:lpstr>Abattages - AGRESTE</vt:lpstr>
      <vt:lpstr>Données </vt:lpstr>
      <vt:lpstr>Echanges - AGRESTE</vt:lpstr>
      <vt:lpstr>Données      </vt:lpstr>
      <vt:lpstr>Echanges - TRACES</vt:lpstr>
      <vt:lpstr>Production - PRODCOM</vt:lpstr>
      <vt:lpstr>Données   </vt:lpstr>
      <vt:lpstr>Echanges - EUROSTAT</vt:lpstr>
      <vt:lpstr>Allocation équins</vt:lpstr>
      <vt:lpstr>Contraintes</vt:lpstr>
      <vt:lpstr> Données</vt:lpstr>
      <vt:lpstr>Anatomie - Blézat</vt:lpstr>
      <vt:lpstr>Données    </vt:lpstr>
      <vt:lpstr>Contraintes </vt:lpstr>
      <vt:lpstr>  Données</vt:lpstr>
      <vt:lpstr>Coproduits - SIFCO</vt:lpstr>
      <vt:lpstr>Contraintes  </vt:lpstr>
      <vt:lpstr>   Données</vt:lpstr>
      <vt:lpstr>Débouchés - IFCE</vt:lpstr>
      <vt:lpstr> Données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2025-02-05T18:47:16Z</dcterms:created>
  <dcterms:modified xsi:type="dcterms:W3CDTF">2025-06-19T10:03:49Z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